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afevakv\Desktop\Проект КПКР\"/>
    </mc:Choice>
  </mc:AlternateContent>
  <bookViews>
    <workbookView xWindow="0" yWindow="0" windowWidth="16605" windowHeight="9405"/>
  </bookViews>
  <sheets>
    <sheet name="Приложение №1" sheetId="1" r:id="rId1"/>
    <sheet name="Приложение №2" sheetId="10" r:id="rId2"/>
    <sheet name="Приложение №3" sheetId="13" r:id="rId3"/>
    <sheet name="Приложение №4" sheetId="14" r:id="rId4"/>
    <sheet name="Лист1" sheetId="1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'Приложение №1'!$A$12:$AS$751</definedName>
    <definedName name="_xlnm._FilterDatabase" localSheetId="1" hidden="1">'Приложение №2'!$A$12:$WXO$750</definedName>
    <definedName name="_xlnm._FilterDatabase" localSheetId="2" hidden="1">'Приложение №3'!$A$11:$AW$424</definedName>
    <definedName name="_xlnm._FilterDatabase" localSheetId="3" hidden="1">'Приложение №4'!$A$12:$W$424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№1'!$A$1:$W$757</definedName>
    <definedName name="_xlnm.Print_Area" localSheetId="1">'Приложение №2'!$A$1:$T$763</definedName>
    <definedName name="_xlnm.Print_Area" localSheetId="2">'Приложение №3'!$A$1:$AA$398</definedName>
    <definedName name="_xlnm.Print_Area" localSheetId="3">'Приложение №4'!$A$1:$T$398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23" i="1" l="1"/>
  <c r="AQ423" i="1"/>
  <c r="E398" i="14" l="1"/>
  <c r="E397" i="14"/>
  <c r="E396" i="14"/>
  <c r="V396" i="14" s="1"/>
  <c r="V395" i="14"/>
  <c r="E395" i="14"/>
  <c r="V394" i="14"/>
  <c r="E394" i="14"/>
  <c r="V393" i="14"/>
  <c r="E393" i="14"/>
  <c r="E392" i="14"/>
  <c r="V392" i="14" s="1"/>
  <c r="V391" i="14"/>
  <c r="E391" i="14"/>
  <c r="V390" i="14"/>
  <c r="E390" i="14"/>
  <c r="V389" i="14"/>
  <c r="E389" i="14"/>
  <c r="E388" i="14"/>
  <c r="V388" i="14" s="1"/>
  <c r="V387" i="14"/>
  <c r="E387" i="14"/>
  <c r="V386" i="14"/>
  <c r="E386" i="14"/>
  <c r="V385" i="14"/>
  <c r="E385" i="14"/>
  <c r="E384" i="14"/>
  <c r="V384" i="14" s="1"/>
  <c r="V383" i="14"/>
  <c r="E383" i="14"/>
  <c r="V382" i="14"/>
  <c r="E382" i="14"/>
  <c r="V381" i="14"/>
  <c r="E381" i="14"/>
  <c r="E380" i="14"/>
  <c r="V380" i="14" s="1"/>
  <c r="V379" i="14"/>
  <c r="E379" i="14"/>
  <c r="V378" i="14"/>
  <c r="E378" i="14"/>
  <c r="V377" i="14"/>
  <c r="E377" i="14"/>
  <c r="E376" i="14"/>
  <c r="E375" i="14"/>
  <c r="V375" i="14" s="1"/>
  <c r="E374" i="14"/>
  <c r="V374" i="14" s="1"/>
  <c r="E373" i="14"/>
  <c r="V373" i="14" s="1"/>
  <c r="E372" i="14"/>
  <c r="V372" i="14" s="1"/>
  <c r="E371" i="14"/>
  <c r="V371" i="14" s="1"/>
  <c r="E370" i="14"/>
  <c r="V370" i="14" s="1"/>
  <c r="E369" i="14"/>
  <c r="V369" i="14" s="1"/>
  <c r="E368" i="14"/>
  <c r="V368" i="14" s="1"/>
  <c r="E367" i="14"/>
  <c r="V367" i="14" s="1"/>
  <c r="E366" i="14"/>
  <c r="V366" i="14" s="1"/>
  <c r="E365" i="14"/>
  <c r="V365" i="14" s="1"/>
  <c r="E364" i="14"/>
  <c r="V364" i="14" s="1"/>
  <c r="E363" i="14"/>
  <c r="V363" i="14" s="1"/>
  <c r="E362" i="14"/>
  <c r="E361" i="14"/>
  <c r="E360" i="14"/>
  <c r="V360" i="14" s="1"/>
  <c r="V359" i="14"/>
  <c r="E359" i="14"/>
  <c r="E358" i="14"/>
  <c r="V358" i="14" s="1"/>
  <c r="V357" i="14"/>
  <c r="E357" i="14"/>
  <c r="E356" i="14"/>
  <c r="V356" i="14" s="1"/>
  <c r="V355" i="14"/>
  <c r="E355" i="14"/>
  <c r="E354" i="14"/>
  <c r="V354" i="14" s="1"/>
  <c r="V353" i="14"/>
  <c r="E353" i="14"/>
  <c r="E352" i="14"/>
  <c r="V352" i="14" s="1"/>
  <c r="E351" i="14"/>
  <c r="E350" i="14"/>
  <c r="E349" i="14"/>
  <c r="E348" i="14"/>
  <c r="E347" i="14"/>
  <c r="E346" i="14"/>
  <c r="E345" i="14"/>
  <c r="V345" i="14" s="1"/>
  <c r="E344" i="14"/>
  <c r="E343" i="14"/>
  <c r="E342" i="14"/>
  <c r="E341" i="14"/>
  <c r="V341" i="14" s="1"/>
  <c r="V340" i="14"/>
  <c r="E340" i="14"/>
  <c r="E339" i="14"/>
  <c r="V339" i="14" s="1"/>
  <c r="V338" i="14"/>
  <c r="E338" i="14"/>
  <c r="E337" i="14"/>
  <c r="V337" i="14" s="1"/>
  <c r="V336" i="14"/>
  <c r="E336" i="14"/>
  <c r="E335" i="14"/>
  <c r="V335" i="14" s="1"/>
  <c r="V334" i="14"/>
  <c r="E334" i="14"/>
  <c r="E333" i="14"/>
  <c r="V333" i="14" s="1"/>
  <c r="V332" i="14"/>
  <c r="E332" i="14"/>
  <c r="E331" i="14"/>
  <c r="V331" i="14" s="1"/>
  <c r="V330" i="14"/>
  <c r="E330" i="14"/>
  <c r="E329" i="14"/>
  <c r="V329" i="14" s="1"/>
  <c r="V328" i="14"/>
  <c r="E328" i="14"/>
  <c r="E327" i="14"/>
  <c r="V327" i="14" s="1"/>
  <c r="V326" i="14"/>
  <c r="E326" i="14"/>
  <c r="E325" i="14"/>
  <c r="V325" i="14" s="1"/>
  <c r="V324" i="14"/>
  <c r="E324" i="14"/>
  <c r="E323" i="14"/>
  <c r="V323" i="14" s="1"/>
  <c r="V322" i="14"/>
  <c r="E322" i="14"/>
  <c r="E321" i="14"/>
  <c r="V321" i="14" s="1"/>
  <c r="V320" i="14"/>
  <c r="E320" i="14"/>
  <c r="E319" i="14"/>
  <c r="V319" i="14" s="1"/>
  <c r="V318" i="14"/>
  <c r="E318" i="14"/>
  <c r="E317" i="14"/>
  <c r="V317" i="14" s="1"/>
  <c r="V316" i="14"/>
  <c r="E316" i="14"/>
  <c r="E315" i="14"/>
  <c r="V315" i="14" s="1"/>
  <c r="V314" i="14"/>
  <c r="E314" i="14"/>
  <c r="E313" i="14"/>
  <c r="V313" i="14" s="1"/>
  <c r="V312" i="14"/>
  <c r="E312" i="14"/>
  <c r="E311" i="14"/>
  <c r="V311" i="14" s="1"/>
  <c r="V310" i="14"/>
  <c r="E310" i="14"/>
  <c r="E309" i="14"/>
  <c r="V309" i="14" s="1"/>
  <c r="E308" i="14"/>
  <c r="E307" i="14"/>
  <c r="V307" i="14" s="1"/>
  <c r="E306" i="14"/>
  <c r="V306" i="14" s="1"/>
  <c r="E305" i="14"/>
  <c r="V305" i="14" s="1"/>
  <c r="E304" i="14"/>
  <c r="V304" i="14" s="1"/>
  <c r="E303" i="14"/>
  <c r="V303" i="14" s="1"/>
  <c r="E302" i="14"/>
  <c r="V302" i="14" s="1"/>
  <c r="E301" i="14"/>
  <c r="V301" i="14" s="1"/>
  <c r="E300" i="14"/>
  <c r="V300" i="14" s="1"/>
  <c r="E299" i="14"/>
  <c r="V299" i="14" s="1"/>
  <c r="E298" i="14"/>
  <c r="V298" i="14" s="1"/>
  <c r="E297" i="14"/>
  <c r="E296" i="14"/>
  <c r="E295" i="14"/>
  <c r="E294" i="14"/>
  <c r="V294" i="14" s="1"/>
  <c r="V293" i="14"/>
  <c r="E293" i="14"/>
  <c r="E292" i="14"/>
  <c r="V292" i="14" s="1"/>
  <c r="V291" i="14"/>
  <c r="E291" i="14"/>
  <c r="E290" i="14"/>
  <c r="V290" i="14" s="1"/>
  <c r="V289" i="14"/>
  <c r="E289" i="14"/>
  <c r="E288" i="14"/>
  <c r="V288" i="14" s="1"/>
  <c r="V287" i="14"/>
  <c r="E287" i="14"/>
  <c r="E286" i="14"/>
  <c r="V286" i="14" s="1"/>
  <c r="V285" i="14"/>
  <c r="E285" i="14"/>
  <c r="E284" i="14"/>
  <c r="V284" i="14" s="1"/>
  <c r="V283" i="14"/>
  <c r="E283" i="14"/>
  <c r="E282" i="14"/>
  <c r="V282" i="14" s="1"/>
  <c r="V281" i="14"/>
  <c r="E281" i="14"/>
  <c r="E280" i="14"/>
  <c r="V280" i="14" s="1"/>
  <c r="V279" i="14"/>
  <c r="E279" i="14"/>
  <c r="E278" i="14"/>
  <c r="V278" i="14" s="1"/>
  <c r="V277" i="14"/>
  <c r="E277" i="14"/>
  <c r="E276" i="14"/>
  <c r="V276" i="14" s="1"/>
  <c r="V275" i="14"/>
  <c r="E275" i="14"/>
  <c r="E274" i="14"/>
  <c r="V274" i="14" s="1"/>
  <c r="V273" i="14"/>
  <c r="E273" i="14"/>
  <c r="E272" i="14"/>
  <c r="V272" i="14" s="1"/>
  <c r="V271" i="14"/>
  <c r="E271" i="14"/>
  <c r="E270" i="14"/>
  <c r="V270" i="14" s="1"/>
  <c r="V269" i="14"/>
  <c r="E269" i="14"/>
  <c r="E268" i="14"/>
  <c r="V268" i="14" s="1"/>
  <c r="V267" i="14"/>
  <c r="E267" i="14"/>
  <c r="E266" i="14"/>
  <c r="V266" i="14" s="1"/>
  <c r="V265" i="14"/>
  <c r="E265" i="14"/>
  <c r="E264" i="14"/>
  <c r="V264" i="14" s="1"/>
  <c r="V263" i="14"/>
  <c r="E263" i="14"/>
  <c r="E262" i="14"/>
  <c r="V262" i="14" s="1"/>
  <c r="V261" i="14"/>
  <c r="E261" i="14"/>
  <c r="E260" i="14"/>
  <c r="V260" i="14" s="1"/>
  <c r="V259" i="14"/>
  <c r="E259" i="14"/>
  <c r="E258" i="14"/>
  <c r="V258" i="14" s="1"/>
  <c r="V257" i="14"/>
  <c r="E257" i="14"/>
  <c r="E256" i="14"/>
  <c r="V256" i="14" s="1"/>
  <c r="V255" i="14"/>
  <c r="E255" i="14"/>
  <c r="E254" i="14"/>
  <c r="V254" i="14" s="1"/>
  <c r="V253" i="14"/>
  <c r="E253" i="14"/>
  <c r="E252" i="14"/>
  <c r="V252" i="14" s="1"/>
  <c r="V251" i="14"/>
  <c r="E251" i="14"/>
  <c r="V250" i="14"/>
  <c r="E250" i="14"/>
  <c r="V249" i="14"/>
  <c r="E249" i="14"/>
  <c r="E248" i="14"/>
  <c r="V248" i="14" s="1"/>
  <c r="V247" i="14"/>
  <c r="E247" i="14"/>
  <c r="E246" i="14"/>
  <c r="V246" i="14" s="1"/>
  <c r="V245" i="14"/>
  <c r="E245" i="14"/>
  <c r="E244" i="14"/>
  <c r="V244" i="14" s="1"/>
  <c r="V243" i="14"/>
  <c r="E243" i="14"/>
  <c r="V242" i="14"/>
  <c r="E242" i="14"/>
  <c r="V241" i="14"/>
  <c r="E241" i="14"/>
  <c r="E240" i="14"/>
  <c r="V240" i="14" s="1"/>
  <c r="V239" i="14"/>
  <c r="E239" i="14"/>
  <c r="E238" i="14"/>
  <c r="V238" i="14" s="1"/>
  <c r="V237" i="14"/>
  <c r="E237" i="14"/>
  <c r="E236" i="14"/>
  <c r="V236" i="14" s="1"/>
  <c r="V235" i="14"/>
  <c r="E235" i="14"/>
  <c r="V234" i="14"/>
  <c r="E234" i="14"/>
  <c r="V233" i="14"/>
  <c r="E233" i="14"/>
  <c r="E232" i="14"/>
  <c r="V232" i="14" s="1"/>
  <c r="V231" i="14"/>
  <c r="E231" i="14"/>
  <c r="E230" i="14"/>
  <c r="V230" i="14" s="1"/>
  <c r="V229" i="14"/>
  <c r="E229" i="14"/>
  <c r="E228" i="14"/>
  <c r="V228" i="14" s="1"/>
  <c r="V227" i="14"/>
  <c r="E227" i="14"/>
  <c r="V226" i="14"/>
  <c r="E226" i="14"/>
  <c r="V225" i="14"/>
  <c r="E225" i="14"/>
  <c r="E224" i="14"/>
  <c r="V224" i="14" s="1"/>
  <c r="E223" i="14"/>
  <c r="V223" i="14" s="1"/>
  <c r="E222" i="14"/>
  <c r="V222" i="14" s="1"/>
  <c r="E221" i="14"/>
  <c r="V221" i="14" s="1"/>
  <c r="E220" i="14"/>
  <c r="V220" i="14" s="1"/>
  <c r="E219" i="14"/>
  <c r="V219" i="14" s="1"/>
  <c r="E218" i="14"/>
  <c r="V218" i="14" s="1"/>
  <c r="E217" i="14"/>
  <c r="V217" i="14" s="1"/>
  <c r="E216" i="14"/>
  <c r="V216" i="14" s="1"/>
  <c r="E215" i="14"/>
  <c r="V215" i="14" s="1"/>
  <c r="E214" i="14"/>
  <c r="V214" i="14" s="1"/>
  <c r="E213" i="14"/>
  <c r="V213" i="14" s="1"/>
  <c r="E212" i="14"/>
  <c r="V212" i="14" s="1"/>
  <c r="E211" i="14"/>
  <c r="V211" i="14" s="1"/>
  <c r="E210" i="14"/>
  <c r="V210" i="14" s="1"/>
  <c r="E209" i="14"/>
  <c r="V209" i="14" s="1"/>
  <c r="E208" i="14"/>
  <c r="V208" i="14" s="1"/>
  <c r="E207" i="14"/>
  <c r="V206" i="14"/>
  <c r="E206" i="14"/>
  <c r="E205" i="14"/>
  <c r="V205" i="14" s="1"/>
  <c r="E204" i="14"/>
  <c r="E203" i="14"/>
  <c r="V202" i="14"/>
  <c r="E202" i="14"/>
  <c r="V201" i="14"/>
  <c r="E201" i="14"/>
  <c r="V200" i="14"/>
  <c r="E200" i="14"/>
  <c r="V199" i="14"/>
  <c r="E199" i="14"/>
  <c r="V198" i="14"/>
  <c r="E198" i="14"/>
  <c r="V197" i="14"/>
  <c r="E197" i="14"/>
  <c r="V196" i="14"/>
  <c r="E196" i="14"/>
  <c r="V195" i="14"/>
  <c r="E195" i="14"/>
  <c r="V194" i="14"/>
  <c r="E194" i="14"/>
  <c r="V193" i="14"/>
  <c r="E193" i="14"/>
  <c r="V192" i="14"/>
  <c r="E192" i="14"/>
  <c r="V191" i="14"/>
  <c r="E191" i="14"/>
  <c r="V190" i="14"/>
  <c r="E190" i="14"/>
  <c r="V189" i="14"/>
  <c r="E189" i="14"/>
  <c r="V188" i="14"/>
  <c r="E188" i="14"/>
  <c r="V187" i="14"/>
  <c r="E187" i="14"/>
  <c r="V186" i="14"/>
  <c r="E186" i="14"/>
  <c r="V185" i="14"/>
  <c r="E185" i="14"/>
  <c r="V184" i="14"/>
  <c r="E184" i="14"/>
  <c r="E183" i="14"/>
  <c r="E182" i="14"/>
  <c r="E181" i="14"/>
  <c r="E180" i="14"/>
  <c r="E179" i="14"/>
  <c r="E178" i="14"/>
  <c r="E177" i="14"/>
  <c r="V177" i="14" s="1"/>
  <c r="E176" i="14"/>
  <c r="V176" i="14" s="1"/>
  <c r="E175" i="14"/>
  <c r="V175" i="14" s="1"/>
  <c r="V174" i="14"/>
  <c r="E174" i="14"/>
  <c r="E173" i="14"/>
  <c r="V173" i="14" s="1"/>
  <c r="E172" i="14"/>
  <c r="V172" i="14" s="1"/>
  <c r="E171" i="14"/>
  <c r="V171" i="14" s="1"/>
  <c r="V170" i="14"/>
  <c r="E170" i="14"/>
  <c r="E169" i="14"/>
  <c r="V169" i="14" s="1"/>
  <c r="V168" i="14"/>
  <c r="E168" i="14"/>
  <c r="E167" i="14"/>
  <c r="V167" i="14" s="1"/>
  <c r="V166" i="14"/>
  <c r="E166" i="14"/>
  <c r="E165" i="14"/>
  <c r="V165" i="14" s="1"/>
  <c r="E164" i="14"/>
  <c r="V164" i="14" s="1"/>
  <c r="E163" i="14"/>
  <c r="V163" i="14" s="1"/>
  <c r="E162" i="14"/>
  <c r="V162" i="14" s="1"/>
  <c r="E161" i="14"/>
  <c r="V161" i="14" s="1"/>
  <c r="E160" i="14"/>
  <c r="V160" i="14" s="1"/>
  <c r="E159" i="14"/>
  <c r="V159" i="14" s="1"/>
  <c r="V158" i="14"/>
  <c r="E158" i="14"/>
  <c r="E157" i="14"/>
  <c r="V157" i="14" s="1"/>
  <c r="E156" i="14"/>
  <c r="V156" i="14" s="1"/>
  <c r="E155" i="14"/>
  <c r="V155" i="14" s="1"/>
  <c r="V154" i="14"/>
  <c r="E154" i="14"/>
  <c r="E153" i="14"/>
  <c r="V153" i="14" s="1"/>
  <c r="V152" i="14"/>
  <c r="E152" i="14"/>
  <c r="E151" i="14"/>
  <c r="V151" i="14" s="1"/>
  <c r="V150" i="14"/>
  <c r="E150" i="14"/>
  <c r="E149" i="14"/>
  <c r="V149" i="14" s="1"/>
  <c r="E148" i="14"/>
  <c r="V148" i="14" s="1"/>
  <c r="E147" i="14"/>
  <c r="V147" i="14" s="1"/>
  <c r="E146" i="14"/>
  <c r="V146" i="14" s="1"/>
  <c r="E145" i="14"/>
  <c r="V145" i="14" s="1"/>
  <c r="E144" i="14"/>
  <c r="V144" i="14" s="1"/>
  <c r="E143" i="14"/>
  <c r="V143" i="14" s="1"/>
  <c r="V142" i="14"/>
  <c r="E142" i="14"/>
  <c r="E141" i="14"/>
  <c r="V141" i="14" s="1"/>
  <c r="E140" i="14"/>
  <c r="V140" i="14" s="1"/>
  <c r="E139" i="14"/>
  <c r="V139" i="14" s="1"/>
  <c r="V138" i="14"/>
  <c r="E138" i="14"/>
  <c r="E137" i="14"/>
  <c r="V137" i="14" s="1"/>
  <c r="V136" i="14"/>
  <c r="E136" i="14"/>
  <c r="E135" i="14"/>
  <c r="V135" i="14" s="1"/>
  <c r="V134" i="14"/>
  <c r="E134" i="14"/>
  <c r="E133" i="14"/>
  <c r="V133" i="14" s="1"/>
  <c r="E132" i="14"/>
  <c r="V132" i="14" s="1"/>
  <c r="E131" i="14"/>
  <c r="V131" i="14" s="1"/>
  <c r="E130" i="14"/>
  <c r="V130" i="14" s="1"/>
  <c r="E129" i="14"/>
  <c r="V129" i="14" s="1"/>
  <c r="E128" i="14"/>
  <c r="V128" i="14" s="1"/>
  <c r="E127" i="14"/>
  <c r="V127" i="14" s="1"/>
  <c r="V126" i="14"/>
  <c r="E126" i="14"/>
  <c r="E125" i="14"/>
  <c r="V125" i="14" s="1"/>
  <c r="E124" i="14"/>
  <c r="V124" i="14" s="1"/>
  <c r="E123" i="14"/>
  <c r="V123" i="14" s="1"/>
  <c r="V122" i="14"/>
  <c r="E122" i="14"/>
  <c r="E121" i="14"/>
  <c r="V121" i="14" s="1"/>
  <c r="V120" i="14"/>
  <c r="E120" i="14"/>
  <c r="E119" i="14"/>
  <c r="V119" i="14" s="1"/>
  <c r="V118" i="14"/>
  <c r="E118" i="14"/>
  <c r="E117" i="14"/>
  <c r="V117" i="14" s="1"/>
  <c r="E116" i="14"/>
  <c r="V116" i="14" s="1"/>
  <c r="E115" i="14"/>
  <c r="V115" i="14" s="1"/>
  <c r="E114" i="14"/>
  <c r="V114" i="14" s="1"/>
  <c r="E113" i="14"/>
  <c r="V113" i="14" s="1"/>
  <c r="E112" i="14"/>
  <c r="V112" i="14" s="1"/>
  <c r="E111" i="14"/>
  <c r="V111" i="14" s="1"/>
  <c r="V110" i="14"/>
  <c r="E110" i="14"/>
  <c r="E109" i="14"/>
  <c r="V109" i="14" s="1"/>
  <c r="E108" i="14"/>
  <c r="V108" i="14" s="1"/>
  <c r="E107" i="14"/>
  <c r="V107" i="14" s="1"/>
  <c r="V106" i="14"/>
  <c r="E106" i="14"/>
  <c r="E105" i="14"/>
  <c r="V105" i="14" s="1"/>
  <c r="V104" i="14"/>
  <c r="E104" i="14"/>
  <c r="E103" i="14"/>
  <c r="V103" i="14" s="1"/>
  <c r="V102" i="14"/>
  <c r="E102" i="14"/>
  <c r="E101" i="14"/>
  <c r="V101" i="14" s="1"/>
  <c r="E100" i="14"/>
  <c r="V100" i="14" s="1"/>
  <c r="E99" i="14"/>
  <c r="V99" i="14" s="1"/>
  <c r="E98" i="14"/>
  <c r="V98" i="14" s="1"/>
  <c r="E97" i="14"/>
  <c r="V97" i="14" s="1"/>
  <c r="E96" i="14"/>
  <c r="V96" i="14" s="1"/>
  <c r="E95" i="14"/>
  <c r="V95" i="14" s="1"/>
  <c r="V94" i="14"/>
  <c r="E94" i="14"/>
  <c r="E93" i="14"/>
  <c r="V93" i="14" s="1"/>
  <c r="E92" i="14"/>
  <c r="V92" i="14" s="1"/>
  <c r="E91" i="14"/>
  <c r="V91" i="14" s="1"/>
  <c r="V90" i="14"/>
  <c r="E90" i="14"/>
  <c r="E89" i="14"/>
  <c r="V89" i="14" s="1"/>
  <c r="V88" i="14"/>
  <c r="E88" i="14"/>
  <c r="E87" i="14"/>
  <c r="V87" i="14" s="1"/>
  <c r="V86" i="14"/>
  <c r="E86" i="14"/>
  <c r="E85" i="14"/>
  <c r="V85" i="14" s="1"/>
  <c r="E84" i="14"/>
  <c r="V84" i="14" s="1"/>
  <c r="E83" i="14"/>
  <c r="V83" i="14" s="1"/>
  <c r="E82" i="14"/>
  <c r="V82" i="14" s="1"/>
  <c r="E81" i="14"/>
  <c r="V81" i="14" s="1"/>
  <c r="E80" i="14"/>
  <c r="V80" i="14" s="1"/>
  <c r="E79" i="14"/>
  <c r="V79" i="14" s="1"/>
  <c r="V78" i="14"/>
  <c r="E78" i="14"/>
  <c r="V77" i="14"/>
  <c r="E77" i="14"/>
  <c r="V76" i="14"/>
  <c r="E76" i="14"/>
  <c r="V75" i="14"/>
  <c r="E75" i="14"/>
  <c r="V74" i="14"/>
  <c r="E74" i="14"/>
  <c r="V73" i="14"/>
  <c r="E73" i="14"/>
  <c r="V72" i="14"/>
  <c r="E72" i="14"/>
  <c r="V71" i="14"/>
  <c r="E71" i="14"/>
  <c r="V70" i="14"/>
  <c r="E70" i="14"/>
  <c r="V69" i="14"/>
  <c r="E69" i="14"/>
  <c r="V68" i="14"/>
  <c r="E68" i="14"/>
  <c r="V67" i="14"/>
  <c r="E67" i="14"/>
  <c r="V66" i="14"/>
  <c r="E66" i="14"/>
  <c r="V65" i="14"/>
  <c r="E65" i="14"/>
  <c r="V64" i="14"/>
  <c r="E64" i="14"/>
  <c r="V63" i="14"/>
  <c r="E63" i="14"/>
  <c r="E62" i="14"/>
  <c r="E61" i="14"/>
  <c r="V61" i="14" s="1"/>
  <c r="V60" i="14"/>
  <c r="E60" i="14"/>
  <c r="E59" i="14"/>
  <c r="V59" i="14" s="1"/>
  <c r="V58" i="14"/>
  <c r="E58" i="14"/>
  <c r="E57" i="14"/>
  <c r="V57" i="14" s="1"/>
  <c r="V56" i="14"/>
  <c r="E56" i="14"/>
  <c r="E55" i="14"/>
  <c r="V55" i="14" s="1"/>
  <c r="V54" i="14"/>
  <c r="E54" i="14"/>
  <c r="E53" i="14"/>
  <c r="V53" i="14" s="1"/>
  <c r="V52" i="14"/>
  <c r="E52" i="14"/>
  <c r="E51" i="14"/>
  <c r="V51" i="14" s="1"/>
  <c r="V50" i="14"/>
  <c r="E50" i="14"/>
  <c r="E49" i="14"/>
  <c r="V49" i="14" s="1"/>
  <c r="V48" i="14"/>
  <c r="E48" i="14"/>
  <c r="E47" i="14"/>
  <c r="V47" i="14" s="1"/>
  <c r="V46" i="14"/>
  <c r="E46" i="14"/>
  <c r="E45" i="14"/>
  <c r="V45" i="14" s="1"/>
  <c r="V44" i="14"/>
  <c r="E44" i="14"/>
  <c r="E43" i="14"/>
  <c r="V43" i="14" s="1"/>
  <c r="V42" i="14"/>
  <c r="E42" i="14"/>
  <c r="E41" i="14"/>
  <c r="V41" i="14" s="1"/>
  <c r="V40" i="14"/>
  <c r="E40" i="14"/>
  <c r="E39" i="14"/>
  <c r="V39" i="14" s="1"/>
  <c r="V38" i="14"/>
  <c r="E38" i="14"/>
  <c r="E37" i="14"/>
  <c r="V37" i="14" s="1"/>
  <c r="V36" i="14"/>
  <c r="E36" i="14"/>
  <c r="E35" i="14"/>
  <c r="V35" i="14" s="1"/>
  <c r="V34" i="14"/>
  <c r="E34" i="14"/>
  <c r="E33" i="14"/>
  <c r="V33" i="14" s="1"/>
  <c r="V32" i="14"/>
  <c r="E32" i="14"/>
  <c r="E31" i="14"/>
  <c r="V31" i="14" s="1"/>
  <c r="V30" i="14"/>
  <c r="E30" i="14"/>
  <c r="E29" i="14"/>
  <c r="V29" i="14" s="1"/>
  <c r="V28" i="14"/>
  <c r="E28" i="14"/>
  <c r="E27" i="14"/>
  <c r="V27" i="14" s="1"/>
  <c r="V26" i="14"/>
  <c r="E26" i="14"/>
  <c r="E25" i="14"/>
  <c r="V25" i="14" s="1"/>
  <c r="V24" i="14"/>
  <c r="E24" i="14"/>
  <c r="E23" i="14"/>
  <c r="V23" i="14" s="1"/>
  <c r="V22" i="14"/>
  <c r="E22" i="14"/>
  <c r="E21" i="14"/>
  <c r="V21" i="14" s="1"/>
  <c r="V20" i="14"/>
  <c r="E20" i="14"/>
  <c r="E19" i="14"/>
  <c r="V19" i="14" s="1"/>
  <c r="V18" i="14"/>
  <c r="E18" i="14"/>
  <c r="E17" i="14"/>
  <c r="V17" i="14" s="1"/>
  <c r="V16" i="14"/>
  <c r="E16" i="14"/>
  <c r="E15" i="14"/>
  <c r="V15" i="14" s="1"/>
  <c r="B15" i="14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V14" i="14"/>
  <c r="E14" i="14"/>
  <c r="B14" i="14"/>
  <c r="A14" i="14"/>
  <c r="E13" i="14"/>
  <c r="V13" i="14" s="1"/>
  <c r="T12" i="14"/>
  <c r="S12" i="14"/>
  <c r="R12" i="14"/>
  <c r="Q12" i="14"/>
  <c r="P12" i="14"/>
  <c r="O12" i="14"/>
  <c r="N12" i="14"/>
  <c r="M12" i="14"/>
  <c r="E12" i="14" s="1"/>
  <c r="L12" i="14"/>
  <c r="K12" i="14"/>
  <c r="J12" i="14"/>
  <c r="I12" i="14"/>
  <c r="H12" i="14"/>
  <c r="G12" i="14"/>
  <c r="F12" i="14"/>
  <c r="R398" i="13"/>
  <c r="N398" i="13" s="1"/>
  <c r="AC398" i="13" s="1"/>
  <c r="R397" i="13"/>
  <c r="N397" i="13" s="1"/>
  <c r="AC397" i="13" s="1"/>
  <c r="AH396" i="13"/>
  <c r="R396" i="13"/>
  <c r="N396" i="13" s="1"/>
  <c r="AC396" i="13" s="1"/>
  <c r="AH395" i="13"/>
  <c r="Z395" i="13"/>
  <c r="R395" i="13"/>
  <c r="N395" i="13" s="1"/>
  <c r="AH394" i="13"/>
  <c r="Z394" i="13"/>
  <c r="R394" i="13"/>
  <c r="N394" i="13" s="1"/>
  <c r="AH393" i="13"/>
  <c r="Z393" i="13"/>
  <c r="R393" i="13"/>
  <c r="N393" i="13"/>
  <c r="AE393" i="13" s="1"/>
  <c r="AH392" i="13"/>
  <c r="Z392" i="13"/>
  <c r="R392" i="13"/>
  <c r="N392" i="13" s="1"/>
  <c r="AB392" i="13" s="1"/>
  <c r="AH391" i="13"/>
  <c r="Z391" i="13"/>
  <c r="R391" i="13"/>
  <c r="N391" i="13" s="1"/>
  <c r="AH390" i="13"/>
  <c r="Z390" i="13"/>
  <c r="R390" i="13"/>
  <c r="N390" i="13" s="1"/>
  <c r="AH389" i="13"/>
  <c r="Z389" i="13"/>
  <c r="R389" i="13"/>
  <c r="N389" i="13" s="1"/>
  <c r="AH388" i="13"/>
  <c r="Z388" i="13"/>
  <c r="R388" i="13"/>
  <c r="N388" i="13" s="1"/>
  <c r="AH387" i="13"/>
  <c r="Z387" i="13"/>
  <c r="R387" i="13"/>
  <c r="N387" i="13" s="1"/>
  <c r="AH386" i="13"/>
  <c r="Z386" i="13"/>
  <c r="R386" i="13"/>
  <c r="N386" i="13" s="1"/>
  <c r="AH385" i="13"/>
  <c r="Z385" i="13"/>
  <c r="R385" i="13"/>
  <c r="N385" i="13" s="1"/>
  <c r="AH384" i="13"/>
  <c r="Z384" i="13"/>
  <c r="R384" i="13"/>
  <c r="N384" i="13" s="1"/>
  <c r="AH383" i="13"/>
  <c r="Z383" i="13"/>
  <c r="R383" i="13"/>
  <c r="N383" i="13" s="1"/>
  <c r="AH382" i="13"/>
  <c r="Z382" i="13"/>
  <c r="R382" i="13"/>
  <c r="N382" i="13" s="1"/>
  <c r="AH381" i="13"/>
  <c r="Z381" i="13"/>
  <c r="R381" i="13"/>
  <c r="N381" i="13" s="1"/>
  <c r="AH380" i="13"/>
  <c r="Z380" i="13"/>
  <c r="R380" i="13"/>
  <c r="N380" i="13"/>
  <c r="AB380" i="13" s="1"/>
  <c r="AH379" i="13"/>
  <c r="Z379" i="13"/>
  <c r="R379" i="13"/>
  <c r="N379" i="13" s="1"/>
  <c r="AH378" i="13"/>
  <c r="Z378" i="13"/>
  <c r="R378" i="13"/>
  <c r="N378" i="13" s="1"/>
  <c r="AH377" i="13"/>
  <c r="Z377" i="13"/>
  <c r="R377" i="13"/>
  <c r="N377" i="13" s="1"/>
  <c r="R376" i="13"/>
  <c r="N376" i="13" s="1"/>
  <c r="AC376" i="13" s="1"/>
  <c r="AH375" i="13"/>
  <c r="R375" i="13"/>
  <c r="N375" i="13" s="1"/>
  <c r="AH374" i="13"/>
  <c r="R374" i="13"/>
  <c r="N374" i="13"/>
  <c r="AC374" i="13" s="1"/>
  <c r="AH373" i="13"/>
  <c r="R373" i="13"/>
  <c r="N373" i="13" s="1"/>
  <c r="AH372" i="13"/>
  <c r="AB372" i="13"/>
  <c r="Z372" i="13"/>
  <c r="X372" i="13"/>
  <c r="N372" i="13"/>
  <c r="AE372" i="13" s="1"/>
  <c r="AH371" i="13"/>
  <c r="AC371" i="13"/>
  <c r="AB371" i="13"/>
  <c r="Z371" i="13"/>
  <c r="X371" i="13"/>
  <c r="N371" i="13"/>
  <c r="AE371" i="13" s="1"/>
  <c r="AH370" i="13"/>
  <c r="AB370" i="13"/>
  <c r="Z370" i="13"/>
  <c r="N370" i="13"/>
  <c r="AH369" i="13"/>
  <c r="AE369" i="13"/>
  <c r="AC369" i="13"/>
  <c r="AB369" i="13"/>
  <c r="Z369" i="13"/>
  <c r="X369" i="13"/>
  <c r="N369" i="13"/>
  <c r="AH368" i="13"/>
  <c r="AE368" i="13"/>
  <c r="AC368" i="13"/>
  <c r="AB368" i="13"/>
  <c r="Z368" i="13"/>
  <c r="X368" i="13"/>
  <c r="N368" i="13"/>
  <c r="AH367" i="13"/>
  <c r="Z367" i="13"/>
  <c r="N367" i="13"/>
  <c r="AH366" i="13"/>
  <c r="Z366" i="13"/>
  <c r="R366" i="13"/>
  <c r="N366" i="13"/>
  <c r="AC366" i="13" s="1"/>
  <c r="AH365" i="13"/>
  <c r="R365" i="13"/>
  <c r="N365" i="13" s="1"/>
  <c r="AC365" i="13" s="1"/>
  <c r="AH364" i="13"/>
  <c r="Z364" i="13"/>
  <c r="R364" i="13"/>
  <c r="N364" i="13" s="1"/>
  <c r="AC364" i="13" s="1"/>
  <c r="AH363" i="13"/>
  <c r="Z363" i="13"/>
  <c r="R363" i="13"/>
  <c r="N363" i="13" s="1"/>
  <c r="AB363" i="13" s="1"/>
  <c r="R362" i="13"/>
  <c r="N362" i="13" s="1"/>
  <c r="V362" i="13" s="1"/>
  <c r="R361" i="13"/>
  <c r="N361" i="13"/>
  <c r="AH360" i="13"/>
  <c r="Z360" i="13"/>
  <c r="R360" i="13"/>
  <c r="N360" i="13" s="1"/>
  <c r="AH359" i="13"/>
  <c r="Z359" i="13"/>
  <c r="R359" i="13"/>
  <c r="N359" i="13" s="1"/>
  <c r="AE359" i="13" s="1"/>
  <c r="AH358" i="13"/>
  <c r="Z358" i="13"/>
  <c r="R358" i="13"/>
  <c r="N358" i="13"/>
  <c r="AE358" i="13" s="1"/>
  <c r="AH357" i="13"/>
  <c r="Z357" i="13"/>
  <c r="R357" i="13"/>
  <c r="N357" i="13"/>
  <c r="AH356" i="13"/>
  <c r="Z356" i="13"/>
  <c r="R356" i="13"/>
  <c r="N356" i="13" s="1"/>
  <c r="AH355" i="13"/>
  <c r="Z355" i="13"/>
  <c r="R355" i="13"/>
  <c r="N355" i="13" s="1"/>
  <c r="AE355" i="13" s="1"/>
  <c r="AH354" i="13"/>
  <c r="Z354" i="13"/>
  <c r="R354" i="13"/>
  <c r="N354" i="13"/>
  <c r="AE354" i="13" s="1"/>
  <c r="AH353" i="13"/>
  <c r="Z353" i="13"/>
  <c r="R353" i="13"/>
  <c r="N353" i="13"/>
  <c r="AH352" i="13"/>
  <c r="Z352" i="13"/>
  <c r="R352" i="13"/>
  <c r="N352" i="13" s="1"/>
  <c r="R351" i="13"/>
  <c r="N351" i="13" s="1"/>
  <c r="R350" i="13"/>
  <c r="N350" i="13" s="1"/>
  <c r="R349" i="13"/>
  <c r="N349" i="13" s="1"/>
  <c r="AC349" i="13" s="1"/>
  <c r="R348" i="13"/>
  <c r="N348" i="13" s="1"/>
  <c r="V348" i="13" s="1"/>
  <c r="R347" i="13"/>
  <c r="N347" i="13" s="1"/>
  <c r="V347" i="13" s="1"/>
  <c r="AC346" i="13"/>
  <c r="R346" i="13"/>
  <c r="N346" i="13" s="1"/>
  <c r="AH345" i="13"/>
  <c r="Z345" i="13"/>
  <c r="R345" i="13"/>
  <c r="N345" i="13" s="1"/>
  <c r="AE345" i="13" s="1"/>
  <c r="R344" i="13"/>
  <c r="N344" i="13"/>
  <c r="V344" i="13" s="1"/>
  <c r="R343" i="13"/>
  <c r="N343" i="13" s="1"/>
  <c r="AC343" i="13" s="1"/>
  <c r="R342" i="13"/>
  <c r="N342" i="13" s="1"/>
  <c r="AH341" i="13"/>
  <c r="AC341" i="13"/>
  <c r="Z341" i="13"/>
  <c r="X341" i="13"/>
  <c r="R341" i="13"/>
  <c r="N341" i="13" s="1"/>
  <c r="AH340" i="13"/>
  <c r="Z340" i="13"/>
  <c r="R340" i="13"/>
  <c r="N340" i="13" s="1"/>
  <c r="AB340" i="13" s="1"/>
  <c r="AH339" i="13"/>
  <c r="Z339" i="13"/>
  <c r="R339" i="13"/>
  <c r="N339" i="13" s="1"/>
  <c r="AH338" i="13"/>
  <c r="Z338" i="13"/>
  <c r="R338" i="13"/>
  <c r="N338" i="13" s="1"/>
  <c r="AC338" i="13" s="1"/>
  <c r="AH337" i="13"/>
  <c r="AC337" i="13"/>
  <c r="Z337" i="13"/>
  <c r="X337" i="13"/>
  <c r="R337" i="13"/>
  <c r="N337" i="13" s="1"/>
  <c r="AH336" i="13"/>
  <c r="Z336" i="13"/>
  <c r="R336" i="13"/>
  <c r="N336" i="13" s="1"/>
  <c r="R335" i="13"/>
  <c r="N335" i="13"/>
  <c r="AH334" i="13"/>
  <c r="Z334" i="13"/>
  <c r="R334" i="13"/>
  <c r="N334" i="13"/>
  <c r="AC334" i="13" s="1"/>
  <c r="AH333" i="13"/>
  <c r="Z333" i="13"/>
  <c r="R333" i="13"/>
  <c r="N333" i="13" s="1"/>
  <c r="AB333" i="13" s="1"/>
  <c r="AH332" i="13"/>
  <c r="Z332" i="13"/>
  <c r="R332" i="13"/>
  <c r="N332" i="13" s="1"/>
  <c r="AB332" i="13" s="1"/>
  <c r="AH331" i="13"/>
  <c r="Z331" i="13"/>
  <c r="R331" i="13"/>
  <c r="N331" i="13"/>
  <c r="AC331" i="13" s="1"/>
  <c r="AH330" i="13"/>
  <c r="Z330" i="13"/>
  <c r="R330" i="13"/>
  <c r="N330" i="13" s="1"/>
  <c r="AH329" i="13"/>
  <c r="Z329" i="13"/>
  <c r="R329" i="13"/>
  <c r="N329" i="13" s="1"/>
  <c r="AH328" i="13"/>
  <c r="Z328" i="13"/>
  <c r="R328" i="13"/>
  <c r="N328" i="13" s="1"/>
  <c r="AB328" i="13" s="1"/>
  <c r="AH327" i="13"/>
  <c r="Z327" i="13"/>
  <c r="R327" i="13"/>
  <c r="N327" i="13" s="1"/>
  <c r="AH326" i="13"/>
  <c r="Z326" i="13"/>
  <c r="R326" i="13"/>
  <c r="N326" i="13" s="1"/>
  <c r="AC326" i="13" s="1"/>
  <c r="AH325" i="13"/>
  <c r="Z325" i="13"/>
  <c r="R325" i="13"/>
  <c r="N325" i="13" s="1"/>
  <c r="AB325" i="13" s="1"/>
  <c r="AH324" i="13"/>
  <c r="AE324" i="13"/>
  <c r="Z324" i="13"/>
  <c r="R324" i="13"/>
  <c r="N324" i="13" s="1"/>
  <c r="X324" i="13" s="1"/>
  <c r="AH323" i="13"/>
  <c r="Z323" i="13"/>
  <c r="R323" i="13"/>
  <c r="N323" i="13" s="1"/>
  <c r="AC323" i="13" s="1"/>
  <c r="AH322" i="13"/>
  <c r="Z322" i="13"/>
  <c r="R322" i="13"/>
  <c r="N322" i="13"/>
  <c r="AH321" i="13"/>
  <c r="Z321" i="13"/>
  <c r="R321" i="13"/>
  <c r="N321" i="13" s="1"/>
  <c r="AH320" i="13"/>
  <c r="Z320" i="13"/>
  <c r="R320" i="13"/>
  <c r="N320" i="13" s="1"/>
  <c r="AB320" i="13" s="1"/>
  <c r="AH319" i="13"/>
  <c r="Z319" i="13"/>
  <c r="R319" i="13"/>
  <c r="N319" i="13" s="1"/>
  <c r="AE319" i="13" s="1"/>
  <c r="AH318" i="13"/>
  <c r="Z318" i="13"/>
  <c r="R318" i="13"/>
  <c r="N318" i="13" s="1"/>
  <c r="AC318" i="13" s="1"/>
  <c r="AH317" i="13"/>
  <c r="Z317" i="13"/>
  <c r="R317" i="13"/>
  <c r="N317" i="13" s="1"/>
  <c r="X317" i="13" s="1"/>
  <c r="AH316" i="13"/>
  <c r="Z316" i="13"/>
  <c r="R316" i="13"/>
  <c r="N316" i="13" s="1"/>
  <c r="X316" i="13" s="1"/>
  <c r="AH315" i="13"/>
  <c r="Z315" i="13"/>
  <c r="R315" i="13"/>
  <c r="N315" i="13"/>
  <c r="AC315" i="13" s="1"/>
  <c r="AH314" i="13"/>
  <c r="Z314" i="13"/>
  <c r="R314" i="13"/>
  <c r="N314" i="13" s="1"/>
  <c r="AH313" i="13"/>
  <c r="Z313" i="13"/>
  <c r="R313" i="13"/>
  <c r="N313" i="13" s="1"/>
  <c r="X313" i="13" s="1"/>
  <c r="AH312" i="13"/>
  <c r="Z312" i="13"/>
  <c r="R312" i="13"/>
  <c r="N312" i="13" s="1"/>
  <c r="AH311" i="13"/>
  <c r="Z311" i="13"/>
  <c r="R311" i="13"/>
  <c r="N311" i="13" s="1"/>
  <c r="AH310" i="13"/>
  <c r="Z310" i="13"/>
  <c r="R310" i="13"/>
  <c r="N310" i="13" s="1"/>
  <c r="AH309" i="13"/>
  <c r="Z309" i="13"/>
  <c r="R309" i="13"/>
  <c r="N309" i="13" s="1"/>
  <c r="AB309" i="13" s="1"/>
  <c r="R308" i="13"/>
  <c r="N308" i="13" s="1"/>
  <c r="AC308" i="13" s="1"/>
  <c r="AH307" i="13"/>
  <c r="Z307" i="13"/>
  <c r="R307" i="13"/>
  <c r="N307" i="13" s="1"/>
  <c r="AH306" i="13"/>
  <c r="Z306" i="13"/>
  <c r="R306" i="13"/>
  <c r="N306" i="13"/>
  <c r="AB306" i="13" s="1"/>
  <c r="AH305" i="13"/>
  <c r="Z305" i="13"/>
  <c r="R305" i="13"/>
  <c r="N305" i="13"/>
  <c r="X305" i="13" s="1"/>
  <c r="AH304" i="13"/>
  <c r="AE304" i="13"/>
  <c r="Z304" i="13"/>
  <c r="X304" i="13"/>
  <c r="R304" i="13"/>
  <c r="N304" i="13" s="1"/>
  <c r="AC304" i="13" s="1"/>
  <c r="AH303" i="13"/>
  <c r="Z303" i="13"/>
  <c r="R303" i="13"/>
  <c r="N303" i="13" s="1"/>
  <c r="AH302" i="13"/>
  <c r="Z302" i="13"/>
  <c r="R302" i="13"/>
  <c r="N302" i="13"/>
  <c r="AB302" i="13" s="1"/>
  <c r="AH301" i="13"/>
  <c r="Z301" i="13"/>
  <c r="R301" i="13"/>
  <c r="N301" i="13" s="1"/>
  <c r="AH300" i="13"/>
  <c r="Z300" i="13"/>
  <c r="R300" i="13"/>
  <c r="N300" i="13" s="1"/>
  <c r="AC300" i="13" s="1"/>
  <c r="AH299" i="13"/>
  <c r="Z299" i="13"/>
  <c r="R299" i="13"/>
  <c r="N299" i="13"/>
  <c r="X299" i="13" s="1"/>
  <c r="AH298" i="13"/>
  <c r="Z298" i="13"/>
  <c r="R298" i="13"/>
  <c r="N298" i="13" s="1"/>
  <c r="AC297" i="13"/>
  <c r="R297" i="13"/>
  <c r="N297" i="13" s="1"/>
  <c r="R296" i="13"/>
  <c r="N296" i="13" s="1"/>
  <c r="R295" i="13"/>
  <c r="N295" i="13" s="1"/>
  <c r="V295" i="13" s="1"/>
  <c r="AH294" i="13"/>
  <c r="AC294" i="13"/>
  <c r="Z294" i="13"/>
  <c r="N294" i="13"/>
  <c r="X294" i="13" s="1"/>
  <c r="AH293" i="13"/>
  <c r="Z293" i="13"/>
  <c r="R293" i="13"/>
  <c r="N293" i="13"/>
  <c r="AB293" i="13" s="1"/>
  <c r="AH292" i="13"/>
  <c r="Z292" i="13"/>
  <c r="R292" i="13"/>
  <c r="N292" i="13" s="1"/>
  <c r="AB292" i="13" s="1"/>
  <c r="AH291" i="13"/>
  <c r="Z291" i="13"/>
  <c r="R291" i="13"/>
  <c r="N291" i="13" s="1"/>
  <c r="AC291" i="13" s="1"/>
  <c r="AH290" i="13"/>
  <c r="Z290" i="13"/>
  <c r="R290" i="13"/>
  <c r="N290" i="13" s="1"/>
  <c r="AH289" i="13"/>
  <c r="Z289" i="13"/>
  <c r="R289" i="13"/>
  <c r="N289" i="13" s="1"/>
  <c r="AB289" i="13" s="1"/>
  <c r="AH288" i="13"/>
  <c r="Z288" i="13"/>
  <c r="R288" i="13"/>
  <c r="N288" i="13"/>
  <c r="AB288" i="13" s="1"/>
  <c r="AH287" i="13"/>
  <c r="Z287" i="13"/>
  <c r="R287" i="13"/>
  <c r="N287" i="13" s="1"/>
  <c r="AC287" i="13" s="1"/>
  <c r="AH286" i="13"/>
  <c r="Z286" i="13"/>
  <c r="R286" i="13"/>
  <c r="N286" i="13" s="1"/>
  <c r="X286" i="13" s="1"/>
  <c r="AH285" i="13"/>
  <c r="Z285" i="13"/>
  <c r="R285" i="13"/>
  <c r="N285" i="13" s="1"/>
  <c r="AH284" i="13"/>
  <c r="Z284" i="13"/>
  <c r="R284" i="13"/>
  <c r="N284" i="13"/>
  <c r="AH283" i="13"/>
  <c r="Z283" i="13"/>
  <c r="R283" i="13"/>
  <c r="N283" i="13" s="1"/>
  <c r="AE283" i="13" s="1"/>
  <c r="AH282" i="13"/>
  <c r="Z282" i="13"/>
  <c r="R282" i="13"/>
  <c r="N282" i="13" s="1"/>
  <c r="X282" i="13" s="1"/>
  <c r="AH281" i="13"/>
  <c r="Z281" i="13"/>
  <c r="R281" i="13"/>
  <c r="N281" i="13" s="1"/>
  <c r="AH280" i="13"/>
  <c r="Z280" i="13"/>
  <c r="R280" i="13"/>
  <c r="N280" i="13" s="1"/>
  <c r="AH279" i="13"/>
  <c r="Z279" i="13"/>
  <c r="R279" i="13"/>
  <c r="N279" i="13" s="1"/>
  <c r="AE279" i="13" s="1"/>
  <c r="AH278" i="13"/>
  <c r="Z278" i="13"/>
  <c r="R278" i="13"/>
  <c r="N278" i="13" s="1"/>
  <c r="X278" i="13" s="1"/>
  <c r="AH277" i="13"/>
  <c r="Z277" i="13"/>
  <c r="R277" i="13"/>
  <c r="N277" i="13" s="1"/>
  <c r="AH276" i="13"/>
  <c r="Z276" i="13"/>
  <c r="R276" i="13"/>
  <c r="N276" i="13" s="1"/>
  <c r="AH275" i="13"/>
  <c r="AC275" i="13"/>
  <c r="Z275" i="13"/>
  <c r="X275" i="13"/>
  <c r="R275" i="13"/>
  <c r="N275" i="13" s="1"/>
  <c r="AE275" i="13" s="1"/>
  <c r="AH274" i="13"/>
  <c r="R274" i="13"/>
  <c r="N274" i="13" s="1"/>
  <c r="AC274" i="13" s="1"/>
  <c r="AH273" i="13"/>
  <c r="Z273" i="13"/>
  <c r="R273" i="13"/>
  <c r="N273" i="13" s="1"/>
  <c r="X273" i="13" s="1"/>
  <c r="AH272" i="13"/>
  <c r="Z272" i="13"/>
  <c r="R272" i="13"/>
  <c r="N272" i="13" s="1"/>
  <c r="AE272" i="13" s="1"/>
  <c r="AH271" i="13"/>
  <c r="Z271" i="13"/>
  <c r="R271" i="13"/>
  <c r="N271" i="13" s="1"/>
  <c r="AH270" i="13"/>
  <c r="Z270" i="13"/>
  <c r="R270" i="13"/>
  <c r="N270" i="13" s="1"/>
  <c r="AH269" i="13"/>
  <c r="Z269" i="13"/>
  <c r="R269" i="13"/>
  <c r="N269" i="13" s="1"/>
  <c r="X269" i="13" s="1"/>
  <c r="AH268" i="13"/>
  <c r="Z268" i="13"/>
  <c r="R268" i="13"/>
  <c r="N268" i="13" s="1"/>
  <c r="AH267" i="13"/>
  <c r="Z267" i="13"/>
  <c r="R267" i="13"/>
  <c r="N267" i="13" s="1"/>
  <c r="AH266" i="13"/>
  <c r="Z266" i="13"/>
  <c r="R266" i="13"/>
  <c r="N266" i="13" s="1"/>
  <c r="AE266" i="13" s="1"/>
  <c r="AH265" i="13"/>
  <c r="AC265" i="13"/>
  <c r="Z265" i="13"/>
  <c r="R265" i="13"/>
  <c r="N265" i="13" s="1"/>
  <c r="X265" i="13" s="1"/>
  <c r="AH264" i="13"/>
  <c r="Z264" i="13"/>
  <c r="R264" i="13"/>
  <c r="N264" i="13" s="1"/>
  <c r="AE264" i="13" s="1"/>
  <c r="AH263" i="13"/>
  <c r="Z263" i="13"/>
  <c r="R263" i="13"/>
  <c r="N263" i="13" s="1"/>
  <c r="AH262" i="13"/>
  <c r="Z262" i="13"/>
  <c r="R262" i="13"/>
  <c r="N262" i="13" s="1"/>
  <c r="AE262" i="13" s="1"/>
  <c r="AH261" i="13"/>
  <c r="Z261" i="13"/>
  <c r="R261" i="13"/>
  <c r="N261" i="13" s="1"/>
  <c r="X261" i="13" s="1"/>
  <c r="AH260" i="13"/>
  <c r="Z260" i="13"/>
  <c r="R260" i="13"/>
  <c r="N260" i="13"/>
  <c r="AE260" i="13" s="1"/>
  <c r="AH259" i="13"/>
  <c r="R259" i="13"/>
  <c r="N259" i="13" s="1"/>
  <c r="AH258" i="13"/>
  <c r="R258" i="13"/>
  <c r="N258" i="13" s="1"/>
  <c r="AH257" i="13"/>
  <c r="Z257" i="13"/>
  <c r="R257" i="13"/>
  <c r="N257" i="13" s="1"/>
  <c r="AH256" i="13"/>
  <c r="Z256" i="13"/>
  <c r="R256" i="13"/>
  <c r="N256" i="13" s="1"/>
  <c r="AE256" i="13" s="1"/>
  <c r="AH255" i="13"/>
  <c r="Z255" i="13"/>
  <c r="R255" i="13"/>
  <c r="N255" i="13" s="1"/>
  <c r="X255" i="13" s="1"/>
  <c r="AH254" i="13"/>
  <c r="Z254" i="13"/>
  <c r="R254" i="13"/>
  <c r="N254" i="13" s="1"/>
  <c r="AE254" i="13" s="1"/>
  <c r="AH253" i="13"/>
  <c r="Z253" i="13"/>
  <c r="R253" i="13"/>
  <c r="N253" i="13" s="1"/>
  <c r="AC253" i="13" s="1"/>
  <c r="AH252" i="13"/>
  <c r="Z252" i="13"/>
  <c r="R252" i="13"/>
  <c r="N252" i="13" s="1"/>
  <c r="AE252" i="13" s="1"/>
  <c r="AH251" i="13"/>
  <c r="Z251" i="13"/>
  <c r="R251" i="13"/>
  <c r="N251" i="13" s="1"/>
  <c r="AB251" i="13" s="1"/>
  <c r="AH250" i="13"/>
  <c r="Z250" i="13"/>
  <c r="R250" i="13"/>
  <c r="N250" i="13" s="1"/>
  <c r="AE250" i="13" s="1"/>
  <c r="AH249" i="13"/>
  <c r="Z249" i="13"/>
  <c r="R249" i="13"/>
  <c r="N249" i="13" s="1"/>
  <c r="AH248" i="13"/>
  <c r="Z248" i="13"/>
  <c r="R248" i="13"/>
  <c r="N248" i="13" s="1"/>
  <c r="AH247" i="13"/>
  <c r="R247" i="13"/>
  <c r="N247" i="13" s="1"/>
  <c r="AH246" i="13"/>
  <c r="Z246" i="13"/>
  <c r="R246" i="13"/>
  <c r="N246" i="13" s="1"/>
  <c r="AH245" i="13"/>
  <c r="Z245" i="13"/>
  <c r="R245" i="13"/>
  <c r="N245" i="13"/>
  <c r="AC245" i="13" s="1"/>
  <c r="AH244" i="13"/>
  <c r="Z244" i="13"/>
  <c r="R244" i="13"/>
  <c r="N244" i="13" s="1"/>
  <c r="AH243" i="13"/>
  <c r="Z243" i="13"/>
  <c r="R243" i="13"/>
  <c r="N243" i="13" s="1"/>
  <c r="AH242" i="13"/>
  <c r="Z242" i="13"/>
  <c r="R242" i="13"/>
  <c r="N242" i="13" s="1"/>
  <c r="AH241" i="13"/>
  <c r="Z241" i="13"/>
  <c r="R241" i="13"/>
  <c r="N241" i="13" s="1"/>
  <c r="AC241" i="13" s="1"/>
  <c r="AH240" i="13"/>
  <c r="Z240" i="13"/>
  <c r="R240" i="13"/>
  <c r="N240" i="13" s="1"/>
  <c r="X240" i="13" s="1"/>
  <c r="AH239" i="13"/>
  <c r="Z239" i="13"/>
  <c r="R239" i="13"/>
  <c r="N239" i="13" s="1"/>
  <c r="AB239" i="13" s="1"/>
  <c r="AH238" i="13"/>
  <c r="Z238" i="13"/>
  <c r="R238" i="13"/>
  <c r="N238" i="13" s="1"/>
  <c r="AH237" i="13"/>
  <c r="Z237" i="13"/>
  <c r="R237" i="13"/>
  <c r="N237" i="13"/>
  <c r="AH236" i="13"/>
  <c r="Z236" i="13"/>
  <c r="R236" i="13"/>
  <c r="N236" i="13" s="1"/>
  <c r="AE236" i="13" s="1"/>
  <c r="AH235" i="13"/>
  <c r="Z235" i="13"/>
  <c r="R235" i="13"/>
  <c r="N235" i="13" s="1"/>
  <c r="AE235" i="13" s="1"/>
  <c r="AH234" i="13"/>
  <c r="Z234" i="13"/>
  <c r="R234" i="13"/>
  <c r="N234" i="13" s="1"/>
  <c r="AH233" i="13"/>
  <c r="Z233" i="13"/>
  <c r="R233" i="13"/>
  <c r="N233" i="13" s="1"/>
  <c r="AH232" i="13"/>
  <c r="Z232" i="13"/>
  <c r="R232" i="13"/>
  <c r="N232" i="13" s="1"/>
  <c r="AE232" i="13" s="1"/>
  <c r="AH231" i="13"/>
  <c r="Z231" i="13"/>
  <c r="R231" i="13"/>
  <c r="N231" i="13" s="1"/>
  <c r="AB231" i="13" s="1"/>
  <c r="AH230" i="13"/>
  <c r="Z230" i="13"/>
  <c r="R230" i="13"/>
  <c r="N230" i="13" s="1"/>
  <c r="AE230" i="13" s="1"/>
  <c r="AH229" i="13"/>
  <c r="Z229" i="13"/>
  <c r="R229" i="13"/>
  <c r="N229" i="13" s="1"/>
  <c r="AH228" i="13"/>
  <c r="Z228" i="13"/>
  <c r="R228" i="13"/>
  <c r="N228" i="13" s="1"/>
  <c r="AH227" i="13"/>
  <c r="Z227" i="13"/>
  <c r="R227" i="13"/>
  <c r="N227" i="13" s="1"/>
  <c r="AH226" i="13"/>
  <c r="Z226" i="13"/>
  <c r="R226" i="13"/>
  <c r="N226" i="13" s="1"/>
  <c r="AH225" i="13"/>
  <c r="Z225" i="13"/>
  <c r="R225" i="13"/>
  <c r="N225" i="13" s="1"/>
  <c r="AH224" i="13"/>
  <c r="Z224" i="13"/>
  <c r="R224" i="13"/>
  <c r="N224" i="13" s="1"/>
  <c r="AE224" i="13" s="1"/>
  <c r="AH223" i="13"/>
  <c r="Z223" i="13"/>
  <c r="R223" i="13"/>
  <c r="N223" i="13" s="1"/>
  <c r="AH222" i="13"/>
  <c r="Z222" i="13"/>
  <c r="R222" i="13"/>
  <c r="N222" i="13" s="1"/>
  <c r="AH221" i="13"/>
  <c r="Z221" i="13"/>
  <c r="R221" i="13"/>
  <c r="N221" i="13"/>
  <c r="AH220" i="13"/>
  <c r="Z220" i="13"/>
  <c r="R220" i="13"/>
  <c r="N220" i="13" s="1"/>
  <c r="AE220" i="13" s="1"/>
  <c r="AH219" i="13"/>
  <c r="Z219" i="13"/>
  <c r="R219" i="13"/>
  <c r="N219" i="13" s="1"/>
  <c r="AE219" i="13" s="1"/>
  <c r="AH218" i="13"/>
  <c r="Z218" i="13"/>
  <c r="R218" i="13"/>
  <c r="N218" i="13" s="1"/>
  <c r="AH217" i="13"/>
  <c r="Z217" i="13"/>
  <c r="R217" i="13"/>
  <c r="N217" i="13" s="1"/>
  <c r="AH216" i="13"/>
  <c r="Z216" i="13"/>
  <c r="R216" i="13"/>
  <c r="N216" i="13" s="1"/>
  <c r="AC216" i="13" s="1"/>
  <c r="AH215" i="13"/>
  <c r="Z215" i="13"/>
  <c r="R215" i="13"/>
  <c r="N215" i="13" s="1"/>
  <c r="AH214" i="13"/>
  <c r="Z214" i="13"/>
  <c r="R214" i="13"/>
  <c r="N214" i="13" s="1"/>
  <c r="AH213" i="13"/>
  <c r="Z213" i="13"/>
  <c r="R213" i="13"/>
  <c r="N213" i="13" s="1"/>
  <c r="AH212" i="13"/>
  <c r="Z212" i="13"/>
  <c r="R212" i="13"/>
  <c r="N212" i="13" s="1"/>
  <c r="AE212" i="13" s="1"/>
  <c r="AH211" i="13"/>
  <c r="Z211" i="13"/>
  <c r="R211" i="13"/>
  <c r="N211" i="13" s="1"/>
  <c r="AH210" i="13"/>
  <c r="Z210" i="13"/>
  <c r="R210" i="13"/>
  <c r="N210" i="13" s="1"/>
  <c r="X210" i="13" s="1"/>
  <c r="AH209" i="13"/>
  <c r="Z209" i="13"/>
  <c r="R209" i="13"/>
  <c r="N209" i="13"/>
  <c r="AE209" i="13" s="1"/>
  <c r="AH208" i="13"/>
  <c r="Z208" i="13"/>
  <c r="R208" i="13"/>
  <c r="N208" i="13" s="1"/>
  <c r="AE208" i="13" s="1"/>
  <c r="R207" i="13"/>
  <c r="N207" i="13" s="1"/>
  <c r="U207" i="13" s="1"/>
  <c r="AH206" i="13"/>
  <c r="Z206" i="13"/>
  <c r="R206" i="13"/>
  <c r="N206" i="13"/>
  <c r="AC206" i="13" s="1"/>
  <c r="AH205" i="13"/>
  <c r="AC205" i="13"/>
  <c r="Z205" i="13"/>
  <c r="X205" i="13"/>
  <c r="N205" i="13"/>
  <c r="R204" i="13"/>
  <c r="N204" i="13" s="1"/>
  <c r="V204" i="13" s="1"/>
  <c r="R203" i="13"/>
  <c r="N203" i="13" s="1"/>
  <c r="V203" i="13" s="1"/>
  <c r="AH202" i="13"/>
  <c r="Z202" i="13"/>
  <c r="R202" i="13"/>
  <c r="N202" i="13" s="1"/>
  <c r="R201" i="13"/>
  <c r="N201" i="13" s="1"/>
  <c r="V201" i="13" s="1"/>
  <c r="AH200" i="13"/>
  <c r="Z200" i="13"/>
  <c r="R200" i="13"/>
  <c r="N200" i="13"/>
  <c r="AC200" i="13" s="1"/>
  <c r="AH199" i="13"/>
  <c r="Z199" i="13"/>
  <c r="R199" i="13"/>
  <c r="N199" i="13" s="1"/>
  <c r="AB199" i="13" s="1"/>
  <c r="AH198" i="13"/>
  <c r="Z198" i="13"/>
  <c r="R198" i="13"/>
  <c r="N198" i="13" s="1"/>
  <c r="AH197" i="13"/>
  <c r="Z197" i="13"/>
  <c r="R197" i="13"/>
  <c r="N197" i="13" s="1"/>
  <c r="AH196" i="13"/>
  <c r="Z196" i="13"/>
  <c r="R196" i="13"/>
  <c r="N196" i="13" s="1"/>
  <c r="AH195" i="13"/>
  <c r="Z195" i="13"/>
  <c r="R195" i="13"/>
  <c r="N195" i="13" s="1"/>
  <c r="X195" i="13" s="1"/>
  <c r="AH194" i="13"/>
  <c r="AE194" i="13"/>
  <c r="Z194" i="13"/>
  <c r="R194" i="13"/>
  <c r="N194" i="13" s="1"/>
  <c r="X194" i="13" s="1"/>
  <c r="AH193" i="13"/>
  <c r="R193" i="13"/>
  <c r="N193" i="13" s="1"/>
  <c r="U193" i="13" s="1"/>
  <c r="AH192" i="13"/>
  <c r="R192" i="13"/>
  <c r="N192" i="13" s="1"/>
  <c r="U192" i="13" s="1"/>
  <c r="AH191" i="13"/>
  <c r="Z191" i="13"/>
  <c r="R191" i="13"/>
  <c r="N191" i="13" s="1"/>
  <c r="X191" i="13" s="1"/>
  <c r="AH190" i="13"/>
  <c r="R190" i="13"/>
  <c r="N190" i="13" s="1"/>
  <c r="AC190" i="13" s="1"/>
  <c r="AH189" i="13"/>
  <c r="R189" i="13"/>
  <c r="N189" i="13" s="1"/>
  <c r="AC189" i="13" s="1"/>
  <c r="AH188" i="13"/>
  <c r="R188" i="13"/>
  <c r="N188" i="13" s="1"/>
  <c r="AC188" i="13" s="1"/>
  <c r="AH187" i="13"/>
  <c r="R187" i="13"/>
  <c r="N187" i="13" s="1"/>
  <c r="AC187" i="13" s="1"/>
  <c r="AH186" i="13"/>
  <c r="R186" i="13"/>
  <c r="N186" i="13" s="1"/>
  <c r="AC186" i="13" s="1"/>
  <c r="AH185" i="13"/>
  <c r="R185" i="13"/>
  <c r="N185" i="13" s="1"/>
  <c r="AC185" i="13" s="1"/>
  <c r="AH184" i="13"/>
  <c r="R184" i="13"/>
  <c r="N184" i="13" s="1"/>
  <c r="R183" i="13"/>
  <c r="N183" i="13" s="1"/>
  <c r="R182" i="13"/>
  <c r="N182" i="13" s="1"/>
  <c r="R181" i="13"/>
  <c r="N181" i="13" s="1"/>
  <c r="R180" i="13"/>
  <c r="N180" i="13" s="1"/>
  <c r="R179" i="13"/>
  <c r="N179" i="13" s="1"/>
  <c r="R178" i="13"/>
  <c r="N178" i="13"/>
  <c r="AC178" i="13" s="1"/>
  <c r="AH177" i="13"/>
  <c r="R177" i="13"/>
  <c r="N177" i="13" s="1"/>
  <c r="AC177" i="13" s="1"/>
  <c r="AH176" i="13"/>
  <c r="R176" i="13"/>
  <c r="N176" i="13" s="1"/>
  <c r="AC176" i="13" s="1"/>
  <c r="AH175" i="13"/>
  <c r="R175" i="13"/>
  <c r="N175" i="13" s="1"/>
  <c r="AC175" i="13" s="1"/>
  <c r="AH174" i="13"/>
  <c r="Z174" i="13"/>
  <c r="R174" i="13"/>
  <c r="N174" i="13" s="1"/>
  <c r="AH173" i="13"/>
  <c r="Z173" i="13"/>
  <c r="X173" i="13"/>
  <c r="R173" i="13"/>
  <c r="N173" i="13" s="1"/>
  <c r="AH172" i="13"/>
  <c r="Z172" i="13"/>
  <c r="R172" i="13"/>
  <c r="N172" i="13" s="1"/>
  <c r="AB172" i="13" s="1"/>
  <c r="AH171" i="13"/>
  <c r="Z171" i="13"/>
  <c r="R171" i="13"/>
  <c r="N171" i="13" s="1"/>
  <c r="AH170" i="13"/>
  <c r="Z170" i="13"/>
  <c r="R170" i="13"/>
  <c r="N170" i="13" s="1"/>
  <c r="AH169" i="13"/>
  <c r="Z169" i="13"/>
  <c r="R169" i="13"/>
  <c r="N169" i="13" s="1"/>
  <c r="X169" i="13" s="1"/>
  <c r="AH168" i="13"/>
  <c r="Z168" i="13"/>
  <c r="R168" i="13"/>
  <c r="N168" i="13" s="1"/>
  <c r="AH167" i="13"/>
  <c r="Z167" i="13"/>
  <c r="R167" i="13"/>
  <c r="N167" i="13" s="1"/>
  <c r="AC167" i="13" s="1"/>
  <c r="AH166" i="13"/>
  <c r="Z166" i="13"/>
  <c r="R166" i="13"/>
  <c r="N166" i="13" s="1"/>
  <c r="AH165" i="13"/>
  <c r="Z165" i="13"/>
  <c r="R165" i="13"/>
  <c r="N165" i="13" s="1"/>
  <c r="AH164" i="13"/>
  <c r="Z164" i="13"/>
  <c r="R164" i="13"/>
  <c r="N164" i="13" s="1"/>
  <c r="AB164" i="13" s="1"/>
  <c r="AH163" i="13"/>
  <c r="Z163" i="13"/>
  <c r="R163" i="13"/>
  <c r="N163" i="13" s="1"/>
  <c r="AH162" i="13"/>
  <c r="Z162" i="13"/>
  <c r="R162" i="13"/>
  <c r="N162" i="13" s="1"/>
  <c r="AH161" i="13"/>
  <c r="Z161" i="13"/>
  <c r="R161" i="13"/>
  <c r="N161" i="13" s="1"/>
  <c r="AH160" i="13"/>
  <c r="Z160" i="13"/>
  <c r="R160" i="13"/>
  <c r="N160" i="13" s="1"/>
  <c r="AB160" i="13" s="1"/>
  <c r="AH159" i="13"/>
  <c r="Z159" i="13"/>
  <c r="R159" i="13"/>
  <c r="N159" i="13" s="1"/>
  <c r="AE159" i="13" s="1"/>
  <c r="AH158" i="13"/>
  <c r="Z158" i="13"/>
  <c r="R158" i="13"/>
  <c r="N158" i="13" s="1"/>
  <c r="AH157" i="13"/>
  <c r="Z157" i="13"/>
  <c r="R157" i="13"/>
  <c r="N157" i="13" s="1"/>
  <c r="AB157" i="13" s="1"/>
  <c r="AH156" i="13"/>
  <c r="AE156" i="13"/>
  <c r="Z156" i="13"/>
  <c r="R156" i="13"/>
  <c r="N156" i="13" s="1"/>
  <c r="AB156" i="13" s="1"/>
  <c r="AH155" i="13"/>
  <c r="R155" i="13"/>
  <c r="N155" i="13" s="1"/>
  <c r="AH154" i="13"/>
  <c r="R154" i="13"/>
  <c r="N154" i="13" s="1"/>
  <c r="U154" i="13" s="1"/>
  <c r="AH153" i="13"/>
  <c r="R153" i="13"/>
  <c r="N153" i="13" s="1"/>
  <c r="U153" i="13" s="1"/>
  <c r="AH152" i="13"/>
  <c r="AC152" i="13"/>
  <c r="R152" i="13"/>
  <c r="N152" i="13" s="1"/>
  <c r="U152" i="13" s="1"/>
  <c r="AH151" i="13"/>
  <c r="V151" i="13"/>
  <c r="R151" i="13"/>
  <c r="N151" i="13" s="1"/>
  <c r="U151" i="13" s="1"/>
  <c r="AH150" i="13"/>
  <c r="R150" i="13"/>
  <c r="N150" i="13" s="1"/>
  <c r="U150" i="13" s="1"/>
  <c r="AH149" i="13"/>
  <c r="R149" i="13"/>
  <c r="N149" i="13" s="1"/>
  <c r="U149" i="13" s="1"/>
  <c r="AH148" i="13"/>
  <c r="R148" i="13"/>
  <c r="N148" i="13" s="1"/>
  <c r="U148" i="13" s="1"/>
  <c r="AH147" i="13"/>
  <c r="Z147" i="13"/>
  <c r="R147" i="13"/>
  <c r="N147" i="13" s="1"/>
  <c r="AE147" i="13" s="1"/>
  <c r="AH146" i="13"/>
  <c r="Z146" i="13"/>
  <c r="R146" i="13"/>
  <c r="N146" i="13"/>
  <c r="AC146" i="13" s="1"/>
  <c r="AH145" i="13"/>
  <c r="Z145" i="13"/>
  <c r="R145" i="13"/>
  <c r="N145" i="13" s="1"/>
  <c r="AH144" i="13"/>
  <c r="Z144" i="13"/>
  <c r="R144" i="13"/>
  <c r="N144" i="13" s="1"/>
  <c r="AH143" i="13"/>
  <c r="Z143" i="13"/>
  <c r="R143" i="13"/>
  <c r="N143" i="13" s="1"/>
  <c r="AH142" i="13"/>
  <c r="Z142" i="13"/>
  <c r="R142" i="13"/>
  <c r="N142" i="13" s="1"/>
  <c r="AH141" i="13"/>
  <c r="Z141" i="13"/>
  <c r="R141" i="13"/>
  <c r="N141" i="13" s="1"/>
  <c r="AB141" i="13" s="1"/>
  <c r="AH140" i="13"/>
  <c r="Z140" i="13"/>
  <c r="R140" i="13"/>
  <c r="N140" i="13" s="1"/>
  <c r="AB140" i="13" s="1"/>
  <c r="AH139" i="13"/>
  <c r="Z139" i="13"/>
  <c r="R139" i="13"/>
  <c r="N139" i="13" s="1"/>
  <c r="AH138" i="13"/>
  <c r="Z138" i="13"/>
  <c r="R138" i="13"/>
  <c r="N138" i="13" s="1"/>
  <c r="AC138" i="13" s="1"/>
  <c r="AH137" i="13"/>
  <c r="Z137" i="13"/>
  <c r="R137" i="13"/>
  <c r="N137" i="13" s="1"/>
  <c r="AB137" i="13" s="1"/>
  <c r="AH136" i="13"/>
  <c r="Z136" i="13"/>
  <c r="R136" i="13"/>
  <c r="N136" i="13" s="1"/>
  <c r="AE136" i="13" s="1"/>
  <c r="AH135" i="13"/>
  <c r="Z135" i="13"/>
  <c r="R135" i="13"/>
  <c r="N135" i="13" s="1"/>
  <c r="AH134" i="13"/>
  <c r="Z134" i="13"/>
  <c r="R134" i="13"/>
  <c r="N134" i="13"/>
  <c r="AC134" i="13" s="1"/>
  <c r="AH133" i="13"/>
  <c r="Z133" i="13"/>
  <c r="R133" i="13"/>
  <c r="N133" i="13" s="1"/>
  <c r="AH132" i="13"/>
  <c r="Z132" i="13"/>
  <c r="R132" i="13"/>
  <c r="N132" i="13" s="1"/>
  <c r="AC132" i="13" s="1"/>
  <c r="AH131" i="13"/>
  <c r="Z131" i="13"/>
  <c r="R131" i="13"/>
  <c r="N131" i="13" s="1"/>
  <c r="AH130" i="13"/>
  <c r="Z130" i="13"/>
  <c r="R130" i="13"/>
  <c r="N130" i="13" s="1"/>
  <c r="AB130" i="13" s="1"/>
  <c r="AH129" i="13"/>
  <c r="Z129" i="13"/>
  <c r="R129" i="13"/>
  <c r="N129" i="13" s="1"/>
  <c r="AH128" i="13"/>
  <c r="R128" i="13"/>
  <c r="N128" i="13" s="1"/>
  <c r="AH127" i="13"/>
  <c r="R127" i="13"/>
  <c r="N127" i="13" s="1"/>
  <c r="AH126" i="13"/>
  <c r="R126" i="13"/>
  <c r="N126" i="13" s="1"/>
  <c r="AH125" i="13"/>
  <c r="R125" i="13"/>
  <c r="N125" i="13" s="1"/>
  <c r="AH124" i="13"/>
  <c r="U124" i="13"/>
  <c r="R124" i="13"/>
  <c r="N124" i="13" s="1"/>
  <c r="AH123" i="13"/>
  <c r="Z123" i="13"/>
  <c r="R123" i="13"/>
  <c r="N123" i="13" s="1"/>
  <c r="AB123" i="13" s="1"/>
  <c r="AH122" i="13"/>
  <c r="Z122" i="13"/>
  <c r="R122" i="13"/>
  <c r="N122" i="13" s="1"/>
  <c r="X122" i="13" s="1"/>
  <c r="AH121" i="13"/>
  <c r="Z121" i="13"/>
  <c r="R121" i="13"/>
  <c r="N121" i="13" s="1"/>
  <c r="AC121" i="13" s="1"/>
  <c r="AH120" i="13"/>
  <c r="Z120" i="13"/>
  <c r="R120" i="13"/>
  <c r="N120" i="13" s="1"/>
  <c r="X120" i="13" s="1"/>
  <c r="AH119" i="13"/>
  <c r="Z119" i="13"/>
  <c r="R119" i="13"/>
  <c r="N119" i="13" s="1"/>
  <c r="AB119" i="13" s="1"/>
  <c r="AH118" i="13"/>
  <c r="Z118" i="13"/>
  <c r="R118" i="13"/>
  <c r="N118" i="13" s="1"/>
  <c r="AE118" i="13" s="1"/>
  <c r="AH117" i="13"/>
  <c r="Z117" i="13"/>
  <c r="R117" i="13"/>
  <c r="N117" i="13" s="1"/>
  <c r="AC117" i="13" s="1"/>
  <c r="AH116" i="13"/>
  <c r="Z116" i="13"/>
  <c r="X116" i="13"/>
  <c r="R116" i="13"/>
  <c r="N116" i="13" s="1"/>
  <c r="AH115" i="13"/>
  <c r="Z115" i="13"/>
  <c r="R115" i="13"/>
  <c r="N115" i="13" s="1"/>
  <c r="AB115" i="13" s="1"/>
  <c r="AH114" i="13"/>
  <c r="Z114" i="13"/>
  <c r="R114" i="13"/>
  <c r="N114" i="13" s="1"/>
  <c r="AE114" i="13" s="1"/>
  <c r="AH113" i="13"/>
  <c r="Z113" i="13"/>
  <c r="R113" i="13"/>
  <c r="N113" i="13" s="1"/>
  <c r="AC113" i="13" s="1"/>
  <c r="AH112" i="13"/>
  <c r="Z112" i="13"/>
  <c r="R112" i="13"/>
  <c r="N112" i="13" s="1"/>
  <c r="X112" i="13" s="1"/>
  <c r="AH111" i="13"/>
  <c r="Z111" i="13"/>
  <c r="R111" i="13"/>
  <c r="N111" i="13"/>
  <c r="AB111" i="13" s="1"/>
  <c r="AH110" i="13"/>
  <c r="Z110" i="13"/>
  <c r="R110" i="13"/>
  <c r="N110" i="13" s="1"/>
  <c r="AE110" i="13" s="1"/>
  <c r="AH109" i="13"/>
  <c r="Z109" i="13"/>
  <c r="R109" i="13"/>
  <c r="N109" i="13" s="1"/>
  <c r="AC109" i="13" s="1"/>
  <c r="AH108" i="13"/>
  <c r="Z108" i="13"/>
  <c r="X108" i="13"/>
  <c r="R108" i="13"/>
  <c r="N108" i="13" s="1"/>
  <c r="AH107" i="13"/>
  <c r="Z107" i="13"/>
  <c r="R107" i="13"/>
  <c r="N107" i="13" s="1"/>
  <c r="AB107" i="13" s="1"/>
  <c r="AH106" i="13"/>
  <c r="Z106" i="13"/>
  <c r="R106" i="13"/>
  <c r="N106" i="13" s="1"/>
  <c r="AE106" i="13" s="1"/>
  <c r="AH105" i="13"/>
  <c r="Z105" i="13"/>
  <c r="R105" i="13"/>
  <c r="N105" i="13" s="1"/>
  <c r="AC105" i="13" s="1"/>
  <c r="AH104" i="13"/>
  <c r="Z104" i="13"/>
  <c r="R104" i="13"/>
  <c r="N104" i="13" s="1"/>
  <c r="X104" i="13" s="1"/>
  <c r="AH103" i="13"/>
  <c r="Z103" i="13"/>
  <c r="R103" i="13"/>
  <c r="N103" i="13" s="1"/>
  <c r="AB103" i="13" s="1"/>
  <c r="AH102" i="13"/>
  <c r="Z102" i="13"/>
  <c r="R102" i="13"/>
  <c r="N102" i="13" s="1"/>
  <c r="AE102" i="13" s="1"/>
  <c r="AH101" i="13"/>
  <c r="Z101" i="13"/>
  <c r="R101" i="13"/>
  <c r="N101" i="13" s="1"/>
  <c r="AC101" i="13" s="1"/>
  <c r="AH100" i="13"/>
  <c r="Z100" i="13"/>
  <c r="R100" i="13"/>
  <c r="N100" i="13" s="1"/>
  <c r="X100" i="13" s="1"/>
  <c r="AH99" i="13"/>
  <c r="Z99" i="13"/>
  <c r="R99" i="13"/>
  <c r="N99" i="13"/>
  <c r="AB99" i="13" s="1"/>
  <c r="AH98" i="13"/>
  <c r="Z98" i="13"/>
  <c r="R98" i="13"/>
  <c r="N98" i="13" s="1"/>
  <c r="AE98" i="13" s="1"/>
  <c r="AH97" i="13"/>
  <c r="Z97" i="13"/>
  <c r="R97" i="13"/>
  <c r="N97" i="13" s="1"/>
  <c r="AC97" i="13" s="1"/>
  <c r="AH96" i="13"/>
  <c r="Z96" i="13"/>
  <c r="R96" i="13"/>
  <c r="N96" i="13" s="1"/>
  <c r="X96" i="13" s="1"/>
  <c r="AH95" i="13"/>
  <c r="Z95" i="13"/>
  <c r="R95" i="13"/>
  <c r="N95" i="13" s="1"/>
  <c r="AB95" i="13" s="1"/>
  <c r="AH94" i="13"/>
  <c r="Z94" i="13"/>
  <c r="R94" i="13"/>
  <c r="N94" i="13" s="1"/>
  <c r="AE94" i="13" s="1"/>
  <c r="AH93" i="13"/>
  <c r="Z93" i="13"/>
  <c r="R93" i="13"/>
  <c r="N93" i="13" s="1"/>
  <c r="AC93" i="13" s="1"/>
  <c r="AH92" i="13"/>
  <c r="Z92" i="13"/>
  <c r="R92" i="13"/>
  <c r="N92" i="13" s="1"/>
  <c r="X92" i="13" s="1"/>
  <c r="AH91" i="13"/>
  <c r="Z91" i="13"/>
  <c r="R91" i="13"/>
  <c r="N91" i="13" s="1"/>
  <c r="AB91" i="13" s="1"/>
  <c r="AH90" i="13"/>
  <c r="Z90" i="13"/>
  <c r="R90" i="13"/>
  <c r="N90" i="13" s="1"/>
  <c r="AE90" i="13" s="1"/>
  <c r="AH89" i="13"/>
  <c r="Z89" i="13"/>
  <c r="R89" i="13"/>
  <c r="N89" i="13" s="1"/>
  <c r="AC89" i="13" s="1"/>
  <c r="AH88" i="13"/>
  <c r="Z88" i="13"/>
  <c r="R88" i="13"/>
  <c r="N88" i="13" s="1"/>
  <c r="X88" i="13" s="1"/>
  <c r="AH87" i="13"/>
  <c r="Z87" i="13"/>
  <c r="R87" i="13"/>
  <c r="N87" i="13" s="1"/>
  <c r="AB87" i="13" s="1"/>
  <c r="AH86" i="13"/>
  <c r="Z86" i="13"/>
  <c r="R86" i="13"/>
  <c r="N86" i="13" s="1"/>
  <c r="X86" i="13" s="1"/>
  <c r="AH85" i="13"/>
  <c r="Z85" i="13"/>
  <c r="R85" i="13"/>
  <c r="N85" i="13" s="1"/>
  <c r="AC85" i="13" s="1"/>
  <c r="AH84" i="13"/>
  <c r="Z84" i="13"/>
  <c r="R84" i="13"/>
  <c r="N84" i="13" s="1"/>
  <c r="AB84" i="13" s="1"/>
  <c r="AH83" i="13"/>
  <c r="Z83" i="13"/>
  <c r="R83" i="13"/>
  <c r="N83" i="13"/>
  <c r="AH82" i="13"/>
  <c r="Z82" i="13"/>
  <c r="R82" i="13"/>
  <c r="N82" i="13" s="1"/>
  <c r="AE82" i="13" s="1"/>
  <c r="AH81" i="13"/>
  <c r="Z81" i="13"/>
  <c r="R81" i="13"/>
  <c r="N81" i="13" s="1"/>
  <c r="AC81" i="13" s="1"/>
  <c r="AH80" i="13"/>
  <c r="Z80" i="13"/>
  <c r="R80" i="13"/>
  <c r="N80" i="13" s="1"/>
  <c r="AB80" i="13" s="1"/>
  <c r="AH79" i="13"/>
  <c r="Z79" i="13"/>
  <c r="R79" i="13"/>
  <c r="N79" i="13" s="1"/>
  <c r="AB79" i="13" s="1"/>
  <c r="AH78" i="13"/>
  <c r="Z78" i="13"/>
  <c r="R78" i="13"/>
  <c r="N78" i="13" s="1"/>
  <c r="AH77" i="13"/>
  <c r="Z77" i="13"/>
  <c r="R77" i="13"/>
  <c r="N77" i="13" s="1"/>
  <c r="AH76" i="13"/>
  <c r="Z76" i="13"/>
  <c r="X76" i="13"/>
  <c r="R76" i="13"/>
  <c r="N76" i="13" s="1"/>
  <c r="AB76" i="13" s="1"/>
  <c r="AH75" i="13"/>
  <c r="Z75" i="13"/>
  <c r="R75" i="13"/>
  <c r="N75" i="13" s="1"/>
  <c r="AH74" i="13"/>
  <c r="Z74" i="13"/>
  <c r="R74" i="13"/>
  <c r="N74" i="13" s="1"/>
  <c r="AH73" i="13"/>
  <c r="Z73" i="13"/>
  <c r="R73" i="13"/>
  <c r="N73" i="13" s="1"/>
  <c r="AH72" i="13"/>
  <c r="Z72" i="13"/>
  <c r="R72" i="13"/>
  <c r="N72" i="13" s="1"/>
  <c r="X72" i="13" s="1"/>
  <c r="AH71" i="13"/>
  <c r="Z71" i="13"/>
  <c r="R71" i="13"/>
  <c r="N71" i="13" s="1"/>
  <c r="AH70" i="13"/>
  <c r="Z70" i="13"/>
  <c r="R70" i="13"/>
  <c r="N70" i="13" s="1"/>
  <c r="AE70" i="13" s="1"/>
  <c r="AH69" i="13"/>
  <c r="Z69" i="13"/>
  <c r="R69" i="13"/>
  <c r="N69" i="13" s="1"/>
  <c r="AE69" i="13" s="1"/>
  <c r="AH68" i="13"/>
  <c r="Z68" i="13"/>
  <c r="R68" i="13"/>
  <c r="N68" i="13" s="1"/>
  <c r="X68" i="13" s="1"/>
  <c r="AH67" i="13"/>
  <c r="Z67" i="13"/>
  <c r="R67" i="13"/>
  <c r="N67" i="13" s="1"/>
  <c r="AE67" i="13" s="1"/>
  <c r="AH66" i="13"/>
  <c r="Z66" i="13"/>
  <c r="R66" i="13"/>
  <c r="N66" i="13" s="1"/>
  <c r="AH65" i="13"/>
  <c r="Z65" i="13"/>
  <c r="R65" i="13"/>
  <c r="N65" i="13" s="1"/>
  <c r="AE65" i="13" s="1"/>
  <c r="AH64" i="13"/>
  <c r="Z64" i="13"/>
  <c r="X64" i="13"/>
  <c r="R64" i="13"/>
  <c r="N64" i="13" s="1"/>
  <c r="AE64" i="13" s="1"/>
  <c r="AH63" i="13"/>
  <c r="Z63" i="13"/>
  <c r="R63" i="13"/>
  <c r="N63" i="13" s="1"/>
  <c r="R62" i="13"/>
  <c r="N62" i="13"/>
  <c r="AH61" i="13"/>
  <c r="Z61" i="13"/>
  <c r="R61" i="13"/>
  <c r="N61" i="13" s="1"/>
  <c r="AC61" i="13" s="1"/>
  <c r="AH60" i="13"/>
  <c r="Z60" i="13"/>
  <c r="R60" i="13"/>
  <c r="N60" i="13" s="1"/>
  <c r="X60" i="13" s="1"/>
  <c r="AH59" i="13"/>
  <c r="Z59" i="13"/>
  <c r="R59" i="13"/>
  <c r="N59" i="13" s="1"/>
  <c r="X59" i="13" s="1"/>
  <c r="AH58" i="13"/>
  <c r="Z58" i="13"/>
  <c r="R58" i="13"/>
  <c r="N58" i="13"/>
  <c r="AE58" i="13" s="1"/>
  <c r="AH57" i="13"/>
  <c r="Z57" i="13"/>
  <c r="R57" i="13"/>
  <c r="N57" i="13"/>
  <c r="AC57" i="13" s="1"/>
  <c r="AH56" i="13"/>
  <c r="Z56" i="13"/>
  <c r="R56" i="13"/>
  <c r="N56" i="13" s="1"/>
  <c r="AH55" i="13"/>
  <c r="Z55" i="13"/>
  <c r="R55" i="13"/>
  <c r="N55" i="13" s="1"/>
  <c r="X55" i="13" s="1"/>
  <c r="AH54" i="13"/>
  <c r="Z54" i="13"/>
  <c r="R54" i="13"/>
  <c r="N54" i="13" s="1"/>
  <c r="AH53" i="13"/>
  <c r="Z53" i="13"/>
  <c r="R53" i="13"/>
  <c r="N53" i="13"/>
  <c r="AC53" i="13" s="1"/>
  <c r="AH52" i="13"/>
  <c r="Z52" i="13"/>
  <c r="R52" i="13"/>
  <c r="N52" i="13" s="1"/>
  <c r="X52" i="13" s="1"/>
  <c r="AH51" i="13"/>
  <c r="Z51" i="13"/>
  <c r="R51" i="13"/>
  <c r="N51" i="13" s="1"/>
  <c r="X51" i="13" s="1"/>
  <c r="AH50" i="13"/>
  <c r="Z50" i="13"/>
  <c r="R50" i="13"/>
  <c r="N50" i="13" s="1"/>
  <c r="X50" i="13" s="1"/>
  <c r="AH49" i="13"/>
  <c r="Z49" i="13"/>
  <c r="R49" i="13"/>
  <c r="N49" i="13" s="1"/>
  <c r="AH48" i="13"/>
  <c r="Z48" i="13"/>
  <c r="R48" i="13"/>
  <c r="N48" i="13"/>
  <c r="X48" i="13" s="1"/>
  <c r="AH47" i="13"/>
  <c r="Z47" i="13"/>
  <c r="R47" i="13"/>
  <c r="N47" i="13" s="1"/>
  <c r="AH46" i="13"/>
  <c r="Z46" i="13"/>
  <c r="R46" i="13"/>
  <c r="N46" i="13"/>
  <c r="AE46" i="13" s="1"/>
  <c r="AH45" i="13"/>
  <c r="Z45" i="13"/>
  <c r="R45" i="13"/>
  <c r="N45" i="13" s="1"/>
  <c r="AH44" i="13"/>
  <c r="Z44" i="13"/>
  <c r="R44" i="13"/>
  <c r="N44" i="13" s="1"/>
  <c r="AH43" i="13"/>
  <c r="Z43" i="13"/>
  <c r="R43" i="13"/>
  <c r="N43" i="13" s="1"/>
  <c r="AH42" i="13"/>
  <c r="Z42" i="13"/>
  <c r="R42" i="13"/>
  <c r="N42" i="13" s="1"/>
  <c r="AH41" i="13"/>
  <c r="Z41" i="13"/>
  <c r="R41" i="13"/>
  <c r="N41" i="13" s="1"/>
  <c r="AH40" i="13"/>
  <c r="Z40" i="13"/>
  <c r="R40" i="13"/>
  <c r="N40" i="13"/>
  <c r="X40" i="13" s="1"/>
  <c r="AH39" i="13"/>
  <c r="Z39" i="13"/>
  <c r="R39" i="13"/>
  <c r="N39" i="13" s="1"/>
  <c r="AH38" i="13"/>
  <c r="Z38" i="13"/>
  <c r="R38" i="13"/>
  <c r="N38" i="13" s="1"/>
  <c r="AE38" i="13" s="1"/>
  <c r="AH37" i="13"/>
  <c r="Z37" i="13"/>
  <c r="R37" i="13"/>
  <c r="N37" i="13" s="1"/>
  <c r="AH36" i="13"/>
  <c r="Z36" i="13"/>
  <c r="R36" i="13"/>
  <c r="N36" i="13" s="1"/>
  <c r="AH35" i="13"/>
  <c r="Z35" i="13"/>
  <c r="R35" i="13"/>
  <c r="N35" i="13"/>
  <c r="AE35" i="13" s="1"/>
  <c r="AH34" i="13"/>
  <c r="Z34" i="13"/>
  <c r="R34" i="13"/>
  <c r="N34" i="13"/>
  <c r="AE34" i="13" s="1"/>
  <c r="AH33" i="13"/>
  <c r="Z33" i="13"/>
  <c r="R33" i="13"/>
  <c r="N33" i="13" s="1"/>
  <c r="AH32" i="13"/>
  <c r="Z32" i="13"/>
  <c r="R32" i="13"/>
  <c r="N32" i="13" s="1"/>
  <c r="AH31" i="13"/>
  <c r="Z31" i="13"/>
  <c r="R31" i="13"/>
  <c r="N31" i="13" s="1"/>
  <c r="AB31" i="13" s="1"/>
  <c r="AH30" i="13"/>
  <c r="Z30" i="13"/>
  <c r="R30" i="13"/>
  <c r="N30" i="13" s="1"/>
  <c r="AE30" i="13" s="1"/>
  <c r="AH29" i="13"/>
  <c r="Z29" i="13"/>
  <c r="R29" i="13"/>
  <c r="N29" i="13" s="1"/>
  <c r="AH28" i="13"/>
  <c r="Z28" i="13"/>
  <c r="R28" i="13"/>
  <c r="N28" i="13" s="1"/>
  <c r="X28" i="13" s="1"/>
  <c r="AH27" i="13"/>
  <c r="Z27" i="13"/>
  <c r="R27" i="13"/>
  <c r="N27" i="13" s="1"/>
  <c r="AB27" i="13" s="1"/>
  <c r="AH26" i="13"/>
  <c r="Z26" i="13"/>
  <c r="R26" i="13"/>
  <c r="N26" i="13"/>
  <c r="AE26" i="13" s="1"/>
  <c r="AH25" i="13"/>
  <c r="Z25" i="13"/>
  <c r="R25" i="13"/>
  <c r="N25" i="13" s="1"/>
  <c r="AH24" i="13"/>
  <c r="Z24" i="13"/>
  <c r="R24" i="13"/>
  <c r="N24" i="13" s="1"/>
  <c r="AH23" i="13"/>
  <c r="Z23" i="13"/>
  <c r="R23" i="13"/>
  <c r="N23" i="13" s="1"/>
  <c r="AH22" i="13"/>
  <c r="Z22" i="13"/>
  <c r="R22" i="13"/>
  <c r="N22" i="13" s="1"/>
  <c r="AE22" i="13" s="1"/>
  <c r="AH21" i="13"/>
  <c r="Z21" i="13"/>
  <c r="R21" i="13"/>
  <c r="N21" i="13" s="1"/>
  <c r="AH20" i="13"/>
  <c r="Z20" i="13"/>
  <c r="R20" i="13"/>
  <c r="N20" i="13" s="1"/>
  <c r="AH19" i="13"/>
  <c r="Z19" i="13"/>
  <c r="R19" i="13"/>
  <c r="N19" i="13" s="1"/>
  <c r="AB19" i="13" s="1"/>
  <c r="AH18" i="13"/>
  <c r="Z18" i="13"/>
  <c r="R18" i="13"/>
  <c r="N18" i="13" s="1"/>
  <c r="AE18" i="13" s="1"/>
  <c r="AH17" i="13"/>
  <c r="Z17" i="13"/>
  <c r="R17" i="13"/>
  <c r="N17" i="13" s="1"/>
  <c r="AH16" i="13"/>
  <c r="Z16" i="13"/>
  <c r="R16" i="13"/>
  <c r="N16" i="13" s="1"/>
  <c r="AH15" i="13"/>
  <c r="Z15" i="13"/>
  <c r="R15" i="13"/>
  <c r="N15" i="13"/>
  <c r="AB15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H14" i="13"/>
  <c r="Z14" i="13"/>
  <c r="R14" i="13"/>
  <c r="N14" i="13" s="1"/>
  <c r="AE14" i="13" s="1"/>
  <c r="B14" i="13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A14" i="13"/>
  <c r="AH13" i="13"/>
  <c r="Z13" i="13"/>
  <c r="R13" i="13"/>
  <c r="N13" i="13" s="1"/>
  <c r="T12" i="13"/>
  <c r="S12" i="13"/>
  <c r="Q12" i="13"/>
  <c r="P12" i="13"/>
  <c r="O12" i="13"/>
  <c r="X20" i="13" l="1"/>
  <c r="AB20" i="13"/>
  <c r="AB23" i="13"/>
  <c r="AE23" i="13"/>
  <c r="AE15" i="13"/>
  <c r="AB28" i="13"/>
  <c r="AE31" i="13"/>
  <c r="X46" i="13"/>
  <c r="AE66" i="13"/>
  <c r="X66" i="13"/>
  <c r="AB72" i="13"/>
  <c r="AC229" i="13"/>
  <c r="X229" i="13"/>
  <c r="AE248" i="13"/>
  <c r="X248" i="13"/>
  <c r="AE379" i="13"/>
  <c r="AC379" i="13"/>
  <c r="AB379" i="13"/>
  <c r="X379" i="13"/>
  <c r="X44" i="13"/>
  <c r="AE44" i="13"/>
  <c r="AC44" i="13"/>
  <c r="AB81" i="13"/>
  <c r="X303" i="13"/>
  <c r="AB303" i="13"/>
  <c r="AE303" i="13"/>
  <c r="AB60" i="13"/>
  <c r="AC80" i="13"/>
  <c r="AE86" i="13"/>
  <c r="AC151" i="13"/>
  <c r="AC153" i="13"/>
  <c r="X157" i="13"/>
  <c r="V193" i="13"/>
  <c r="AC194" i="13"/>
  <c r="AE206" i="13"/>
  <c r="X212" i="13"/>
  <c r="AC212" i="13"/>
  <c r="AB235" i="13"/>
  <c r="AB252" i="13"/>
  <c r="AE255" i="13"/>
  <c r="AB265" i="13"/>
  <c r="AE269" i="13"/>
  <c r="U274" i="13"/>
  <c r="X283" i="13"/>
  <c r="AB283" i="13"/>
  <c r="X287" i="13"/>
  <c r="AC295" i="13"/>
  <c r="AE302" i="13"/>
  <c r="AB313" i="13"/>
  <c r="AB324" i="13"/>
  <c r="X325" i="13"/>
  <c r="AE332" i="13"/>
  <c r="AC344" i="13"/>
  <c r="AB195" i="13"/>
  <c r="AB208" i="13"/>
  <c r="AB216" i="13"/>
  <c r="AE231" i="13"/>
  <c r="AB261" i="13"/>
  <c r="AC273" i="13"/>
  <c r="AC283" i="13"/>
  <c r="X288" i="13"/>
  <c r="X302" i="13"/>
  <c r="AC302" i="13"/>
  <c r="X306" i="13"/>
  <c r="AE316" i="13"/>
  <c r="U344" i="13"/>
  <c r="X393" i="13"/>
  <c r="AC393" i="13"/>
  <c r="U296" i="13"/>
  <c r="V296" i="13"/>
  <c r="X24" i="13"/>
  <c r="AE24" i="13"/>
  <c r="AC24" i="13"/>
  <c r="AB24" i="13"/>
  <c r="X16" i="13"/>
  <c r="AE16" i="13"/>
  <c r="AC16" i="13"/>
  <c r="AB16" i="13"/>
  <c r="AB77" i="13"/>
  <c r="AC77" i="13"/>
  <c r="AC183" i="13"/>
  <c r="U183" i="13"/>
  <c r="V183" i="13"/>
  <c r="AB298" i="13"/>
  <c r="AE298" i="13"/>
  <c r="X307" i="13"/>
  <c r="AC307" i="13"/>
  <c r="AE307" i="13"/>
  <c r="AC375" i="13"/>
  <c r="U375" i="13"/>
  <c r="AE71" i="13"/>
  <c r="AB71" i="13"/>
  <c r="AB244" i="13"/>
  <c r="X244" i="13"/>
  <c r="AE244" i="13"/>
  <c r="AC244" i="13"/>
  <c r="X32" i="13"/>
  <c r="AE32" i="13"/>
  <c r="AC32" i="13"/>
  <c r="AB32" i="13"/>
  <c r="AC327" i="13"/>
  <c r="AE327" i="13"/>
  <c r="AE43" i="13"/>
  <c r="AC43" i="13"/>
  <c r="AB163" i="13"/>
  <c r="AE163" i="13"/>
  <c r="AC163" i="13"/>
  <c r="X238" i="13"/>
  <c r="AE238" i="13"/>
  <c r="AE39" i="13"/>
  <c r="AC39" i="13"/>
  <c r="X131" i="13"/>
  <c r="AE131" i="13"/>
  <c r="AC171" i="13"/>
  <c r="AE171" i="13"/>
  <c r="AE197" i="13"/>
  <c r="AC197" i="13"/>
  <c r="X225" i="13"/>
  <c r="AC225" i="13"/>
  <c r="AE42" i="13"/>
  <c r="X42" i="13"/>
  <c r="X242" i="13"/>
  <c r="AE242" i="13"/>
  <c r="AB384" i="13"/>
  <c r="AC384" i="13"/>
  <c r="AC142" i="13"/>
  <c r="X142" i="13"/>
  <c r="AC387" i="13"/>
  <c r="AE387" i="13"/>
  <c r="AB387" i="13"/>
  <c r="X387" i="13"/>
  <c r="AE47" i="13"/>
  <c r="AC47" i="13"/>
  <c r="AE54" i="13"/>
  <c r="AC54" i="13"/>
  <c r="AE143" i="13"/>
  <c r="AC143" i="13"/>
  <c r="X290" i="13"/>
  <c r="AE290" i="13"/>
  <c r="AE311" i="13"/>
  <c r="AC311" i="13"/>
  <c r="AB388" i="13"/>
  <c r="AC388" i="13"/>
  <c r="AC271" i="13"/>
  <c r="X271" i="13"/>
  <c r="AC139" i="13"/>
  <c r="AE139" i="13"/>
  <c r="AE213" i="13"/>
  <c r="AC213" i="13"/>
  <c r="X213" i="13"/>
  <c r="X36" i="13"/>
  <c r="AE36" i="13"/>
  <c r="AB36" i="13"/>
  <c r="AC36" i="13"/>
  <c r="AE73" i="13"/>
  <c r="AB73" i="13"/>
  <c r="X73" i="13"/>
  <c r="AE217" i="13"/>
  <c r="AB217" i="13"/>
  <c r="X217" i="13"/>
  <c r="X246" i="13"/>
  <c r="AE246" i="13"/>
  <c r="AC373" i="13"/>
  <c r="U373" i="13"/>
  <c r="AE383" i="13"/>
  <c r="AC383" i="13"/>
  <c r="X383" i="13"/>
  <c r="AB383" i="13"/>
  <c r="X236" i="13"/>
  <c r="AC19" i="13"/>
  <c r="AE20" i="13"/>
  <c r="AC27" i="13"/>
  <c r="AE28" i="13"/>
  <c r="AC35" i="13"/>
  <c r="AB40" i="13"/>
  <c r="AB48" i="13"/>
  <c r="AC55" i="13"/>
  <c r="X57" i="13"/>
  <c r="X65" i="13"/>
  <c r="AE76" i="13"/>
  <c r="AE122" i="13"/>
  <c r="AE130" i="13"/>
  <c r="X134" i="13"/>
  <c r="AB220" i="13"/>
  <c r="AC224" i="13"/>
  <c r="AB236" i="13"/>
  <c r="X289" i="13"/>
  <c r="AE306" i="13"/>
  <c r="AB317" i="13"/>
  <c r="U347" i="13"/>
  <c r="X366" i="13"/>
  <c r="X220" i="13"/>
  <c r="X224" i="13"/>
  <c r="AE19" i="13"/>
  <c r="AE27" i="13"/>
  <c r="AC40" i="13"/>
  <c r="AC48" i="13"/>
  <c r="AB52" i="13"/>
  <c r="AE55" i="13"/>
  <c r="AC59" i="13"/>
  <c r="AB85" i="13"/>
  <c r="AE132" i="13"/>
  <c r="X208" i="13"/>
  <c r="AB209" i="13"/>
  <c r="AC220" i="13"/>
  <c r="AC236" i="13"/>
  <c r="AB255" i="13"/>
  <c r="V274" i="13"/>
  <c r="U295" i="13"/>
  <c r="AE299" i="13"/>
  <c r="AB305" i="13"/>
  <c r="V308" i="13"/>
  <c r="AB316" i="13"/>
  <c r="AC319" i="13"/>
  <c r="AC347" i="13"/>
  <c r="AE40" i="13"/>
  <c r="AE48" i="13"/>
  <c r="X84" i="13"/>
  <c r="V150" i="13"/>
  <c r="X199" i="13"/>
  <c r="AC255" i="13"/>
  <c r="AB262" i="13"/>
  <c r="AE286" i="13"/>
  <c r="AE289" i="13"/>
  <c r="AB304" i="13"/>
  <c r="AC316" i="13"/>
  <c r="X363" i="13"/>
  <c r="U374" i="13"/>
  <c r="U376" i="13"/>
  <c r="AC15" i="13"/>
  <c r="AC23" i="13"/>
  <c r="AC31" i="13"/>
  <c r="AB44" i="13"/>
  <c r="AC84" i="13"/>
  <c r="AC148" i="13"/>
  <c r="V153" i="13"/>
  <c r="AE167" i="13"/>
  <c r="AB194" i="13"/>
  <c r="X216" i="13"/>
  <c r="AB269" i="13"/>
  <c r="AE278" i="13"/>
  <c r="AC303" i="13"/>
  <c r="AC380" i="13"/>
  <c r="AC20" i="13"/>
  <c r="AC28" i="13"/>
  <c r="AC76" i="13"/>
  <c r="X141" i="13"/>
  <c r="V149" i="13"/>
  <c r="X200" i="13"/>
  <c r="X209" i="13"/>
  <c r="AE216" i="13"/>
  <c r="AC248" i="13"/>
  <c r="AE265" i="13"/>
  <c r="AB275" i="13"/>
  <c r="AE287" i="13"/>
  <c r="AC306" i="13"/>
  <c r="AC324" i="13"/>
  <c r="AE21" i="13"/>
  <c r="AB21" i="13"/>
  <c r="AC21" i="13"/>
  <c r="X21" i="13"/>
  <c r="AE17" i="13"/>
  <c r="AB17" i="13"/>
  <c r="X17" i="13"/>
  <c r="AC17" i="13"/>
  <c r="X25" i="13"/>
  <c r="AE25" i="13"/>
  <c r="AB25" i="13"/>
  <c r="AC25" i="13"/>
  <c r="X33" i="13"/>
  <c r="AE33" i="13"/>
  <c r="AB33" i="13"/>
  <c r="AC33" i="13"/>
  <c r="AC74" i="13"/>
  <c r="AB74" i="13"/>
  <c r="X74" i="13"/>
  <c r="AE74" i="13"/>
  <c r="X41" i="13"/>
  <c r="AE41" i="13"/>
  <c r="AB41" i="13"/>
  <c r="AC41" i="13"/>
  <c r="X13" i="13"/>
  <c r="AE13" i="13"/>
  <c r="AC13" i="13"/>
  <c r="AB13" i="13"/>
  <c r="AC63" i="13"/>
  <c r="X63" i="13"/>
  <c r="AE63" i="13"/>
  <c r="AB63" i="13"/>
  <c r="X45" i="13"/>
  <c r="AE45" i="13"/>
  <c r="AB45" i="13"/>
  <c r="AC45" i="13"/>
  <c r="X37" i="13"/>
  <c r="AE37" i="13"/>
  <c r="AB37" i="13"/>
  <c r="AC37" i="13"/>
  <c r="AE75" i="13"/>
  <c r="AC75" i="13"/>
  <c r="X75" i="13"/>
  <c r="AB75" i="13"/>
  <c r="X29" i="13"/>
  <c r="AE29" i="13"/>
  <c r="AC29" i="13"/>
  <c r="AB29" i="13"/>
  <c r="AB49" i="13"/>
  <c r="X49" i="13"/>
  <c r="AC49" i="13"/>
  <c r="AE49" i="13"/>
  <c r="AE56" i="13"/>
  <c r="AC56" i="13"/>
  <c r="AC78" i="13"/>
  <c r="AB78" i="13"/>
  <c r="R12" i="13"/>
  <c r="N12" i="13" s="1"/>
  <c r="AC50" i="13"/>
  <c r="AE51" i="13"/>
  <c r="X56" i="13"/>
  <c r="AC58" i="13"/>
  <c r="AE59" i="13"/>
  <c r="AB67" i="13"/>
  <c r="AB68" i="13"/>
  <c r="AB69" i="13"/>
  <c r="AC72" i="13"/>
  <c r="AC73" i="13"/>
  <c r="X77" i="13"/>
  <c r="AE77" i="13"/>
  <c r="X78" i="13"/>
  <c r="AE80" i="13"/>
  <c r="AC88" i="13"/>
  <c r="AB88" i="13"/>
  <c r="AB89" i="13"/>
  <c r="AC92" i="13"/>
  <c r="AB92" i="13"/>
  <c r="AB93" i="13"/>
  <c r="AC96" i="13"/>
  <c r="AB96" i="13"/>
  <c r="AB97" i="13"/>
  <c r="AC100" i="13"/>
  <c r="AB100" i="13"/>
  <c r="AB101" i="13"/>
  <c r="AC104" i="13"/>
  <c r="AB104" i="13"/>
  <c r="AB105" i="13"/>
  <c r="AC108" i="13"/>
  <c r="AB108" i="13"/>
  <c r="AB109" i="13"/>
  <c r="AC112" i="13"/>
  <c r="AB112" i="13"/>
  <c r="AB113" i="13"/>
  <c r="AC116" i="13"/>
  <c r="AB116" i="13"/>
  <c r="AB117" i="13"/>
  <c r="AC120" i="13"/>
  <c r="AB120" i="13"/>
  <c r="AB121" i="13"/>
  <c r="AC124" i="13"/>
  <c r="V124" i="13"/>
  <c r="AB135" i="13"/>
  <c r="X135" i="13"/>
  <c r="AE135" i="13"/>
  <c r="AC135" i="13"/>
  <c r="U155" i="13"/>
  <c r="AC155" i="13"/>
  <c r="V155" i="13"/>
  <c r="AE301" i="13"/>
  <c r="AC301" i="13"/>
  <c r="AB301" i="13"/>
  <c r="X301" i="13"/>
  <c r="X38" i="13"/>
  <c r="X19" i="13"/>
  <c r="X23" i="13"/>
  <c r="AB26" i="13"/>
  <c r="X31" i="13"/>
  <c r="AB34" i="13"/>
  <c r="AB38" i="13"/>
  <c r="AB54" i="13"/>
  <c r="X54" i="13"/>
  <c r="AE61" i="13"/>
  <c r="AB61" i="13"/>
  <c r="AB65" i="13"/>
  <c r="AC82" i="13"/>
  <c r="AB82" i="13"/>
  <c r="AE91" i="13"/>
  <c r="AC91" i="13"/>
  <c r="X91" i="13"/>
  <c r="AE95" i="13"/>
  <c r="AC95" i="13"/>
  <c r="X95" i="13"/>
  <c r="AE99" i="13"/>
  <c r="AC99" i="13"/>
  <c r="X99" i="13"/>
  <c r="AE103" i="13"/>
  <c r="AC103" i="13"/>
  <c r="X103" i="13"/>
  <c r="AE107" i="13"/>
  <c r="AC107" i="13"/>
  <c r="X107" i="13"/>
  <c r="AE115" i="13"/>
  <c r="AC115" i="13"/>
  <c r="X115" i="13"/>
  <c r="AE119" i="13"/>
  <c r="AC119" i="13"/>
  <c r="X119" i="13"/>
  <c r="AE123" i="13"/>
  <c r="AC123" i="13"/>
  <c r="X123" i="13"/>
  <c r="AC126" i="13"/>
  <c r="V126" i="13"/>
  <c r="AC128" i="13"/>
  <c r="V128" i="13"/>
  <c r="X14" i="13"/>
  <c r="X18" i="13"/>
  <c r="X26" i="13"/>
  <c r="X30" i="13"/>
  <c r="X34" i="13"/>
  <c r="AC51" i="13"/>
  <c r="AE83" i="13"/>
  <c r="AC83" i="13"/>
  <c r="X83" i="13"/>
  <c r="X27" i="13"/>
  <c r="X43" i="13"/>
  <c r="X47" i="13"/>
  <c r="AE50" i="13"/>
  <c r="AC68" i="13"/>
  <c r="AE72" i="13"/>
  <c r="AC14" i="13"/>
  <c r="AC18" i="13"/>
  <c r="AC22" i="13"/>
  <c r="AC26" i="13"/>
  <c r="AC30" i="13"/>
  <c r="AC34" i="13"/>
  <c r="AC38" i="13"/>
  <c r="AC42" i="13"/>
  <c r="AC46" i="13"/>
  <c r="AB55" i="13"/>
  <c r="AB56" i="13"/>
  <c r="AC64" i="13"/>
  <c r="AC65" i="13"/>
  <c r="AE68" i="13"/>
  <c r="AE78" i="13"/>
  <c r="X81" i="13"/>
  <c r="AE81" i="13"/>
  <c r="X82" i="13"/>
  <c r="AB83" i="13"/>
  <c r="AE84" i="13"/>
  <c r="U126" i="13"/>
  <c r="U128" i="13"/>
  <c r="X22" i="13"/>
  <c r="AB50" i="13"/>
  <c r="AB14" i="13"/>
  <c r="X15" i="13"/>
  <c r="AB18" i="13"/>
  <c r="AB22" i="13"/>
  <c r="AB30" i="13"/>
  <c r="X35" i="13"/>
  <c r="X39" i="13"/>
  <c r="AB42" i="13"/>
  <c r="AB46" i="13"/>
  <c r="AE53" i="13"/>
  <c r="AB53" i="13"/>
  <c r="AC62" i="13"/>
  <c r="U62" i="13"/>
  <c r="AB64" i="13"/>
  <c r="AC69" i="13"/>
  <c r="AE87" i="13"/>
  <c r="AC87" i="13"/>
  <c r="X87" i="13"/>
  <c r="AE111" i="13"/>
  <c r="AC111" i="13"/>
  <c r="X111" i="13"/>
  <c r="AB35" i="13"/>
  <c r="AB39" i="13"/>
  <c r="AB43" i="13"/>
  <c r="AB47" i="13"/>
  <c r="AE52" i="13"/>
  <c r="AC52" i="13"/>
  <c r="X53" i="13"/>
  <c r="AE60" i="13"/>
  <c r="AC60" i="13"/>
  <c r="X61" i="13"/>
  <c r="V62" i="13"/>
  <c r="AC86" i="13"/>
  <c r="AB86" i="13"/>
  <c r="AE88" i="13"/>
  <c r="AE92" i="13"/>
  <c r="AE96" i="13"/>
  <c r="AE100" i="13"/>
  <c r="AE104" i="13"/>
  <c r="AE108" i="13"/>
  <c r="AE112" i="13"/>
  <c r="AE116" i="13"/>
  <c r="AE120" i="13"/>
  <c r="AC70" i="13"/>
  <c r="AB70" i="13"/>
  <c r="AC71" i="13"/>
  <c r="X71" i="13"/>
  <c r="X85" i="13"/>
  <c r="AE85" i="13"/>
  <c r="AC90" i="13"/>
  <c r="AB90" i="13"/>
  <c r="AC94" i="13"/>
  <c r="AB94" i="13"/>
  <c r="AC98" i="13"/>
  <c r="AB98" i="13"/>
  <c r="AC102" i="13"/>
  <c r="AB102" i="13"/>
  <c r="AC106" i="13"/>
  <c r="AB106" i="13"/>
  <c r="AC110" i="13"/>
  <c r="AB110" i="13"/>
  <c r="AC114" i="13"/>
  <c r="AB114" i="13"/>
  <c r="AC118" i="13"/>
  <c r="AB118" i="13"/>
  <c r="AC122" i="13"/>
  <c r="AB122" i="13"/>
  <c r="AE158" i="13"/>
  <c r="AC158" i="13"/>
  <c r="AB158" i="13"/>
  <c r="X158" i="13"/>
  <c r="AE57" i="13"/>
  <c r="AB57" i="13"/>
  <c r="AB58" i="13"/>
  <c r="X58" i="13"/>
  <c r="AC66" i="13"/>
  <c r="AB66" i="13"/>
  <c r="AC67" i="13"/>
  <c r="X67" i="13"/>
  <c r="AE79" i="13"/>
  <c r="AC79" i="13"/>
  <c r="X79" i="13"/>
  <c r="X80" i="13"/>
  <c r="X89" i="13"/>
  <c r="AE89" i="13"/>
  <c r="X90" i="13"/>
  <c r="X93" i="13"/>
  <c r="AE93" i="13"/>
  <c r="X94" i="13"/>
  <c r="X97" i="13"/>
  <c r="AE97" i="13"/>
  <c r="X98" i="13"/>
  <c r="X101" i="13"/>
  <c r="AE101" i="13"/>
  <c r="X102" i="13"/>
  <c r="X105" i="13"/>
  <c r="AE105" i="13"/>
  <c r="X106" i="13"/>
  <c r="X109" i="13"/>
  <c r="AE109" i="13"/>
  <c r="X110" i="13"/>
  <c r="X113" i="13"/>
  <c r="AE113" i="13"/>
  <c r="X114" i="13"/>
  <c r="X117" i="13"/>
  <c r="AE117" i="13"/>
  <c r="X118" i="13"/>
  <c r="X121" i="13"/>
  <c r="AE121" i="13"/>
  <c r="AC125" i="13"/>
  <c r="V125" i="13"/>
  <c r="AC127" i="13"/>
  <c r="V127" i="13"/>
  <c r="AE129" i="13"/>
  <c r="AC129" i="13"/>
  <c r="AB129" i="13"/>
  <c r="X129" i="13"/>
  <c r="AB51" i="13"/>
  <c r="AB59" i="13"/>
  <c r="X69" i="13"/>
  <c r="X70" i="13"/>
  <c r="U125" i="13"/>
  <c r="U127" i="13"/>
  <c r="AE133" i="13"/>
  <c r="AC133" i="13"/>
  <c r="AB133" i="13"/>
  <c r="X133" i="13"/>
  <c r="AC214" i="13"/>
  <c r="AB214" i="13"/>
  <c r="X214" i="13"/>
  <c r="AE214" i="13"/>
  <c r="AE134" i="13"/>
  <c r="AB134" i="13"/>
  <c r="AB136" i="13"/>
  <c r="X140" i="13"/>
  <c r="AC140" i="13"/>
  <c r="AE145" i="13"/>
  <c r="AC145" i="13"/>
  <c r="X146" i="13"/>
  <c r="AC147" i="13"/>
  <c r="AC150" i="13"/>
  <c r="AC159" i="13"/>
  <c r="AE161" i="13"/>
  <c r="AC161" i="13"/>
  <c r="AB161" i="13"/>
  <c r="X164" i="13"/>
  <c r="AE164" i="13"/>
  <c r="AC164" i="13"/>
  <c r="AE166" i="13"/>
  <c r="AC166" i="13"/>
  <c r="AB166" i="13"/>
  <c r="X166" i="13"/>
  <c r="AE173" i="13"/>
  <c r="AC173" i="13"/>
  <c r="AB173" i="13"/>
  <c r="AC179" i="13"/>
  <c r="V179" i="13"/>
  <c r="U179" i="13"/>
  <c r="V186" i="13"/>
  <c r="U186" i="13"/>
  <c r="AC223" i="13"/>
  <c r="X223" i="13"/>
  <c r="AE223" i="13"/>
  <c r="AB223" i="13"/>
  <c r="AB139" i="13"/>
  <c r="X139" i="13"/>
  <c r="X145" i="13"/>
  <c r="V152" i="13"/>
  <c r="AE157" i="13"/>
  <c r="AC157" i="13"/>
  <c r="X161" i="13"/>
  <c r="AC180" i="13"/>
  <c r="V180" i="13"/>
  <c r="U180" i="13"/>
  <c r="V189" i="13"/>
  <c r="U189" i="13"/>
  <c r="AC211" i="13"/>
  <c r="X211" i="13"/>
  <c r="AE211" i="13"/>
  <c r="AB211" i="13"/>
  <c r="AE138" i="13"/>
  <c r="AB138" i="13"/>
  <c r="X144" i="13"/>
  <c r="AC144" i="13"/>
  <c r="X168" i="13"/>
  <c r="AE168" i="13"/>
  <c r="AC168" i="13"/>
  <c r="AE170" i="13"/>
  <c r="AC170" i="13"/>
  <c r="AB170" i="13"/>
  <c r="X170" i="13"/>
  <c r="V184" i="13"/>
  <c r="U184" i="13"/>
  <c r="AC215" i="13"/>
  <c r="X215" i="13"/>
  <c r="AE215" i="13"/>
  <c r="AC218" i="13"/>
  <c r="AB218" i="13"/>
  <c r="X218" i="13"/>
  <c r="AB233" i="13"/>
  <c r="AE233" i="13"/>
  <c r="AC233" i="13"/>
  <c r="X233" i="13"/>
  <c r="X312" i="13"/>
  <c r="AE312" i="13"/>
  <c r="AC312" i="13"/>
  <c r="AB312" i="13"/>
  <c r="AE314" i="13"/>
  <c r="AB314" i="13"/>
  <c r="AC314" i="13"/>
  <c r="X314" i="13"/>
  <c r="X132" i="13"/>
  <c r="AE140" i="13"/>
  <c r="AB143" i="13"/>
  <c r="X143" i="13"/>
  <c r="AB145" i="13"/>
  <c r="AC149" i="13"/>
  <c r="V154" i="13"/>
  <c r="AC181" i="13"/>
  <c r="V181" i="13"/>
  <c r="U181" i="13"/>
  <c r="AC184" i="13"/>
  <c r="V187" i="13"/>
  <c r="U187" i="13"/>
  <c r="X130" i="13"/>
  <c r="AE137" i="13"/>
  <c r="AC137" i="13"/>
  <c r="X138" i="13"/>
  <c r="AE142" i="13"/>
  <c r="AB142" i="13"/>
  <c r="AB144" i="13"/>
  <c r="AC154" i="13"/>
  <c r="X156" i="13"/>
  <c r="AC156" i="13"/>
  <c r="X160" i="13"/>
  <c r="AE160" i="13"/>
  <c r="AC160" i="13"/>
  <c r="AE165" i="13"/>
  <c r="AC165" i="13"/>
  <c r="AB165" i="13"/>
  <c r="AB168" i="13"/>
  <c r="X172" i="13"/>
  <c r="AE172" i="13"/>
  <c r="AC172" i="13"/>
  <c r="AE174" i="13"/>
  <c r="AC174" i="13"/>
  <c r="AB174" i="13"/>
  <c r="X174" i="13"/>
  <c r="AC182" i="13"/>
  <c r="V182" i="13"/>
  <c r="AE196" i="13"/>
  <c r="AB196" i="13"/>
  <c r="AC196" i="13"/>
  <c r="X196" i="13"/>
  <c r="AB215" i="13"/>
  <c r="AE218" i="13"/>
  <c r="AC258" i="13"/>
  <c r="U258" i="13"/>
  <c r="V258" i="13"/>
  <c r="AB131" i="13"/>
  <c r="AB132" i="13"/>
  <c r="X137" i="13"/>
  <c r="AE144" i="13"/>
  <c r="AB147" i="13"/>
  <c r="X147" i="13"/>
  <c r="V148" i="13"/>
  <c r="AB159" i="13"/>
  <c r="X159" i="13"/>
  <c r="AE162" i="13"/>
  <c r="AC162" i="13"/>
  <c r="AB162" i="13"/>
  <c r="X162" i="13"/>
  <c r="X165" i="13"/>
  <c r="U182" i="13"/>
  <c r="V185" i="13"/>
  <c r="U185" i="13"/>
  <c r="AC210" i="13"/>
  <c r="AB210" i="13"/>
  <c r="AE210" i="13"/>
  <c r="X222" i="13"/>
  <c r="AC222" i="13"/>
  <c r="AB222" i="13"/>
  <c r="AE222" i="13"/>
  <c r="AE228" i="13"/>
  <c r="AC228" i="13"/>
  <c r="AB228" i="13"/>
  <c r="X228" i="13"/>
  <c r="AC130" i="13"/>
  <c r="AC131" i="13"/>
  <c r="X136" i="13"/>
  <c r="AC136" i="13"/>
  <c r="AE141" i="13"/>
  <c r="AC141" i="13"/>
  <c r="AE146" i="13"/>
  <c r="AB146" i="13"/>
  <c r="AE169" i="13"/>
  <c r="AC169" i="13"/>
  <c r="AB169" i="13"/>
  <c r="V188" i="13"/>
  <c r="U188" i="13"/>
  <c r="X198" i="13"/>
  <c r="AE198" i="13"/>
  <c r="AC198" i="13"/>
  <c r="AB198" i="13"/>
  <c r="AC219" i="13"/>
  <c r="X219" i="13"/>
  <c r="AB219" i="13"/>
  <c r="X226" i="13"/>
  <c r="AC226" i="13"/>
  <c r="AB226" i="13"/>
  <c r="AE226" i="13"/>
  <c r="X230" i="13"/>
  <c r="AC230" i="13"/>
  <c r="AB230" i="13"/>
  <c r="X234" i="13"/>
  <c r="AC234" i="13"/>
  <c r="AB234" i="13"/>
  <c r="AE234" i="13"/>
  <c r="AC193" i="13"/>
  <c r="AB197" i="13"/>
  <c r="X197" i="13"/>
  <c r="AB212" i="13"/>
  <c r="AB213" i="13"/>
  <c r="AC217" i="13"/>
  <c r="AB224" i="13"/>
  <c r="AE263" i="13"/>
  <c r="AB263" i="13"/>
  <c r="X263" i="13"/>
  <c r="AE280" i="13"/>
  <c r="AB280" i="13"/>
  <c r="X280" i="13"/>
  <c r="AE284" i="13"/>
  <c r="AB284" i="13"/>
  <c r="AC284" i="13"/>
  <c r="X284" i="13"/>
  <c r="AC202" i="13"/>
  <c r="X202" i="13"/>
  <c r="AB221" i="13"/>
  <c r="AE221" i="13"/>
  <c r="AC227" i="13"/>
  <c r="X227" i="13"/>
  <c r="AB237" i="13"/>
  <c r="AE237" i="13"/>
  <c r="AE243" i="13"/>
  <c r="AC243" i="13"/>
  <c r="X243" i="13"/>
  <c r="AC247" i="13"/>
  <c r="U247" i="13"/>
  <c r="AE249" i="13"/>
  <c r="AC249" i="13"/>
  <c r="AB249" i="13"/>
  <c r="X249" i="13"/>
  <c r="AC259" i="13"/>
  <c r="U259" i="13"/>
  <c r="V259" i="13"/>
  <c r="AE267" i="13"/>
  <c r="AB267" i="13"/>
  <c r="AC267" i="13"/>
  <c r="X267" i="13"/>
  <c r="AE276" i="13"/>
  <c r="AB276" i="13"/>
  <c r="AC276" i="13"/>
  <c r="X276" i="13"/>
  <c r="V192" i="13"/>
  <c r="AE195" i="13"/>
  <c r="AC195" i="13"/>
  <c r="U203" i="13"/>
  <c r="AB206" i="13"/>
  <c r="X206" i="13"/>
  <c r="V207" i="13"/>
  <c r="AC208" i="13"/>
  <c r="AC209" i="13"/>
  <c r="X232" i="13"/>
  <c r="AE240" i="13"/>
  <c r="AC240" i="13"/>
  <c r="AB240" i="13"/>
  <c r="X251" i="13"/>
  <c r="AE251" i="13"/>
  <c r="AC251" i="13"/>
  <c r="AE253" i="13"/>
  <c r="AB253" i="13"/>
  <c r="X253" i="13"/>
  <c r="AC263" i="13"/>
  <c r="AC280" i="13"/>
  <c r="X163" i="13"/>
  <c r="X167" i="13"/>
  <c r="X171" i="13"/>
  <c r="U175" i="13"/>
  <c r="U176" i="13"/>
  <c r="U177" i="13"/>
  <c r="U178" i="13"/>
  <c r="AC192" i="13"/>
  <c r="AC203" i="13"/>
  <c r="AE205" i="13"/>
  <c r="AB205" i="13"/>
  <c r="AC207" i="13"/>
  <c r="X221" i="13"/>
  <c r="AB225" i="13"/>
  <c r="AE225" i="13"/>
  <c r="AB227" i="13"/>
  <c r="AC231" i="13"/>
  <c r="X231" i="13"/>
  <c r="X237" i="13"/>
  <c r="AB243" i="13"/>
  <c r="AE257" i="13"/>
  <c r="AB257" i="13"/>
  <c r="AC257" i="13"/>
  <c r="X257" i="13"/>
  <c r="AE322" i="13"/>
  <c r="AB322" i="13"/>
  <c r="AC322" i="13"/>
  <c r="X322" i="13"/>
  <c r="V175" i="13"/>
  <c r="V176" i="13"/>
  <c r="V177" i="13"/>
  <c r="V178" i="13"/>
  <c r="AB191" i="13"/>
  <c r="AE200" i="13"/>
  <c r="AB200" i="13"/>
  <c r="AC201" i="13"/>
  <c r="U201" i="13"/>
  <c r="AB202" i="13"/>
  <c r="AE227" i="13"/>
  <c r="AB232" i="13"/>
  <c r="AB264" i="13"/>
  <c r="X264" i="13"/>
  <c r="AC264" i="13"/>
  <c r="AC281" i="13"/>
  <c r="AB281" i="13"/>
  <c r="X281" i="13"/>
  <c r="AE281" i="13"/>
  <c r="AC285" i="13"/>
  <c r="AB285" i="13"/>
  <c r="X285" i="13"/>
  <c r="AE285" i="13"/>
  <c r="AE352" i="13"/>
  <c r="AC352" i="13"/>
  <c r="AB352" i="13"/>
  <c r="X352" i="13"/>
  <c r="AE356" i="13"/>
  <c r="AC356" i="13"/>
  <c r="AB356" i="13"/>
  <c r="X356" i="13"/>
  <c r="AE360" i="13"/>
  <c r="AC360" i="13"/>
  <c r="AB360" i="13"/>
  <c r="X360" i="13"/>
  <c r="AB167" i="13"/>
  <c r="AB171" i="13"/>
  <c r="AC191" i="13"/>
  <c r="AE202" i="13"/>
  <c r="AC221" i="13"/>
  <c r="AB229" i="13"/>
  <c r="AE229" i="13"/>
  <c r="AC232" i="13"/>
  <c r="AC235" i="13"/>
  <c r="X235" i="13"/>
  <c r="AC237" i="13"/>
  <c r="AE239" i="13"/>
  <c r="AC239" i="13"/>
  <c r="X239" i="13"/>
  <c r="AC268" i="13"/>
  <c r="AB268" i="13"/>
  <c r="X268" i="13"/>
  <c r="AE268" i="13"/>
  <c r="AC277" i="13"/>
  <c r="AB277" i="13"/>
  <c r="X277" i="13"/>
  <c r="AE277" i="13"/>
  <c r="AE191" i="13"/>
  <c r="AE199" i="13"/>
  <c r="AC199" i="13"/>
  <c r="AC204" i="13"/>
  <c r="U204" i="13"/>
  <c r="AB241" i="13"/>
  <c r="X241" i="13"/>
  <c r="AE241" i="13"/>
  <c r="AB245" i="13"/>
  <c r="X245" i="13"/>
  <c r="AE245" i="13"/>
  <c r="AC250" i="13"/>
  <c r="AB250" i="13"/>
  <c r="X250" i="13"/>
  <c r="AB254" i="13"/>
  <c r="X254" i="13"/>
  <c r="AC254" i="13"/>
  <c r="AE270" i="13"/>
  <c r="AC270" i="13"/>
  <c r="AB270" i="13"/>
  <c r="X270" i="13"/>
  <c r="AB238" i="13"/>
  <c r="AB242" i="13"/>
  <c r="AB246" i="13"/>
  <c r="AC252" i="13"/>
  <c r="AC260" i="13"/>
  <c r="AC261" i="13"/>
  <c r="AC262" i="13"/>
  <c r="AE273" i="13"/>
  <c r="AB278" i="13"/>
  <c r="AB279" i="13"/>
  <c r="AB286" i="13"/>
  <c r="AB290" i="13"/>
  <c r="AB291" i="13"/>
  <c r="AC293" i="13"/>
  <c r="AE294" i="13"/>
  <c r="AE305" i="13"/>
  <c r="AC305" i="13"/>
  <c r="AE318" i="13"/>
  <c r="AB318" i="13"/>
  <c r="X318" i="13"/>
  <c r="AE329" i="13"/>
  <c r="AC329" i="13"/>
  <c r="AC238" i="13"/>
  <c r="AC242" i="13"/>
  <c r="AC246" i="13"/>
  <c r="AB248" i="13"/>
  <c r="AE261" i="13"/>
  <c r="AC278" i="13"/>
  <c r="AC279" i="13"/>
  <c r="AC286" i="13"/>
  <c r="AB287" i="13"/>
  <c r="AC289" i="13"/>
  <c r="AC290" i="13"/>
  <c r="AE291" i="13"/>
  <c r="AE293" i="13"/>
  <c r="U308" i="13"/>
  <c r="X329" i="13"/>
  <c r="AB331" i="13"/>
  <c r="X331" i="13"/>
  <c r="AE331" i="13"/>
  <c r="AC345" i="13"/>
  <c r="AB345" i="13"/>
  <c r="X345" i="13"/>
  <c r="AE394" i="13"/>
  <c r="AC394" i="13"/>
  <c r="AB394" i="13"/>
  <c r="X394" i="13"/>
  <c r="AE310" i="13"/>
  <c r="AB310" i="13"/>
  <c r="X310" i="13"/>
  <c r="AE321" i="13"/>
  <c r="AC321" i="13"/>
  <c r="AE353" i="13"/>
  <c r="AB353" i="13"/>
  <c r="X353" i="13"/>
  <c r="AC353" i="13"/>
  <c r="AE357" i="13"/>
  <c r="AB357" i="13"/>
  <c r="X357" i="13"/>
  <c r="AC357" i="13"/>
  <c r="AC361" i="13"/>
  <c r="V361" i="13"/>
  <c r="U361" i="13"/>
  <c r="AE382" i="13"/>
  <c r="AC382" i="13"/>
  <c r="AB382" i="13"/>
  <c r="X382" i="13"/>
  <c r="X256" i="13"/>
  <c r="X266" i="13"/>
  <c r="AC269" i="13"/>
  <c r="AC296" i="13"/>
  <c r="X300" i="13"/>
  <c r="AB307" i="13"/>
  <c r="X321" i="13"/>
  <c r="X328" i="13"/>
  <c r="AE328" i="13"/>
  <c r="AC328" i="13"/>
  <c r="AB329" i="13"/>
  <c r="V343" i="13"/>
  <c r="U343" i="13"/>
  <c r="AB282" i="13"/>
  <c r="AE292" i="13"/>
  <c r="AC292" i="13"/>
  <c r="X298" i="13"/>
  <c r="AE309" i="13"/>
  <c r="AC309" i="13"/>
  <c r="X309" i="13"/>
  <c r="AC310" i="13"/>
  <c r="AE313" i="13"/>
  <c r="AC313" i="13"/>
  <c r="AB323" i="13"/>
  <c r="X323" i="13"/>
  <c r="AE323" i="13"/>
  <c r="AC335" i="13"/>
  <c r="U335" i="13"/>
  <c r="X252" i="13"/>
  <c r="AB256" i="13"/>
  <c r="AB260" i="13"/>
  <c r="X260" i="13"/>
  <c r="X262" i="13"/>
  <c r="AB266" i="13"/>
  <c r="AE271" i="13"/>
  <c r="AB271" i="13"/>
  <c r="AC272" i="13"/>
  <c r="AB272" i="13"/>
  <c r="X272" i="13"/>
  <c r="AC282" i="13"/>
  <c r="AE288" i="13"/>
  <c r="AC288" i="13"/>
  <c r="AB299" i="13"/>
  <c r="AB300" i="13"/>
  <c r="X320" i="13"/>
  <c r="AE320" i="13"/>
  <c r="AC320" i="13"/>
  <c r="AB321" i="13"/>
  <c r="AE330" i="13"/>
  <c r="AB330" i="13"/>
  <c r="X330" i="13"/>
  <c r="AC330" i="13"/>
  <c r="U351" i="13"/>
  <c r="AC351" i="13"/>
  <c r="AC370" i="13"/>
  <c r="X370" i="13"/>
  <c r="AE370" i="13"/>
  <c r="AC256" i="13"/>
  <c r="AC266" i="13"/>
  <c r="AB273" i="13"/>
  <c r="X279" i="13"/>
  <c r="AE282" i="13"/>
  <c r="U287" i="13"/>
  <c r="X291" i="13"/>
  <c r="X292" i="13"/>
  <c r="X293" i="13"/>
  <c r="AB294" i="13"/>
  <c r="V297" i="13"/>
  <c r="U297" i="13"/>
  <c r="AC298" i="13"/>
  <c r="AC299" i="13"/>
  <c r="AE300" i="13"/>
  <c r="AB315" i="13"/>
  <c r="X315" i="13"/>
  <c r="AE315" i="13"/>
  <c r="AE326" i="13"/>
  <c r="AB326" i="13"/>
  <c r="X326" i="13"/>
  <c r="V335" i="13"/>
  <c r="V351" i="13"/>
  <c r="AB311" i="13"/>
  <c r="X311" i="13"/>
  <c r="AB319" i="13"/>
  <c r="X319" i="13"/>
  <c r="AB327" i="13"/>
  <c r="X327" i="13"/>
  <c r="X334" i="13"/>
  <c r="AC342" i="13"/>
  <c r="U342" i="13"/>
  <c r="AC350" i="13"/>
  <c r="V350" i="13"/>
  <c r="U362" i="13"/>
  <c r="AC362" i="13"/>
  <c r="AE364" i="13"/>
  <c r="AB364" i="13"/>
  <c r="V396" i="13"/>
  <c r="U396" i="13"/>
  <c r="AE333" i="13"/>
  <c r="AC333" i="13"/>
  <c r="AE336" i="13"/>
  <c r="AC336" i="13"/>
  <c r="X336" i="13"/>
  <c r="X339" i="13"/>
  <c r="AC339" i="13"/>
  <c r="AB339" i="13"/>
  <c r="AC355" i="13"/>
  <c r="X355" i="13"/>
  <c r="AC359" i="13"/>
  <c r="X359" i="13"/>
  <c r="AE367" i="13"/>
  <c r="AC367" i="13"/>
  <c r="X367" i="13"/>
  <c r="AE378" i="13"/>
  <c r="AC378" i="13"/>
  <c r="AB378" i="13"/>
  <c r="X378" i="13"/>
  <c r="AE386" i="13"/>
  <c r="AC386" i="13"/>
  <c r="AB386" i="13"/>
  <c r="X386" i="13"/>
  <c r="AC391" i="13"/>
  <c r="AB391" i="13"/>
  <c r="X391" i="13"/>
  <c r="AE317" i="13"/>
  <c r="AC317" i="13"/>
  <c r="AE325" i="13"/>
  <c r="AC325" i="13"/>
  <c r="X333" i="13"/>
  <c r="V342" i="13"/>
  <c r="V346" i="13"/>
  <c r="U346" i="13"/>
  <c r="AC348" i="13"/>
  <c r="U348" i="13"/>
  <c r="U350" i="13"/>
  <c r="X364" i="13"/>
  <c r="AE366" i="13"/>
  <c r="AB366" i="13"/>
  <c r="X381" i="13"/>
  <c r="AE381" i="13"/>
  <c r="AC381" i="13"/>
  <c r="AB381" i="13"/>
  <c r="X389" i="13"/>
  <c r="AE389" i="13"/>
  <c r="AC389" i="13"/>
  <c r="AB389" i="13"/>
  <c r="AC332" i="13"/>
  <c r="X332" i="13"/>
  <c r="AB336" i="13"/>
  <c r="AB338" i="13"/>
  <c r="X338" i="13"/>
  <c r="AE338" i="13"/>
  <c r="AE339" i="13"/>
  <c r="AE341" i="13"/>
  <c r="AB341" i="13"/>
  <c r="AC354" i="13"/>
  <c r="AB354" i="13"/>
  <c r="X354" i="13"/>
  <c r="AB355" i="13"/>
  <c r="AC358" i="13"/>
  <c r="AB358" i="13"/>
  <c r="X358" i="13"/>
  <c r="AB359" i="13"/>
  <c r="AE363" i="13"/>
  <c r="AC363" i="13"/>
  <c r="AB367" i="13"/>
  <c r="AE391" i="13"/>
  <c r="V397" i="13"/>
  <c r="U397" i="13"/>
  <c r="AC395" i="13"/>
  <c r="AB395" i="13"/>
  <c r="X395" i="13"/>
  <c r="AE390" i="13"/>
  <c r="AC390" i="13"/>
  <c r="AB390" i="13"/>
  <c r="X390" i="13"/>
  <c r="U390" i="13"/>
  <c r="X392" i="13"/>
  <c r="AE392" i="13"/>
  <c r="AC392" i="13"/>
  <c r="AE334" i="13"/>
  <c r="AB334" i="13"/>
  <c r="AE337" i="13"/>
  <c r="AB337" i="13"/>
  <c r="AE340" i="13"/>
  <c r="AC340" i="13"/>
  <c r="X340" i="13"/>
  <c r="V349" i="13"/>
  <c r="U349" i="13"/>
  <c r="X377" i="13"/>
  <c r="AE377" i="13"/>
  <c r="AC377" i="13"/>
  <c r="AB377" i="13"/>
  <c r="X385" i="13"/>
  <c r="AE385" i="13"/>
  <c r="AC385" i="13"/>
  <c r="AB385" i="13"/>
  <c r="AE395" i="13"/>
  <c r="AC372" i="13"/>
  <c r="V373" i="13"/>
  <c r="V374" i="13"/>
  <c r="V375" i="13"/>
  <c r="V376" i="13"/>
  <c r="AE380" i="13"/>
  <c r="AE384" i="13"/>
  <c r="AE388" i="13"/>
  <c r="AB393" i="13"/>
  <c r="X380" i="13"/>
  <c r="X384" i="13"/>
  <c r="X388" i="13"/>
  <c r="U398" i="13"/>
  <c r="V398" i="13"/>
  <c r="P121" i="1"/>
  <c r="P59" i="1"/>
  <c r="AP6" i="1"/>
  <c r="P170" i="1" l="1"/>
  <c r="P117" i="1" l="1"/>
  <c r="P16" i="1" l="1"/>
  <c r="AP9" i="1"/>
  <c r="N16" i="1" l="1"/>
  <c r="P163" i="1" l="1"/>
  <c r="E151" i="10" l="1"/>
  <c r="P300" i="1" l="1"/>
  <c r="G14" i="10"/>
  <c r="H14" i="10"/>
  <c r="I14" i="10"/>
  <c r="K14" i="10"/>
  <c r="L14" i="10"/>
  <c r="M14" i="10"/>
  <c r="N14" i="10"/>
  <c r="O14" i="10"/>
  <c r="Q14" i="10"/>
  <c r="S14" i="10"/>
  <c r="F14" i="10"/>
  <c r="Q14" i="1"/>
  <c r="P41" i="1"/>
  <c r="N15" i="1" l="1"/>
  <c r="AS376" i="1"/>
  <c r="AQ376" i="1"/>
  <c r="T54" i="1"/>
  <c r="P54" i="1"/>
  <c r="P165" i="1"/>
  <c r="P35" i="1"/>
  <c r="AQ648" i="1" l="1"/>
  <c r="AQ441" i="1"/>
  <c r="AV170" i="1"/>
  <c r="AU170" i="1"/>
  <c r="AS170" i="1"/>
  <c r="AR170" i="1"/>
  <c r="Z170" i="1"/>
  <c r="X170" i="1"/>
  <c r="AY170" i="1"/>
  <c r="U170" i="10"/>
  <c r="E170" i="10"/>
  <c r="S170" i="1" s="1"/>
  <c r="AY110" i="1"/>
  <c r="AV110" i="1"/>
  <c r="AU110" i="1"/>
  <c r="AS110" i="1"/>
  <c r="AR110" i="1"/>
  <c r="AQ110" i="1"/>
  <c r="Z110" i="1"/>
  <c r="U110" i="10"/>
  <c r="E110" i="10"/>
  <c r="R110" i="1" l="1"/>
  <c r="AQ321" i="1" s="1"/>
  <c r="AT170" i="1"/>
  <c r="AS441" i="1"/>
  <c r="AX170" i="1"/>
  <c r="N170" i="1"/>
  <c r="AP170" i="1" s="1"/>
  <c r="AW170" i="1"/>
  <c r="R85" i="1"/>
  <c r="AQ291" i="1" s="1"/>
  <c r="AQ267" i="1"/>
  <c r="AQ476" i="1"/>
  <c r="AR476" i="1"/>
  <c r="Z476" i="1"/>
  <c r="X476" i="1"/>
  <c r="U476" i="10"/>
  <c r="E476" i="10"/>
  <c r="AQ385" i="1"/>
  <c r="AS384" i="1"/>
  <c r="S384" i="1" s="1"/>
  <c r="AQ384" i="1"/>
  <c r="U352" i="10"/>
  <c r="E352" i="10"/>
  <c r="AS352" i="1"/>
  <c r="AT352" i="1" s="1"/>
  <c r="AR352" i="1"/>
  <c r="Z352" i="1"/>
  <c r="X352" i="1"/>
  <c r="AQ346" i="1"/>
  <c r="AR346" i="1"/>
  <c r="Z346" i="1"/>
  <c r="X346" i="1"/>
  <c r="U346" i="10"/>
  <c r="E346" i="10"/>
  <c r="S346" i="1" s="1"/>
  <c r="AQ347" i="1"/>
  <c r="AS348" i="1"/>
  <c r="AR348" i="1"/>
  <c r="AQ348" i="1"/>
  <c r="Z348" i="1"/>
  <c r="X348" i="1"/>
  <c r="AR347" i="1"/>
  <c r="Z347" i="1"/>
  <c r="X347" i="1"/>
  <c r="U348" i="10"/>
  <c r="E348" i="10"/>
  <c r="U347" i="10"/>
  <c r="E347" i="10"/>
  <c r="AQ339" i="1"/>
  <c r="S110" i="1" l="1"/>
  <c r="AS321" i="1" s="1"/>
  <c r="AW110" i="1"/>
  <c r="U170" i="1"/>
  <c r="V170" i="1"/>
  <c r="S476" i="1"/>
  <c r="T476" i="1" s="1"/>
  <c r="N476" i="1" s="1"/>
  <c r="N352" i="1"/>
  <c r="AP352" i="1" s="1"/>
  <c r="T346" i="1"/>
  <c r="N346" i="1" s="1"/>
  <c r="S347" i="1"/>
  <c r="T347" i="1" s="1"/>
  <c r="N347" i="1" s="1"/>
  <c r="S348" i="1"/>
  <c r="X110" i="1" l="1"/>
  <c r="N110" i="1"/>
  <c r="AP110" i="1" s="1"/>
  <c r="AT110" i="1"/>
  <c r="AX110" i="1"/>
  <c r="T348" i="1"/>
  <c r="N348" i="1" s="1"/>
  <c r="AP348" i="1" s="1"/>
  <c r="AS648" i="1"/>
  <c r="AP476" i="1"/>
  <c r="V476" i="1"/>
  <c r="U476" i="1"/>
  <c r="U352" i="1"/>
  <c r="V352" i="1"/>
  <c r="U346" i="1"/>
  <c r="AP346" i="1"/>
  <c r="V346" i="1"/>
  <c r="AT348" i="1"/>
  <c r="U347" i="1"/>
  <c r="AP347" i="1"/>
  <c r="V347" i="1"/>
  <c r="U348" i="1" l="1"/>
  <c r="V348" i="1"/>
  <c r="U110" i="1"/>
  <c r="V110" i="1"/>
  <c r="R108" i="1" l="1"/>
  <c r="AQ304" i="1"/>
  <c r="AR304" i="1"/>
  <c r="Z304" i="1"/>
  <c r="X304" i="1"/>
  <c r="U304" i="10"/>
  <c r="E304" i="10"/>
  <c r="R304" i="1" l="1"/>
  <c r="S304" i="1" s="1"/>
  <c r="N304" i="1" s="1"/>
  <c r="AP304" i="1" l="1"/>
  <c r="V304" i="1"/>
  <c r="U304" i="1"/>
  <c r="AQ286" i="1" l="1"/>
  <c r="AR286" i="1"/>
  <c r="Z286" i="1"/>
  <c r="X286" i="1"/>
  <c r="U286" i="10"/>
  <c r="E286" i="10"/>
  <c r="AQ277" i="1"/>
  <c r="AR277" i="1"/>
  <c r="Z277" i="1"/>
  <c r="X277" i="1"/>
  <c r="U277" i="10"/>
  <c r="E277" i="10"/>
  <c r="AQ275" i="1"/>
  <c r="AR275" i="1"/>
  <c r="Z275" i="1"/>
  <c r="X275" i="1"/>
  <c r="R275" i="1"/>
  <c r="U275" i="10"/>
  <c r="E275" i="10"/>
  <c r="E272" i="10"/>
  <c r="AS272" i="1"/>
  <c r="AR272" i="1"/>
  <c r="R272" i="1" s="1"/>
  <c r="Z272" i="1"/>
  <c r="X272" i="1"/>
  <c r="U272" i="10"/>
  <c r="AR241" i="1"/>
  <c r="R241" i="1" s="1"/>
  <c r="Z241" i="1"/>
  <c r="X241" i="1"/>
  <c r="U241" i="10"/>
  <c r="E241" i="10"/>
  <c r="AR259" i="1"/>
  <c r="Z259" i="1"/>
  <c r="X259" i="1"/>
  <c r="U259" i="10"/>
  <c r="E259" i="10"/>
  <c r="S259" i="1" s="1"/>
  <c r="AR232" i="1"/>
  <c r="Z232" i="1"/>
  <c r="X232" i="1"/>
  <c r="U232" i="10"/>
  <c r="E232" i="10"/>
  <c r="S232" i="1" s="1"/>
  <c r="S275" i="1" l="1"/>
  <c r="N275" i="1" s="1"/>
  <c r="R277" i="1"/>
  <c r="R286" i="1"/>
  <c r="S272" i="1"/>
  <c r="AT272" i="1" s="1"/>
  <c r="T241" i="1"/>
  <c r="N241" i="1" s="1"/>
  <c r="T259" i="1"/>
  <c r="N259" i="1" s="1"/>
  <c r="T232" i="1"/>
  <c r="N232" i="1" s="1"/>
  <c r="J68" i="10"/>
  <c r="J14" i="10" s="1"/>
  <c r="N272" i="1" l="1"/>
  <c r="U272" i="1" s="1"/>
  <c r="AP275" i="1"/>
  <c r="U275" i="1"/>
  <c r="V275" i="1"/>
  <c r="AP241" i="1"/>
  <c r="V241" i="1"/>
  <c r="U241" i="1"/>
  <c r="AP259" i="1"/>
  <c r="V259" i="1"/>
  <c r="U259" i="1"/>
  <c r="U232" i="1"/>
  <c r="AP232" i="1"/>
  <c r="V232" i="1"/>
  <c r="AP272" i="1" l="1"/>
  <c r="V272" i="1"/>
  <c r="P534" i="1" l="1"/>
  <c r="AQ296" i="1"/>
  <c r="R296" i="1" s="1"/>
  <c r="AW296" i="1" s="1"/>
  <c r="AQ295" i="1"/>
  <c r="R295" i="1" s="1"/>
  <c r="AW295" i="1" s="1"/>
  <c r="AU243" i="1"/>
  <c r="AU743" i="1"/>
  <c r="AV743" i="1"/>
  <c r="AY743" i="1"/>
  <c r="AU744" i="1"/>
  <c r="AV744" i="1"/>
  <c r="AY744" i="1"/>
  <c r="AU745" i="1"/>
  <c r="AV745" i="1"/>
  <c r="AY745" i="1"/>
  <c r="AU746" i="1"/>
  <c r="AV746" i="1"/>
  <c r="AY746" i="1"/>
  <c r="AU747" i="1"/>
  <c r="AV747" i="1"/>
  <c r="AY747" i="1"/>
  <c r="AU748" i="1"/>
  <c r="AV748" i="1"/>
  <c r="AY748" i="1"/>
  <c r="AV749" i="1"/>
  <c r="AY749" i="1"/>
  <c r="AU750" i="1"/>
  <c r="AV750" i="1"/>
  <c r="AV751" i="1"/>
  <c r="AU728" i="1"/>
  <c r="AV728" i="1"/>
  <c r="AU729" i="1"/>
  <c r="AV729" i="1"/>
  <c r="AU730" i="1"/>
  <c r="AV730" i="1"/>
  <c r="AU731" i="1"/>
  <c r="AV731" i="1"/>
  <c r="AY731" i="1"/>
  <c r="AU732" i="1"/>
  <c r="AV732" i="1"/>
  <c r="AY732" i="1"/>
  <c r="AU733" i="1"/>
  <c r="AV733" i="1"/>
  <c r="AV734" i="1"/>
  <c r="AY734" i="1"/>
  <c r="AU735" i="1"/>
  <c r="AV735" i="1"/>
  <c r="AU736" i="1"/>
  <c r="AV736" i="1"/>
  <c r="AU737" i="1"/>
  <c r="AV737" i="1"/>
  <c r="AU738" i="1"/>
  <c r="AV738" i="1"/>
  <c r="AY738" i="1"/>
  <c r="AU739" i="1"/>
  <c r="AV739" i="1"/>
  <c r="AW739" i="1"/>
  <c r="AY739" i="1"/>
  <c r="AU740" i="1"/>
  <c r="AV740" i="1"/>
  <c r="AW740" i="1"/>
  <c r="AY740" i="1"/>
  <c r="AU741" i="1"/>
  <c r="AV741" i="1"/>
  <c r="AY741" i="1"/>
  <c r="AU742" i="1"/>
  <c r="AV742" i="1"/>
  <c r="AY742" i="1"/>
  <c r="AU710" i="1"/>
  <c r="AV710" i="1"/>
  <c r="AU711" i="1"/>
  <c r="AV711" i="1"/>
  <c r="AY711" i="1"/>
  <c r="AU712" i="1"/>
  <c r="AV712" i="1"/>
  <c r="AU713" i="1"/>
  <c r="AV713" i="1"/>
  <c r="AU714" i="1"/>
  <c r="AV714" i="1"/>
  <c r="AU715" i="1"/>
  <c r="AV715" i="1"/>
  <c r="AX715" i="1"/>
  <c r="AU716" i="1"/>
  <c r="AV716" i="1"/>
  <c r="AU717" i="1"/>
  <c r="AV717" i="1"/>
  <c r="AY717" i="1"/>
  <c r="AU718" i="1"/>
  <c r="AV718" i="1"/>
  <c r="AY718" i="1"/>
  <c r="AU719" i="1"/>
  <c r="AV719" i="1"/>
  <c r="AY719" i="1"/>
  <c r="AU720" i="1"/>
  <c r="AV720" i="1"/>
  <c r="AY720" i="1"/>
  <c r="AU721" i="1"/>
  <c r="AV721" i="1"/>
  <c r="AY721" i="1"/>
  <c r="AU722" i="1"/>
  <c r="AV722" i="1"/>
  <c r="AY722" i="1"/>
  <c r="AU723" i="1"/>
  <c r="AV723" i="1"/>
  <c r="AU724" i="1"/>
  <c r="AV724" i="1"/>
  <c r="AU725" i="1"/>
  <c r="AV725" i="1"/>
  <c r="AU726" i="1"/>
  <c r="AV726" i="1"/>
  <c r="AU727" i="1"/>
  <c r="AV727" i="1"/>
  <c r="AU698" i="1"/>
  <c r="AV698" i="1"/>
  <c r="AU699" i="1"/>
  <c r="AV699" i="1"/>
  <c r="AU700" i="1"/>
  <c r="AV700" i="1"/>
  <c r="AU701" i="1"/>
  <c r="AV701" i="1"/>
  <c r="AU702" i="1"/>
  <c r="AV702" i="1"/>
  <c r="AY702" i="1"/>
  <c r="AU703" i="1"/>
  <c r="AV703" i="1"/>
  <c r="AY703" i="1"/>
  <c r="AU704" i="1"/>
  <c r="AV704" i="1"/>
  <c r="AV705" i="1"/>
  <c r="AU706" i="1"/>
  <c r="AV706" i="1"/>
  <c r="AU707" i="1"/>
  <c r="AV707" i="1"/>
  <c r="AU708" i="1"/>
  <c r="AV708" i="1"/>
  <c r="AU709" i="1"/>
  <c r="AV709" i="1"/>
  <c r="AU679" i="1"/>
  <c r="AV679" i="1"/>
  <c r="AU680" i="1"/>
  <c r="AV680" i="1"/>
  <c r="AU681" i="1"/>
  <c r="AV681" i="1"/>
  <c r="AU682" i="1"/>
  <c r="AV682" i="1"/>
  <c r="AU683" i="1"/>
  <c r="AV683" i="1"/>
  <c r="AU684" i="1"/>
  <c r="AV684" i="1"/>
  <c r="AU685" i="1"/>
  <c r="AV685" i="1"/>
  <c r="AU686" i="1"/>
  <c r="AV686" i="1"/>
  <c r="AU687" i="1"/>
  <c r="AV687" i="1"/>
  <c r="AU688" i="1"/>
  <c r="AV688" i="1"/>
  <c r="AU689" i="1"/>
  <c r="AV689" i="1"/>
  <c r="AU690" i="1"/>
  <c r="AV690" i="1"/>
  <c r="AU691" i="1"/>
  <c r="AV691" i="1"/>
  <c r="AU692" i="1"/>
  <c r="AV692" i="1"/>
  <c r="AU693" i="1"/>
  <c r="AV693" i="1"/>
  <c r="AU694" i="1"/>
  <c r="AV694" i="1"/>
  <c r="AY694" i="1"/>
  <c r="AV695" i="1"/>
  <c r="AY695" i="1"/>
  <c r="AV696" i="1"/>
  <c r="AY696" i="1"/>
  <c r="AU697" i="1"/>
  <c r="AV697" i="1"/>
  <c r="AY697" i="1"/>
  <c r="AU664" i="1"/>
  <c r="AV664" i="1"/>
  <c r="AY664" i="1"/>
  <c r="AU665" i="1"/>
  <c r="AV665" i="1"/>
  <c r="AY665" i="1"/>
  <c r="AV666" i="1"/>
  <c r="AU667" i="1"/>
  <c r="AV667" i="1"/>
  <c r="AY667" i="1"/>
  <c r="AU668" i="1"/>
  <c r="AV668" i="1"/>
  <c r="AY668" i="1"/>
  <c r="AU669" i="1"/>
  <c r="AV669" i="1"/>
  <c r="AY669" i="1"/>
  <c r="AU670" i="1"/>
  <c r="AV670" i="1"/>
  <c r="AY670" i="1"/>
  <c r="AU671" i="1"/>
  <c r="AV671" i="1"/>
  <c r="AU672" i="1"/>
  <c r="AV672" i="1"/>
  <c r="AY672" i="1"/>
  <c r="AU673" i="1"/>
  <c r="AV673" i="1"/>
  <c r="AY673" i="1"/>
  <c r="AU674" i="1"/>
  <c r="AV674" i="1"/>
  <c r="AY674" i="1"/>
  <c r="AV675" i="1"/>
  <c r="AY675" i="1"/>
  <c r="AU676" i="1"/>
  <c r="AV676" i="1"/>
  <c r="AU677" i="1"/>
  <c r="AV677" i="1"/>
  <c r="AU678" i="1"/>
  <c r="AV678" i="1"/>
  <c r="AU643" i="1"/>
  <c r="AV643" i="1"/>
  <c r="AU644" i="1"/>
  <c r="AV644" i="1"/>
  <c r="AX644" i="1"/>
  <c r="AV645" i="1"/>
  <c r="AW645" i="1"/>
  <c r="AX645" i="1"/>
  <c r="AY645" i="1"/>
  <c r="AU646" i="1"/>
  <c r="AV646" i="1"/>
  <c r="AU647" i="1"/>
  <c r="AV647" i="1"/>
  <c r="AU648" i="1"/>
  <c r="AV648" i="1"/>
  <c r="AU649" i="1"/>
  <c r="AV649" i="1"/>
  <c r="AU650" i="1"/>
  <c r="AV650" i="1"/>
  <c r="AU651" i="1"/>
  <c r="AV651" i="1"/>
  <c r="AY651" i="1"/>
  <c r="AU652" i="1"/>
  <c r="AV652" i="1"/>
  <c r="AU653" i="1"/>
  <c r="AV653" i="1"/>
  <c r="AU654" i="1"/>
  <c r="AV654" i="1"/>
  <c r="AU655" i="1"/>
  <c r="AV655" i="1"/>
  <c r="AV656" i="1"/>
  <c r="AW656" i="1"/>
  <c r="AU657" i="1"/>
  <c r="AV657" i="1"/>
  <c r="AY657" i="1"/>
  <c r="AV658" i="1"/>
  <c r="AY658" i="1"/>
  <c r="AU659" i="1"/>
  <c r="AV659" i="1"/>
  <c r="AU660" i="1"/>
  <c r="AV660" i="1"/>
  <c r="AU661" i="1"/>
  <c r="AV661" i="1"/>
  <c r="AY661" i="1"/>
  <c r="AU662" i="1"/>
  <c r="AV662" i="1"/>
  <c r="AY662" i="1"/>
  <c r="AU663" i="1"/>
  <c r="AV663" i="1"/>
  <c r="AY663" i="1"/>
  <c r="AY642" i="1"/>
  <c r="AV642" i="1"/>
  <c r="AU642" i="1"/>
  <c r="AU639" i="1"/>
  <c r="AV639" i="1"/>
  <c r="AU640" i="1"/>
  <c r="AV640" i="1"/>
  <c r="AY638" i="1"/>
  <c r="AV638" i="1"/>
  <c r="AU638" i="1"/>
  <c r="AU634" i="1"/>
  <c r="AV634" i="1"/>
  <c r="AY634" i="1"/>
  <c r="AU635" i="1"/>
  <c r="AV635" i="1"/>
  <c r="AU636" i="1"/>
  <c r="AV636" i="1"/>
  <c r="AU619" i="1"/>
  <c r="AV619" i="1"/>
  <c r="AU620" i="1"/>
  <c r="AV620" i="1"/>
  <c r="AY620" i="1"/>
  <c r="AU621" i="1"/>
  <c r="AV621" i="1"/>
  <c r="AY621" i="1"/>
  <c r="AU622" i="1"/>
  <c r="AV622" i="1"/>
  <c r="AW622" i="1"/>
  <c r="AU623" i="1"/>
  <c r="AV623" i="1"/>
  <c r="AY623" i="1"/>
  <c r="AU624" i="1"/>
  <c r="AV624" i="1"/>
  <c r="AU625" i="1"/>
  <c r="AV625" i="1"/>
  <c r="AY625" i="1"/>
  <c r="AU626" i="1"/>
  <c r="AV626" i="1"/>
  <c r="AY626" i="1"/>
  <c r="AU627" i="1"/>
  <c r="AV627" i="1"/>
  <c r="AX627" i="1"/>
  <c r="AU628" i="1"/>
  <c r="AV628" i="1"/>
  <c r="AY628" i="1"/>
  <c r="AU629" i="1"/>
  <c r="AV629" i="1"/>
  <c r="AY629" i="1"/>
  <c r="AU630" i="1"/>
  <c r="AV630" i="1"/>
  <c r="AY630" i="1"/>
  <c r="AU631" i="1"/>
  <c r="AV631" i="1"/>
  <c r="AU632" i="1"/>
  <c r="AV632" i="1"/>
  <c r="AY632" i="1"/>
  <c r="AV633" i="1"/>
  <c r="AW633" i="1"/>
  <c r="AX633" i="1"/>
  <c r="AY633" i="1"/>
  <c r="AU597" i="1"/>
  <c r="AV597" i="1"/>
  <c r="AY597" i="1"/>
  <c r="AU598" i="1"/>
  <c r="AV598" i="1"/>
  <c r="AX598" i="1"/>
  <c r="AU599" i="1"/>
  <c r="AV599" i="1"/>
  <c r="AY599" i="1"/>
  <c r="AU600" i="1"/>
  <c r="AV600" i="1"/>
  <c r="AY600" i="1"/>
  <c r="AU601" i="1"/>
  <c r="AV601" i="1"/>
  <c r="AY601" i="1"/>
  <c r="AU602" i="1"/>
  <c r="AV602" i="1"/>
  <c r="AY602" i="1"/>
  <c r="AU603" i="1"/>
  <c r="AV603" i="1"/>
  <c r="AY603" i="1"/>
  <c r="AU604" i="1"/>
  <c r="AV604" i="1"/>
  <c r="AY604" i="1"/>
  <c r="AU605" i="1"/>
  <c r="AV605" i="1"/>
  <c r="AY605" i="1"/>
  <c r="AU606" i="1"/>
  <c r="AV606" i="1"/>
  <c r="AY606" i="1"/>
  <c r="AU607" i="1"/>
  <c r="AV607" i="1"/>
  <c r="AY607" i="1"/>
  <c r="AU608" i="1"/>
  <c r="AV608" i="1"/>
  <c r="AY608" i="1"/>
  <c r="AU609" i="1"/>
  <c r="AV609" i="1"/>
  <c r="AY609" i="1"/>
  <c r="AU610" i="1"/>
  <c r="AV610" i="1"/>
  <c r="AY610" i="1"/>
  <c r="AU611" i="1"/>
  <c r="AV611" i="1"/>
  <c r="AY611" i="1"/>
  <c r="AV612" i="1"/>
  <c r="AW612" i="1"/>
  <c r="AY612" i="1"/>
  <c r="AU613" i="1"/>
  <c r="AV613" i="1"/>
  <c r="AY613" i="1"/>
  <c r="AU614" i="1"/>
  <c r="AV614" i="1"/>
  <c r="AU615" i="1"/>
  <c r="AV615" i="1"/>
  <c r="AU616" i="1"/>
  <c r="AV616" i="1"/>
  <c r="AV617" i="1"/>
  <c r="AW617" i="1"/>
  <c r="AX617" i="1"/>
  <c r="AY617" i="1"/>
  <c r="AU618" i="1"/>
  <c r="AV618" i="1"/>
  <c r="AY618" i="1"/>
  <c r="AU576" i="1"/>
  <c r="AV576" i="1"/>
  <c r="AX576" i="1"/>
  <c r="AY576" i="1"/>
  <c r="AU577" i="1"/>
  <c r="AV577" i="1"/>
  <c r="AY577" i="1"/>
  <c r="AU578" i="1"/>
  <c r="AV578" i="1"/>
  <c r="AY578" i="1"/>
  <c r="AU579" i="1"/>
  <c r="AV579" i="1"/>
  <c r="AY579" i="1"/>
  <c r="AV580" i="1"/>
  <c r="AY580" i="1"/>
  <c r="AU581" i="1"/>
  <c r="AV581" i="1"/>
  <c r="AY581" i="1"/>
  <c r="AU582" i="1"/>
  <c r="AV582" i="1"/>
  <c r="AY582" i="1"/>
  <c r="AU583" i="1"/>
  <c r="AV583" i="1"/>
  <c r="AU584" i="1"/>
  <c r="AV584" i="1"/>
  <c r="AV585" i="1"/>
  <c r="AU586" i="1"/>
  <c r="AV586" i="1"/>
  <c r="AU587" i="1"/>
  <c r="AV587" i="1"/>
  <c r="AU588" i="1"/>
  <c r="AV588" i="1"/>
  <c r="AU589" i="1"/>
  <c r="AV589" i="1"/>
  <c r="AV590" i="1"/>
  <c r="AX590" i="1"/>
  <c r="AY590" i="1"/>
  <c r="AU591" i="1"/>
  <c r="AV591" i="1"/>
  <c r="AU592" i="1"/>
  <c r="AV592" i="1"/>
  <c r="AU593" i="1"/>
  <c r="AV593" i="1"/>
  <c r="AU594" i="1"/>
  <c r="AV594" i="1"/>
  <c r="AU595" i="1"/>
  <c r="AV595" i="1"/>
  <c r="AU596" i="1"/>
  <c r="AV596" i="1"/>
  <c r="AV558" i="1"/>
  <c r="AW558" i="1"/>
  <c r="AX558" i="1"/>
  <c r="AY558" i="1"/>
  <c r="AU559" i="1"/>
  <c r="AV559" i="1"/>
  <c r="AY559" i="1"/>
  <c r="AV560" i="1"/>
  <c r="AW560" i="1"/>
  <c r="AX560" i="1"/>
  <c r="AY560" i="1"/>
  <c r="AV561" i="1"/>
  <c r="AW561" i="1"/>
  <c r="AX561" i="1"/>
  <c r="AY561" i="1"/>
  <c r="AU562" i="1"/>
  <c r="AV562" i="1"/>
  <c r="AY562" i="1"/>
  <c r="AU563" i="1"/>
  <c r="AV563" i="1"/>
  <c r="AY563" i="1"/>
  <c r="AU564" i="1"/>
  <c r="AV564" i="1"/>
  <c r="AY564" i="1"/>
  <c r="AU565" i="1"/>
  <c r="AV565" i="1"/>
  <c r="AY565" i="1"/>
  <c r="AU566" i="1"/>
  <c r="AV566" i="1"/>
  <c r="AY566" i="1"/>
  <c r="AV567" i="1"/>
  <c r="AU568" i="1"/>
  <c r="AV568" i="1"/>
  <c r="AY568" i="1"/>
  <c r="AU569" i="1"/>
  <c r="AV569" i="1"/>
  <c r="AY569" i="1"/>
  <c r="AU570" i="1"/>
  <c r="AV570" i="1"/>
  <c r="AY570" i="1"/>
  <c r="AU571" i="1"/>
  <c r="AV571" i="1"/>
  <c r="AU572" i="1"/>
  <c r="AV572" i="1"/>
  <c r="AU573" i="1"/>
  <c r="AV573" i="1"/>
  <c r="AV574" i="1"/>
  <c r="AU575" i="1"/>
  <c r="AV575" i="1"/>
  <c r="AU540" i="1"/>
  <c r="AV540" i="1"/>
  <c r="AY540" i="1"/>
  <c r="AV541" i="1"/>
  <c r="AU542" i="1"/>
  <c r="AV542" i="1"/>
  <c r="AU543" i="1"/>
  <c r="AV543" i="1"/>
  <c r="AY543" i="1"/>
  <c r="AV544" i="1"/>
  <c r="AU545" i="1"/>
  <c r="AV545" i="1"/>
  <c r="AY545" i="1"/>
  <c r="AV546" i="1"/>
  <c r="AU547" i="1"/>
  <c r="AV547" i="1"/>
  <c r="AU548" i="1"/>
  <c r="AV548" i="1"/>
  <c r="AY548" i="1"/>
  <c r="AU549" i="1"/>
  <c r="AV549" i="1"/>
  <c r="AU550" i="1"/>
  <c r="AV550" i="1"/>
  <c r="AY550" i="1"/>
  <c r="AU551" i="1"/>
  <c r="AV551" i="1"/>
  <c r="AU552" i="1"/>
  <c r="AV552" i="1"/>
  <c r="AU553" i="1"/>
  <c r="AV553" i="1"/>
  <c r="AU554" i="1"/>
  <c r="AV554" i="1"/>
  <c r="AY554" i="1"/>
  <c r="AU555" i="1"/>
  <c r="AV555" i="1"/>
  <c r="AU556" i="1"/>
  <c r="AV556" i="1"/>
  <c r="AY556" i="1"/>
  <c r="AV557" i="1"/>
  <c r="AY557" i="1"/>
  <c r="AY539" i="1"/>
  <c r="AV539" i="1"/>
  <c r="AU539" i="1"/>
  <c r="AU536" i="1"/>
  <c r="AV536" i="1"/>
  <c r="AU537" i="1"/>
  <c r="AV537" i="1"/>
  <c r="AY535" i="1"/>
  <c r="AV535" i="1"/>
  <c r="AU535" i="1"/>
  <c r="AU522" i="1"/>
  <c r="AV522" i="1"/>
  <c r="AY522" i="1"/>
  <c r="AU523" i="1"/>
  <c r="AV523" i="1"/>
  <c r="AW523" i="1"/>
  <c r="AX523" i="1"/>
  <c r="AU524" i="1"/>
  <c r="AV524" i="1"/>
  <c r="AY524" i="1"/>
  <c r="AU525" i="1"/>
  <c r="AV525" i="1"/>
  <c r="AU526" i="1"/>
  <c r="AV526" i="1"/>
  <c r="AY526" i="1"/>
  <c r="AU527" i="1"/>
  <c r="AV527" i="1"/>
  <c r="AV528" i="1"/>
  <c r="AW528" i="1"/>
  <c r="AU529" i="1"/>
  <c r="AV529" i="1"/>
  <c r="AY529" i="1"/>
  <c r="AU530" i="1"/>
  <c r="AV530" i="1"/>
  <c r="AY530" i="1"/>
  <c r="AU531" i="1"/>
  <c r="AV531" i="1"/>
  <c r="AY531" i="1"/>
  <c r="AU532" i="1"/>
  <c r="AV532" i="1"/>
  <c r="AU533" i="1"/>
  <c r="AV533" i="1"/>
  <c r="AY533" i="1"/>
  <c r="AV506" i="1"/>
  <c r="AU507" i="1"/>
  <c r="AV507" i="1"/>
  <c r="AU508" i="1"/>
  <c r="AV508" i="1"/>
  <c r="AW508" i="1"/>
  <c r="AY508" i="1"/>
  <c r="AU509" i="1"/>
  <c r="AV509" i="1"/>
  <c r="AY509" i="1"/>
  <c r="AU510" i="1"/>
  <c r="AV510" i="1"/>
  <c r="AY510" i="1"/>
  <c r="AU511" i="1"/>
  <c r="AV511" i="1"/>
  <c r="AY511" i="1"/>
  <c r="AU512" i="1"/>
  <c r="AV512" i="1"/>
  <c r="AY512" i="1"/>
  <c r="AU513" i="1"/>
  <c r="AV513" i="1"/>
  <c r="AY513" i="1"/>
  <c r="AV514" i="1"/>
  <c r="AU515" i="1"/>
  <c r="AV515" i="1"/>
  <c r="AV516" i="1"/>
  <c r="AW516" i="1"/>
  <c r="AX516" i="1"/>
  <c r="AY516" i="1"/>
  <c r="AV517" i="1"/>
  <c r="AW517" i="1"/>
  <c r="AX517" i="1"/>
  <c r="AU518" i="1"/>
  <c r="AV518" i="1"/>
  <c r="AY518" i="1"/>
  <c r="AU519" i="1"/>
  <c r="AV519" i="1"/>
  <c r="AU520" i="1"/>
  <c r="AV520" i="1"/>
  <c r="AY520" i="1"/>
  <c r="AU521" i="1"/>
  <c r="AV521" i="1"/>
  <c r="AY521" i="1"/>
  <c r="AY505" i="1"/>
  <c r="AV505" i="1"/>
  <c r="AU505" i="1"/>
  <c r="AY503" i="1"/>
  <c r="AV503" i="1"/>
  <c r="AU503" i="1"/>
  <c r="AY500" i="1"/>
  <c r="AV500" i="1"/>
  <c r="AU500" i="1"/>
  <c r="AU497" i="1"/>
  <c r="AV497" i="1"/>
  <c r="AY497" i="1"/>
  <c r="AV496" i="1"/>
  <c r="AU496" i="1"/>
  <c r="AU482" i="1"/>
  <c r="AV482" i="1"/>
  <c r="AY482" i="1"/>
  <c r="AU483" i="1"/>
  <c r="AV483" i="1"/>
  <c r="AY483" i="1"/>
  <c r="AU484" i="1"/>
  <c r="AV484" i="1"/>
  <c r="AY484" i="1"/>
  <c r="AU485" i="1"/>
  <c r="AV485" i="1"/>
  <c r="AY485" i="1"/>
  <c r="AU486" i="1"/>
  <c r="AV486" i="1"/>
  <c r="AY486" i="1"/>
  <c r="AU487" i="1"/>
  <c r="AV487" i="1"/>
  <c r="AU488" i="1"/>
  <c r="AV488" i="1"/>
  <c r="AV489" i="1"/>
  <c r="AU490" i="1"/>
  <c r="AV490" i="1"/>
  <c r="AU491" i="1"/>
  <c r="AV491" i="1"/>
  <c r="AU492" i="1"/>
  <c r="AV492" i="1"/>
  <c r="AW492" i="1"/>
  <c r="AX492" i="1"/>
  <c r="AU493" i="1"/>
  <c r="AV493" i="1"/>
  <c r="AY493" i="1"/>
  <c r="AU494" i="1"/>
  <c r="AV494" i="1"/>
  <c r="AY494" i="1"/>
  <c r="AY481" i="1"/>
  <c r="AV481" i="1"/>
  <c r="AU481" i="1"/>
  <c r="AU461" i="1"/>
  <c r="AV461" i="1"/>
  <c r="AU462" i="1"/>
  <c r="AV462" i="1"/>
  <c r="AU463" i="1"/>
  <c r="AV463" i="1"/>
  <c r="AU464" i="1"/>
  <c r="AV464" i="1"/>
  <c r="AU465" i="1"/>
  <c r="AV465" i="1"/>
  <c r="AU466" i="1"/>
  <c r="AV466" i="1"/>
  <c r="AU467" i="1"/>
  <c r="AV467" i="1"/>
  <c r="AU468" i="1"/>
  <c r="AV468" i="1"/>
  <c r="AU469" i="1"/>
  <c r="AV469" i="1"/>
  <c r="AU470" i="1"/>
  <c r="AV470" i="1"/>
  <c r="AU471" i="1"/>
  <c r="AV471" i="1"/>
  <c r="AU472" i="1"/>
  <c r="AV472" i="1"/>
  <c r="AU473" i="1"/>
  <c r="AV473" i="1"/>
  <c r="AU474" i="1"/>
  <c r="AV474" i="1"/>
  <c r="AU475" i="1"/>
  <c r="AV475" i="1"/>
  <c r="AU477" i="1"/>
  <c r="AV477" i="1"/>
  <c r="AU478" i="1"/>
  <c r="AV478" i="1"/>
  <c r="AU479" i="1"/>
  <c r="AV479" i="1"/>
  <c r="AU443" i="1"/>
  <c r="AV443" i="1"/>
  <c r="AU444" i="1"/>
  <c r="AV444" i="1"/>
  <c r="AX444" i="1"/>
  <c r="AU445" i="1"/>
  <c r="AV445" i="1"/>
  <c r="AU446" i="1"/>
  <c r="AV446" i="1"/>
  <c r="AU447" i="1"/>
  <c r="AV447" i="1"/>
  <c r="AU448" i="1"/>
  <c r="AV448" i="1"/>
  <c r="AV449" i="1"/>
  <c r="AX449" i="1"/>
  <c r="AY449" i="1"/>
  <c r="AU450" i="1"/>
  <c r="AV450" i="1"/>
  <c r="AU451" i="1"/>
  <c r="AV451" i="1"/>
  <c r="AU452" i="1"/>
  <c r="AV452" i="1"/>
  <c r="AU453" i="1"/>
  <c r="AV453" i="1"/>
  <c r="AY453" i="1"/>
  <c r="AU454" i="1"/>
  <c r="AV454" i="1"/>
  <c r="AV455" i="1"/>
  <c r="AU456" i="1"/>
  <c r="AV456" i="1"/>
  <c r="AY456" i="1"/>
  <c r="AU457" i="1"/>
  <c r="AV457" i="1"/>
  <c r="AU458" i="1"/>
  <c r="AV458" i="1"/>
  <c r="AY458" i="1"/>
  <c r="AU459" i="1"/>
  <c r="AV459" i="1"/>
  <c r="AV460" i="1"/>
  <c r="AU419" i="1"/>
  <c r="AV419" i="1"/>
  <c r="AU420" i="1"/>
  <c r="AV420" i="1"/>
  <c r="AY420" i="1"/>
  <c r="AU421" i="1"/>
  <c r="AV421" i="1"/>
  <c r="AW421" i="1"/>
  <c r="AY421" i="1"/>
  <c r="AU422" i="1"/>
  <c r="AV422" i="1"/>
  <c r="AU423" i="1"/>
  <c r="AV423" i="1"/>
  <c r="AY423" i="1"/>
  <c r="AU424" i="1"/>
  <c r="AV424" i="1"/>
  <c r="AY424" i="1"/>
  <c r="AU425" i="1"/>
  <c r="AV425" i="1"/>
  <c r="AY425" i="1"/>
  <c r="AU426" i="1"/>
  <c r="AV426" i="1"/>
  <c r="AW426" i="1"/>
  <c r="AU427" i="1"/>
  <c r="AV427" i="1"/>
  <c r="AU428" i="1"/>
  <c r="AV428" i="1"/>
  <c r="AU429" i="1"/>
  <c r="AV429" i="1"/>
  <c r="AY429" i="1"/>
  <c r="AU430" i="1"/>
  <c r="AV430" i="1"/>
  <c r="AY430" i="1"/>
  <c r="AU431" i="1"/>
  <c r="AV431" i="1"/>
  <c r="AY431" i="1"/>
  <c r="AU432" i="1"/>
  <c r="AV432" i="1"/>
  <c r="AY432" i="1"/>
  <c r="AU433" i="1"/>
  <c r="AV433" i="1"/>
  <c r="AW433" i="1"/>
  <c r="AU434" i="1"/>
  <c r="AV434" i="1"/>
  <c r="AY434" i="1"/>
  <c r="AV435" i="1"/>
  <c r="AV436" i="1"/>
  <c r="AV437" i="1"/>
  <c r="AU438" i="1"/>
  <c r="AV438" i="1"/>
  <c r="AU439" i="1"/>
  <c r="AV439" i="1"/>
  <c r="AV440" i="1"/>
  <c r="AU441" i="1"/>
  <c r="AV441" i="1"/>
  <c r="AU442" i="1"/>
  <c r="AV442" i="1"/>
  <c r="AV418" i="1"/>
  <c r="AU418" i="1"/>
  <c r="AU410" i="1"/>
  <c r="AV410" i="1"/>
  <c r="AU411" i="1"/>
  <c r="AV411" i="1"/>
  <c r="AU412" i="1"/>
  <c r="AV412" i="1"/>
  <c r="AY412" i="1"/>
  <c r="AU413" i="1"/>
  <c r="AV413" i="1"/>
  <c r="AU414" i="1"/>
  <c r="AV414" i="1"/>
  <c r="AU415" i="1"/>
  <c r="AV415" i="1"/>
  <c r="AY415" i="1"/>
  <c r="AU416" i="1"/>
  <c r="AV416" i="1"/>
  <c r="AY416" i="1"/>
  <c r="AU388" i="1"/>
  <c r="AV388" i="1"/>
  <c r="AU389" i="1"/>
  <c r="AV389" i="1"/>
  <c r="AU390" i="1"/>
  <c r="AV390" i="1"/>
  <c r="AU391" i="1"/>
  <c r="AV391" i="1"/>
  <c r="AU392" i="1"/>
  <c r="AV392" i="1"/>
  <c r="AU393" i="1"/>
  <c r="AV393" i="1"/>
  <c r="AY393" i="1"/>
  <c r="AU394" i="1"/>
  <c r="AV394" i="1"/>
  <c r="AU395" i="1"/>
  <c r="AV395" i="1"/>
  <c r="AY395" i="1"/>
  <c r="AU396" i="1"/>
  <c r="AV396" i="1"/>
  <c r="AU397" i="1"/>
  <c r="AV397" i="1"/>
  <c r="AY397" i="1"/>
  <c r="AU398" i="1"/>
  <c r="AV398" i="1"/>
  <c r="AY398" i="1"/>
  <c r="AU399" i="1"/>
  <c r="AV399" i="1"/>
  <c r="AY399" i="1"/>
  <c r="AU400" i="1"/>
  <c r="AV400" i="1"/>
  <c r="AY400" i="1"/>
  <c r="AU401" i="1"/>
  <c r="AV401" i="1"/>
  <c r="AY401" i="1"/>
  <c r="AU402" i="1"/>
  <c r="AV402" i="1"/>
  <c r="AY402" i="1"/>
  <c r="AU403" i="1"/>
  <c r="AV403" i="1"/>
  <c r="AY403" i="1"/>
  <c r="AU404" i="1"/>
  <c r="AV404" i="1"/>
  <c r="AY404" i="1"/>
  <c r="AU405" i="1"/>
  <c r="AV405" i="1"/>
  <c r="AY405" i="1"/>
  <c r="AU406" i="1"/>
  <c r="AV406" i="1"/>
  <c r="AU407" i="1"/>
  <c r="AV407" i="1"/>
  <c r="AU408" i="1"/>
  <c r="AV408" i="1"/>
  <c r="AY408" i="1"/>
  <c r="AU409" i="1"/>
  <c r="AV409" i="1"/>
  <c r="AY409" i="1"/>
  <c r="AY387" i="1"/>
  <c r="AV387" i="1"/>
  <c r="AU387" i="1"/>
  <c r="AU383" i="1"/>
  <c r="AV383" i="1"/>
  <c r="AV384" i="1"/>
  <c r="AU385" i="1"/>
  <c r="AV385" i="1"/>
  <c r="AY382" i="1"/>
  <c r="AV382" i="1"/>
  <c r="AU382" i="1"/>
  <c r="AV379" i="1"/>
  <c r="AU379" i="1"/>
  <c r="AY379" i="1"/>
  <c r="AU377" i="1"/>
  <c r="AV377" i="1"/>
  <c r="AY377" i="1"/>
  <c r="AY365" i="1"/>
  <c r="AY366" i="1"/>
  <c r="AY367" i="1"/>
  <c r="AY368" i="1"/>
  <c r="AY370" i="1"/>
  <c r="AY372" i="1"/>
  <c r="AY375" i="1"/>
  <c r="AY376" i="1"/>
  <c r="AY364" i="1"/>
  <c r="AU365" i="1"/>
  <c r="AV365" i="1"/>
  <c r="AU366" i="1"/>
  <c r="AV366" i="1"/>
  <c r="AU367" i="1"/>
  <c r="AV367" i="1"/>
  <c r="AU368" i="1"/>
  <c r="AV368" i="1"/>
  <c r="AU370" i="1"/>
  <c r="AV370" i="1"/>
  <c r="AU371" i="1"/>
  <c r="AV371" i="1"/>
  <c r="AU372" i="1"/>
  <c r="AV372" i="1"/>
  <c r="AU373" i="1"/>
  <c r="AV373" i="1"/>
  <c r="AU374" i="1"/>
  <c r="AV374" i="1"/>
  <c r="AU375" i="1"/>
  <c r="AV375" i="1"/>
  <c r="AU376" i="1"/>
  <c r="AV376" i="1"/>
  <c r="AV364" i="1"/>
  <c r="AU364" i="1"/>
  <c r="AU337" i="1"/>
  <c r="AV337" i="1"/>
  <c r="AU338" i="1"/>
  <c r="AV338" i="1"/>
  <c r="AU339" i="1"/>
  <c r="AV339" i="1"/>
  <c r="AU340" i="1"/>
  <c r="AV340" i="1"/>
  <c r="AW340" i="1"/>
  <c r="AX340" i="1"/>
  <c r="AU341" i="1"/>
  <c r="AV341" i="1"/>
  <c r="AY341" i="1"/>
  <c r="AU342" i="1"/>
  <c r="AV342" i="1"/>
  <c r="AY342" i="1"/>
  <c r="AU343" i="1"/>
  <c r="AV343" i="1"/>
  <c r="AU344" i="1"/>
  <c r="AV344" i="1"/>
  <c r="AV345" i="1"/>
  <c r="AY345" i="1"/>
  <c r="AU137" i="1"/>
  <c r="AV137" i="1"/>
  <c r="AU349" i="1"/>
  <c r="AV349" i="1"/>
  <c r="AY349" i="1"/>
  <c r="AU350" i="1"/>
  <c r="AV350" i="1"/>
  <c r="AV351" i="1"/>
  <c r="AY351" i="1"/>
  <c r="AU353" i="1"/>
  <c r="AV353" i="1"/>
  <c r="AU354" i="1"/>
  <c r="AV354" i="1"/>
  <c r="AU355" i="1"/>
  <c r="AV355" i="1"/>
  <c r="AY355" i="1"/>
  <c r="AU356" i="1"/>
  <c r="AV356" i="1"/>
  <c r="AY356" i="1"/>
  <c r="AU357" i="1"/>
  <c r="AV357" i="1"/>
  <c r="AY357" i="1"/>
  <c r="AU358" i="1"/>
  <c r="AV358" i="1"/>
  <c r="AY358" i="1"/>
  <c r="AU359" i="1"/>
  <c r="AV359" i="1"/>
  <c r="AY359" i="1"/>
  <c r="AU360" i="1"/>
  <c r="AV360" i="1"/>
  <c r="AY360" i="1"/>
  <c r="AU361" i="1"/>
  <c r="AV361" i="1"/>
  <c r="AY361" i="1"/>
  <c r="AU315" i="1"/>
  <c r="AV315" i="1"/>
  <c r="AY315" i="1"/>
  <c r="AU316" i="1"/>
  <c r="AV316" i="1"/>
  <c r="AY316" i="1"/>
  <c r="AU317" i="1"/>
  <c r="AV317" i="1"/>
  <c r="AU318" i="1"/>
  <c r="AV318" i="1"/>
  <c r="AU319" i="1"/>
  <c r="AV319" i="1"/>
  <c r="AU320" i="1"/>
  <c r="AV320" i="1"/>
  <c r="AY320" i="1"/>
  <c r="AU321" i="1"/>
  <c r="AV321" i="1"/>
  <c r="AY321" i="1"/>
  <c r="AU322" i="1"/>
  <c r="AV322" i="1"/>
  <c r="AU323" i="1"/>
  <c r="AV323" i="1"/>
  <c r="AX323" i="1"/>
  <c r="AU111" i="1"/>
  <c r="AV111" i="1"/>
  <c r="AY111" i="1"/>
  <c r="AU324" i="1"/>
  <c r="AV324" i="1"/>
  <c r="AU325" i="1"/>
  <c r="AV325" i="1"/>
  <c r="AU326" i="1"/>
  <c r="AV326" i="1"/>
  <c r="AY326" i="1"/>
  <c r="AU327" i="1"/>
  <c r="AV327" i="1"/>
  <c r="AY327" i="1"/>
  <c r="AV328" i="1"/>
  <c r="AU329" i="1"/>
  <c r="AV329" i="1"/>
  <c r="AY329" i="1"/>
  <c r="AU330" i="1"/>
  <c r="AV330" i="1"/>
  <c r="AU331" i="1"/>
  <c r="AV331" i="1"/>
  <c r="AY331" i="1"/>
  <c r="AU332" i="1"/>
  <c r="AV332" i="1"/>
  <c r="AY332" i="1"/>
  <c r="AV333" i="1"/>
  <c r="AY333" i="1"/>
  <c r="AU334" i="1"/>
  <c r="AV334" i="1"/>
  <c r="AU335" i="1"/>
  <c r="AV335" i="1"/>
  <c r="AY335" i="1"/>
  <c r="AU336" i="1"/>
  <c r="AV336" i="1"/>
  <c r="AY336" i="1"/>
  <c r="AU307" i="1"/>
  <c r="AV307" i="1"/>
  <c r="AY307" i="1"/>
  <c r="AU308" i="1"/>
  <c r="AV308" i="1"/>
  <c r="AW308" i="1"/>
  <c r="AX308" i="1"/>
  <c r="AU309" i="1"/>
  <c r="AV309" i="1"/>
  <c r="AU310" i="1"/>
  <c r="AV310" i="1"/>
  <c r="AU311" i="1"/>
  <c r="AV311" i="1"/>
  <c r="AU105" i="1"/>
  <c r="AV105" i="1"/>
  <c r="AU312" i="1"/>
  <c r="AV312" i="1"/>
  <c r="AU313" i="1"/>
  <c r="AV313" i="1"/>
  <c r="AY313" i="1"/>
  <c r="AU314" i="1"/>
  <c r="AV314" i="1"/>
  <c r="AY314" i="1"/>
  <c r="AV306" i="1"/>
  <c r="AU303" i="1"/>
  <c r="AV303" i="1"/>
  <c r="AU296" i="1"/>
  <c r="AV296" i="1"/>
  <c r="AU297" i="1"/>
  <c r="AV297" i="1"/>
  <c r="AU298" i="1"/>
  <c r="AV298" i="1"/>
  <c r="AY298" i="1"/>
  <c r="AU299" i="1"/>
  <c r="AV299" i="1"/>
  <c r="AU300" i="1"/>
  <c r="AV300" i="1"/>
  <c r="AU301" i="1"/>
  <c r="AV301" i="1"/>
  <c r="AY301" i="1"/>
  <c r="AU302" i="1"/>
  <c r="AV302" i="1"/>
  <c r="AV295" i="1"/>
  <c r="AU295" i="1"/>
  <c r="AU293" i="1"/>
  <c r="AV293" i="1"/>
  <c r="AY293" i="1"/>
  <c r="AV288" i="1"/>
  <c r="AY288" i="1"/>
  <c r="AU290" i="1"/>
  <c r="AV290" i="1"/>
  <c r="AU291" i="1"/>
  <c r="AV291" i="1"/>
  <c r="AU292" i="1"/>
  <c r="AV292" i="1"/>
  <c r="AY292" i="1"/>
  <c r="AU266" i="1"/>
  <c r="AV266" i="1"/>
  <c r="AV267" i="1"/>
  <c r="AU268" i="1"/>
  <c r="AV268" i="1"/>
  <c r="AY268" i="1"/>
  <c r="AU269" i="1"/>
  <c r="AV269" i="1"/>
  <c r="AU68" i="1"/>
  <c r="AV68" i="1"/>
  <c r="AY68" i="1"/>
  <c r="AU271" i="1"/>
  <c r="AV271" i="1"/>
  <c r="AY271" i="1"/>
  <c r="AU273" i="1"/>
  <c r="AV273" i="1"/>
  <c r="AU274" i="1"/>
  <c r="AV274" i="1"/>
  <c r="AU276" i="1"/>
  <c r="AV276" i="1"/>
  <c r="AU278" i="1"/>
  <c r="AV278" i="1"/>
  <c r="AY278" i="1"/>
  <c r="AU279" i="1"/>
  <c r="AV279" i="1"/>
  <c r="AY279" i="1"/>
  <c r="AU280" i="1"/>
  <c r="AV280" i="1"/>
  <c r="AY280" i="1"/>
  <c r="AU281" i="1"/>
  <c r="AV281" i="1"/>
  <c r="AY281" i="1"/>
  <c r="AU282" i="1"/>
  <c r="AV282" i="1"/>
  <c r="AY282" i="1"/>
  <c r="AU283" i="1"/>
  <c r="AV283" i="1"/>
  <c r="AY283" i="1"/>
  <c r="AU284" i="1"/>
  <c r="AV284" i="1"/>
  <c r="AU285" i="1"/>
  <c r="AV285" i="1"/>
  <c r="AU287" i="1"/>
  <c r="AV287" i="1"/>
  <c r="AY287" i="1"/>
  <c r="AU254" i="1"/>
  <c r="AV254" i="1"/>
  <c r="AU255" i="1"/>
  <c r="AV255" i="1"/>
  <c r="AU256" i="1"/>
  <c r="AV256" i="1"/>
  <c r="AW256" i="1"/>
  <c r="AY256" i="1"/>
  <c r="AU257" i="1"/>
  <c r="AV257" i="1"/>
  <c r="AY257" i="1"/>
  <c r="AU258" i="1"/>
  <c r="AV258" i="1"/>
  <c r="AU260" i="1"/>
  <c r="AV260" i="1"/>
  <c r="AY260" i="1"/>
  <c r="AU261" i="1"/>
  <c r="AV261" i="1"/>
  <c r="AY261" i="1"/>
  <c r="AU262" i="1"/>
  <c r="AV262" i="1"/>
  <c r="AY262" i="1"/>
  <c r="AU263" i="1"/>
  <c r="AV263" i="1"/>
  <c r="AY263" i="1"/>
  <c r="AU264" i="1"/>
  <c r="AV264" i="1"/>
  <c r="AY264" i="1"/>
  <c r="AU265" i="1"/>
  <c r="AV265" i="1"/>
  <c r="AU253" i="1"/>
  <c r="AV253" i="1"/>
  <c r="AW253" i="1"/>
  <c r="AX253" i="1"/>
  <c r="AY253" i="1"/>
  <c r="AU252" i="1"/>
  <c r="AV252" i="1"/>
  <c r="AY252" i="1"/>
  <c r="AY251" i="1"/>
  <c r="AV251" i="1"/>
  <c r="AU251" i="1"/>
  <c r="AV243" i="1"/>
  <c r="AU245" i="1"/>
  <c r="AV245" i="1"/>
  <c r="AY245" i="1"/>
  <c r="AU246" i="1"/>
  <c r="AV246" i="1"/>
  <c r="AY246" i="1"/>
  <c r="AU247" i="1"/>
  <c r="AV247" i="1"/>
  <c r="AY247" i="1"/>
  <c r="AU228" i="1"/>
  <c r="AV228" i="1"/>
  <c r="AY228" i="1"/>
  <c r="AU229" i="1"/>
  <c r="AV229" i="1"/>
  <c r="AY229" i="1"/>
  <c r="AU230" i="1"/>
  <c r="AV230" i="1"/>
  <c r="AY230" i="1"/>
  <c r="AU231" i="1"/>
  <c r="AV231" i="1"/>
  <c r="AU233" i="1"/>
  <c r="AV233" i="1"/>
  <c r="AY233" i="1"/>
  <c r="AU234" i="1"/>
  <c r="AV234" i="1"/>
  <c r="AU236" i="1"/>
  <c r="AV236" i="1"/>
  <c r="AY236" i="1"/>
  <c r="AU237" i="1"/>
  <c r="AV237" i="1"/>
  <c r="AY237" i="1"/>
  <c r="AU238" i="1"/>
  <c r="AV238" i="1"/>
  <c r="AY238" i="1"/>
  <c r="AU239" i="1"/>
  <c r="AV239" i="1"/>
  <c r="AY239" i="1"/>
  <c r="AU240" i="1"/>
  <c r="AV240" i="1"/>
  <c r="AY240" i="1"/>
  <c r="AU242" i="1"/>
  <c r="AV242" i="1"/>
  <c r="AY242" i="1"/>
  <c r="AY227" i="1"/>
  <c r="AV227" i="1"/>
  <c r="AU227" i="1"/>
  <c r="AU219" i="1"/>
  <c r="AV219" i="1"/>
  <c r="AY219" i="1"/>
  <c r="AU220" i="1"/>
  <c r="AV220" i="1"/>
  <c r="AY220" i="1"/>
  <c r="AU221" i="1"/>
  <c r="AV221" i="1"/>
  <c r="AY221" i="1"/>
  <c r="AU222" i="1"/>
  <c r="AV222" i="1"/>
  <c r="AY222" i="1"/>
  <c r="AU223" i="1"/>
  <c r="AV223" i="1"/>
  <c r="AY223" i="1"/>
  <c r="AU224" i="1"/>
  <c r="AV224" i="1"/>
  <c r="AY224" i="1"/>
  <c r="AU225" i="1"/>
  <c r="AV225" i="1"/>
  <c r="AU207" i="1"/>
  <c r="AV207" i="1"/>
  <c r="AY207" i="1"/>
  <c r="AU208" i="1"/>
  <c r="AV208" i="1"/>
  <c r="AX208" i="1"/>
  <c r="AU209" i="1"/>
  <c r="AV209" i="1"/>
  <c r="AU210" i="1"/>
  <c r="AV210" i="1"/>
  <c r="AX210" i="1"/>
  <c r="AU211" i="1"/>
  <c r="AV211" i="1"/>
  <c r="AY211" i="1"/>
  <c r="AU212" i="1"/>
  <c r="AV212" i="1"/>
  <c r="AU213" i="1"/>
  <c r="AV213" i="1"/>
  <c r="AU214" i="1"/>
  <c r="AV214" i="1"/>
  <c r="AU215" i="1"/>
  <c r="AV215" i="1"/>
  <c r="AU216" i="1"/>
  <c r="AV216" i="1"/>
  <c r="AU217" i="1"/>
  <c r="AV217" i="1"/>
  <c r="AU218" i="1"/>
  <c r="AV218" i="1"/>
  <c r="AV206" i="1"/>
  <c r="AU206" i="1"/>
  <c r="AS499" i="1" l="1"/>
  <c r="AS498" i="1"/>
  <c r="AS502" i="1"/>
  <c r="AS501" i="1"/>
  <c r="AS504" i="1"/>
  <c r="AT226" i="1"/>
  <c r="AT203" i="1"/>
  <c r="AT204" i="1"/>
  <c r="AS253" i="1"/>
  <c r="AT534" i="1" s="1"/>
  <c r="AR253" i="1"/>
  <c r="Z253" i="1"/>
  <c r="X253" i="1"/>
  <c r="N253" i="1"/>
  <c r="U253" i="10"/>
  <c r="E253" i="10"/>
  <c r="AP253" i="1" l="1"/>
  <c r="U253" i="1"/>
  <c r="V253" i="1"/>
  <c r="N534" i="1" l="1"/>
  <c r="AP534" i="1" l="1"/>
  <c r="AS248" i="1" l="1"/>
  <c r="AS249" i="1"/>
  <c r="AS417" i="1"/>
  <c r="AT417" i="1" s="1"/>
  <c r="AS641" i="1"/>
  <c r="AS637" i="1"/>
  <c r="AS538" i="1"/>
  <c r="S538" i="1" s="1"/>
  <c r="AT538" i="1" s="1"/>
  <c r="AS386" i="1"/>
  <c r="AS381" i="1"/>
  <c r="AT381" i="1" s="1"/>
  <c r="AS380" i="1"/>
  <c r="AT380" i="1" s="1"/>
  <c r="AS378" i="1"/>
  <c r="AT378" i="1" s="1"/>
  <c r="AS363" i="1"/>
  <c r="AT363" i="1" s="1"/>
  <c r="AS305" i="1"/>
  <c r="AS294" i="1"/>
  <c r="AS126" i="1"/>
  <c r="AT126" i="1" s="1"/>
  <c r="AS270" i="1"/>
  <c r="AR641" i="1"/>
  <c r="R641" i="1" s="1"/>
  <c r="AR637" i="1"/>
  <c r="R637" i="1" s="1"/>
  <c r="AR538" i="1"/>
  <c r="R538" i="1" s="1"/>
  <c r="AR504" i="1"/>
  <c r="R504" i="1" s="1"/>
  <c r="S504" i="1" s="1"/>
  <c r="AT504" i="1" s="1"/>
  <c r="AR501" i="1"/>
  <c r="R501" i="1" s="1"/>
  <c r="S501" i="1" s="1"/>
  <c r="AR502" i="1"/>
  <c r="R502" i="1" s="1"/>
  <c r="S502" i="1" s="1"/>
  <c r="AR498" i="1"/>
  <c r="AR499" i="1"/>
  <c r="R499" i="1" s="1"/>
  <c r="AR417" i="1"/>
  <c r="AR380" i="1"/>
  <c r="AR381" i="1"/>
  <c r="AR378" i="1"/>
  <c r="AR363" i="1"/>
  <c r="AR305" i="1"/>
  <c r="R305" i="1" s="1"/>
  <c r="AR294" i="1"/>
  <c r="R294" i="1" s="1"/>
  <c r="AR248" i="1"/>
  <c r="R248" i="1" s="1"/>
  <c r="AR249" i="1"/>
  <c r="R249" i="1" s="1"/>
  <c r="AR126" i="1"/>
  <c r="AR270" i="1"/>
  <c r="R270" i="1" s="1"/>
  <c r="AR386" i="1"/>
  <c r="R386" i="1" s="1"/>
  <c r="E248" i="10"/>
  <c r="E249" i="10"/>
  <c r="E226" i="10"/>
  <c r="R226" i="1" s="1"/>
  <c r="S249" i="1" l="1"/>
  <c r="AT249" i="1" s="1"/>
  <c r="N501" i="1"/>
  <c r="AP501" i="1" s="1"/>
  <c r="AT501" i="1"/>
  <c r="N502" i="1"/>
  <c r="AP502" i="1" s="1"/>
  <c r="AT502" i="1"/>
  <c r="N226" i="1"/>
  <c r="AP226" i="1" s="1"/>
  <c r="S248" i="1"/>
  <c r="N504" i="1"/>
  <c r="AP504" i="1" s="1"/>
  <c r="AQ612" i="1"/>
  <c r="S499" i="1"/>
  <c r="S637" i="1"/>
  <c r="AT637" i="1" s="1"/>
  <c r="R498" i="1"/>
  <c r="S498" i="1" s="1"/>
  <c r="AT498" i="1" s="1"/>
  <c r="N249" i="1" l="1"/>
  <c r="AP249" i="1" s="1"/>
  <c r="N499" i="1"/>
  <c r="AP499" i="1" s="1"/>
  <c r="AT499" i="1"/>
  <c r="N248" i="1"/>
  <c r="AP248" i="1" s="1"/>
  <c r="AT248" i="1"/>
  <c r="N498" i="1"/>
  <c r="X498" i="1" l="1"/>
  <c r="AP498" i="1"/>
  <c r="U498" i="1"/>
  <c r="V498" i="1"/>
  <c r="AQ495" i="1" l="1"/>
  <c r="AR495" i="1"/>
  <c r="R495" i="1" s="1"/>
  <c r="Z495" i="1"/>
  <c r="X495" i="1"/>
  <c r="U495" i="10"/>
  <c r="E495" i="10"/>
  <c r="AD498" i="1" l="1"/>
  <c r="U270" i="10" l="1"/>
  <c r="U120" i="10"/>
  <c r="U122" i="10"/>
  <c r="U294" i="10"/>
  <c r="U386" i="10"/>
  <c r="U361" i="10"/>
  <c r="U363" i="10"/>
  <c r="U364" i="10"/>
  <c r="U365" i="10"/>
  <c r="U366" i="10"/>
  <c r="U367" i="10"/>
  <c r="U368" i="10"/>
  <c r="U370" i="10"/>
  <c r="U371" i="10"/>
  <c r="U372" i="10"/>
  <c r="U373" i="10"/>
  <c r="U374" i="10"/>
  <c r="U375" i="10"/>
  <c r="U376" i="10"/>
  <c r="U377" i="10"/>
  <c r="U378" i="10"/>
  <c r="U379" i="10"/>
  <c r="U380" i="10"/>
  <c r="U381" i="10"/>
  <c r="U538" i="10"/>
  <c r="U641" i="10"/>
  <c r="Z637" i="1"/>
  <c r="X637" i="1"/>
  <c r="E641" i="10"/>
  <c r="S641" i="1" s="1"/>
  <c r="U637" i="10"/>
  <c r="E637" i="10"/>
  <c r="T637" i="1" s="1"/>
  <c r="E538" i="10"/>
  <c r="P538" i="1" s="1"/>
  <c r="P417" i="1"/>
  <c r="E417" i="10"/>
  <c r="R417" i="1" s="1"/>
  <c r="Y386" i="1"/>
  <c r="E386" i="10"/>
  <c r="Z305" i="1"/>
  <c r="X305" i="1"/>
  <c r="Z294" i="1"/>
  <c r="X294" i="1"/>
  <c r="U305" i="10"/>
  <c r="E305" i="10"/>
  <c r="S305" i="1" s="1"/>
  <c r="E294" i="10"/>
  <c r="S294" i="1" s="1"/>
  <c r="AT294" i="1" s="1"/>
  <c r="P378" i="1"/>
  <c r="P381" i="1"/>
  <c r="P380" i="1"/>
  <c r="P363" i="1"/>
  <c r="E378" i="10"/>
  <c r="R378" i="1" s="1"/>
  <c r="E381" i="10"/>
  <c r="R381" i="1" s="1"/>
  <c r="E380" i="10"/>
  <c r="R380" i="1" s="1"/>
  <c r="E363" i="10"/>
  <c r="R363" i="1" s="1"/>
  <c r="E270" i="10"/>
  <c r="S270" i="1" s="1"/>
  <c r="AT270" i="1" s="1"/>
  <c r="T270" i="1"/>
  <c r="P270" i="1"/>
  <c r="T126" i="1"/>
  <c r="U126" i="10"/>
  <c r="E126" i="10"/>
  <c r="R126" i="1" s="1"/>
  <c r="P641" i="1" l="1"/>
  <c r="N641" i="1" s="1"/>
  <c r="AT641" i="1"/>
  <c r="AS612" i="1"/>
  <c r="AT305" i="1"/>
  <c r="N637" i="1"/>
  <c r="N305" i="1"/>
  <c r="AP305" i="1" s="1"/>
  <c r="N294" i="1"/>
  <c r="N417" i="1"/>
  <c r="N378" i="1"/>
  <c r="N363" i="1"/>
  <c r="N380" i="1"/>
  <c r="N381" i="1"/>
  <c r="N270" i="1"/>
  <c r="N126" i="1"/>
  <c r="S612" i="1" l="1"/>
  <c r="U637" i="1"/>
  <c r="AP637" i="1"/>
  <c r="U641" i="1"/>
  <c r="AP641" i="1"/>
  <c r="V417" i="1"/>
  <c r="AP417" i="1"/>
  <c r="V380" i="1"/>
  <c r="AP380" i="1"/>
  <c r="U381" i="1"/>
  <c r="AP381" i="1"/>
  <c r="U378" i="1"/>
  <c r="AP378" i="1"/>
  <c r="U363" i="1"/>
  <c r="AP363" i="1"/>
  <c r="V294" i="1"/>
  <c r="AP294" i="1"/>
  <c r="V126" i="1"/>
  <c r="AP126" i="1"/>
  <c r="U270" i="1"/>
  <c r="AP270" i="1"/>
  <c r="U294" i="1"/>
  <c r="U417" i="1"/>
  <c r="V378" i="1"/>
  <c r="U305" i="1"/>
  <c r="V305" i="1"/>
  <c r="U380" i="1"/>
  <c r="V363" i="1"/>
  <c r="V381" i="1"/>
  <c r="U126" i="1"/>
  <c r="AX612" i="1" l="1"/>
  <c r="AT612" i="1"/>
  <c r="AS48" i="1"/>
  <c r="AT48" i="1" s="1"/>
  <c r="AR48" i="1"/>
  <c r="U48" i="10"/>
  <c r="E48" i="10"/>
  <c r="R48" i="1" s="1"/>
  <c r="N48" i="1" s="1"/>
  <c r="AP48" i="1" s="1"/>
  <c r="S162" i="1"/>
  <c r="AT162" i="1" s="1"/>
  <c r="AR162" i="1"/>
  <c r="Z162" i="1"/>
  <c r="X162" i="1"/>
  <c r="U162" i="10"/>
  <c r="E162" i="10"/>
  <c r="V48" i="1" l="1"/>
  <c r="U48" i="1"/>
  <c r="P19" i="1" l="1"/>
  <c r="P14" i="1" s="1"/>
  <c r="AP5" i="1" s="1"/>
  <c r="AQ5" i="1" s="1"/>
  <c r="AP11" i="1" l="1"/>
  <c r="AP8" i="1"/>
  <c r="AP7" i="1" s="1"/>
  <c r="U644" i="10"/>
  <c r="AW267" i="1" l="1"/>
  <c r="AX267" i="1"/>
  <c r="P517" i="1" l="1"/>
  <c r="AU517" i="1" s="1"/>
  <c r="G205" i="10" l="1"/>
  <c r="H205" i="10"/>
  <c r="I205" i="10"/>
  <c r="J205" i="10"/>
  <c r="K205" i="10"/>
  <c r="L205" i="10"/>
  <c r="M205" i="10"/>
  <c r="N205" i="10"/>
  <c r="O205" i="10"/>
  <c r="P205" i="10"/>
  <c r="Q205" i="10"/>
  <c r="S205" i="10"/>
  <c r="F205" i="10"/>
  <c r="U121" i="10" l="1"/>
  <c r="Q757" i="10"/>
  <c r="P757" i="10"/>
  <c r="O757" i="10"/>
  <c r="N757" i="10"/>
  <c r="M757" i="10"/>
  <c r="L757" i="10"/>
  <c r="G757" i="10"/>
  <c r="H757" i="10"/>
  <c r="I757" i="10"/>
  <c r="J757" i="10"/>
  <c r="F757" i="10"/>
  <c r="Q756" i="10"/>
  <c r="O756" i="10"/>
  <c r="N756" i="10"/>
  <c r="M756" i="10"/>
  <c r="H756" i="10"/>
  <c r="I756" i="10"/>
  <c r="J756" i="10"/>
  <c r="G756" i="10"/>
  <c r="F756" i="10"/>
  <c r="U202" i="10"/>
  <c r="U203" i="10"/>
  <c r="U204" i="10"/>
  <c r="AR323" i="1"/>
  <c r="Z323" i="1"/>
  <c r="X323" i="1"/>
  <c r="U323" i="10"/>
  <c r="E323" i="10"/>
  <c r="AR267" i="1"/>
  <c r="Z267" i="1"/>
  <c r="X267" i="1"/>
  <c r="U267" i="10"/>
  <c r="E267" i="10"/>
  <c r="AS174" i="1" l="1"/>
  <c r="AT174" i="1" s="1"/>
  <c r="AR174" i="1"/>
  <c r="Z174" i="1"/>
  <c r="X174" i="1"/>
  <c r="U174" i="10"/>
  <c r="E174" i="10"/>
  <c r="R174" i="1" s="1"/>
  <c r="AS173" i="1"/>
  <c r="AR173" i="1"/>
  <c r="AQ173" i="1"/>
  <c r="Z173" i="1"/>
  <c r="X173" i="1"/>
  <c r="U173" i="10"/>
  <c r="E173" i="10"/>
  <c r="S173" i="1" s="1"/>
  <c r="U362" i="10"/>
  <c r="E362" i="10"/>
  <c r="AQ288" i="1"/>
  <c r="AS78" i="1"/>
  <c r="AR78" i="1"/>
  <c r="AQ78" i="1"/>
  <c r="Z78" i="1"/>
  <c r="X78" i="1"/>
  <c r="U78" i="10"/>
  <c r="E78" i="10"/>
  <c r="S78" i="1" s="1"/>
  <c r="AT173" i="1" l="1"/>
  <c r="AS288" i="1"/>
  <c r="AT78" i="1"/>
  <c r="N174" i="1"/>
  <c r="AP174" i="1" s="1"/>
  <c r="R362" i="1"/>
  <c r="V174" i="1" l="1"/>
  <c r="U174" i="1"/>
  <c r="P574" i="1" l="1"/>
  <c r="AU574" i="1" s="1"/>
  <c r="P541" i="1"/>
  <c r="AU541" i="1" s="1"/>
  <c r="P164" i="10" l="1"/>
  <c r="P14" i="10" s="1"/>
  <c r="AS290" i="1"/>
  <c r="AQ290" i="1"/>
  <c r="T290" i="10"/>
  <c r="T205" i="10" s="1"/>
  <c r="AS479" i="1"/>
  <c r="AR479" i="1"/>
  <c r="AQ479" i="1"/>
  <c r="AO479" i="1"/>
  <c r="AN479" i="1"/>
  <c r="AM479" i="1"/>
  <c r="X479" i="1"/>
  <c r="AR478" i="1"/>
  <c r="Z478" i="1"/>
  <c r="X478" i="1"/>
  <c r="U479" i="10"/>
  <c r="E479" i="10"/>
  <c r="U478" i="10"/>
  <c r="E478" i="10"/>
  <c r="AS362" i="1"/>
  <c r="AT362" i="1" s="1"/>
  <c r="AR362" i="1"/>
  <c r="Z362" i="1"/>
  <c r="X362" i="1"/>
  <c r="AS340" i="1"/>
  <c r="AT340" i="1" s="1"/>
  <c r="AR340" i="1"/>
  <c r="Z340" i="1"/>
  <c r="X340" i="1"/>
  <c r="U340" i="10"/>
  <c r="E340" i="10"/>
  <c r="AR322" i="1"/>
  <c r="Z322" i="1"/>
  <c r="X322" i="1"/>
  <c r="U322" i="10"/>
  <c r="E322" i="10"/>
  <c r="AS309" i="1"/>
  <c r="AR309" i="1"/>
  <c r="R309" i="1" s="1"/>
  <c r="AW309" i="1" s="1"/>
  <c r="Z309" i="1"/>
  <c r="X309" i="1"/>
  <c r="U309" i="10"/>
  <c r="E309" i="10"/>
  <c r="AS299" i="1"/>
  <c r="AR299" i="1"/>
  <c r="R299" i="1" s="1"/>
  <c r="AW299" i="1" s="1"/>
  <c r="Z299" i="1"/>
  <c r="X299" i="1"/>
  <c r="U299" i="10"/>
  <c r="E299" i="10"/>
  <c r="AR293" i="1"/>
  <c r="Z293" i="1"/>
  <c r="X293" i="1"/>
  <c r="U293" i="10"/>
  <c r="E293" i="10"/>
  <c r="AR273" i="1"/>
  <c r="Z273" i="1"/>
  <c r="X273" i="1"/>
  <c r="U273" i="10"/>
  <c r="E273" i="10"/>
  <c r="AS172" i="1"/>
  <c r="AR172" i="1"/>
  <c r="AQ444" i="1" s="1"/>
  <c r="AQ172" i="1"/>
  <c r="Z172" i="1"/>
  <c r="X172" i="1"/>
  <c r="U172" i="10"/>
  <c r="E172" i="10"/>
  <c r="AS153" i="1"/>
  <c r="S153" i="1" s="1"/>
  <c r="AR153" i="1"/>
  <c r="AQ396" i="1" s="1"/>
  <c r="Z153" i="1"/>
  <c r="X153" i="1"/>
  <c r="U153" i="10"/>
  <c r="E153" i="10"/>
  <c r="AS96" i="1"/>
  <c r="AR96" i="1"/>
  <c r="AQ96" i="1"/>
  <c r="Z96" i="1"/>
  <c r="X96" i="1"/>
  <c r="U96" i="10"/>
  <c r="E96" i="10"/>
  <c r="AS74" i="1"/>
  <c r="AR74" i="1"/>
  <c r="Z74" i="1"/>
  <c r="X74" i="1"/>
  <c r="U74" i="10"/>
  <c r="E74" i="10"/>
  <c r="S74" i="1" s="1"/>
  <c r="AS277" i="1" s="1"/>
  <c r="AS51" i="1"/>
  <c r="AR51" i="1"/>
  <c r="Z51" i="1"/>
  <c r="X51" i="1"/>
  <c r="U51" i="10"/>
  <c r="E51" i="10"/>
  <c r="AT277" i="1" l="1"/>
  <c r="P277" i="1"/>
  <c r="N277" i="1" s="1"/>
  <c r="AT74" i="1"/>
  <c r="P756" i="10"/>
  <c r="Z479" i="1"/>
  <c r="R479" i="1"/>
  <c r="AW479" i="1" s="1"/>
  <c r="R96" i="1"/>
  <c r="S96" i="1" s="1"/>
  <c r="N362" i="1"/>
  <c r="AP362" i="1" s="1"/>
  <c r="AP277" i="1" l="1"/>
  <c r="U277" i="1"/>
  <c r="V277" i="1"/>
  <c r="N96" i="1"/>
  <c r="AP96" i="1" s="1"/>
  <c r="AT96" i="1"/>
  <c r="V362" i="1"/>
  <c r="U362" i="1"/>
  <c r="U96" i="1" l="1"/>
  <c r="V96" i="1"/>
  <c r="AS209" i="1"/>
  <c r="E676" i="10" l="1"/>
  <c r="U676" i="10"/>
  <c r="N204" i="1" l="1"/>
  <c r="N203" i="1"/>
  <c r="N202" i="1"/>
  <c r="V203" i="1" l="1"/>
  <c r="U204" i="1"/>
  <c r="E203" i="10"/>
  <c r="AP203" i="1" s="1"/>
  <c r="E204" i="10"/>
  <c r="AP204" i="1" s="1"/>
  <c r="V204" i="1" l="1"/>
  <c r="U203" i="1"/>
  <c r="E176" i="10" l="1"/>
  <c r="U176" i="10"/>
  <c r="AQ151" i="1" l="1"/>
  <c r="AS146" i="1"/>
  <c r="S146" i="1" s="1"/>
  <c r="AS439" i="1" l="1"/>
  <c r="AQ439" i="1"/>
  <c r="AQ446" i="1"/>
  <c r="AQ445" i="1"/>
  <c r="AS446" i="1"/>
  <c r="AS445" i="1"/>
  <c r="AS425" i="1"/>
  <c r="AQ425" i="1"/>
  <c r="R26" i="10" l="1"/>
  <c r="R14" i="10" s="1"/>
  <c r="S288" i="1" l="1"/>
  <c r="AX288" i="1" l="1"/>
  <c r="AT288" i="1"/>
  <c r="E202" i="10"/>
  <c r="AP202" i="1" s="1"/>
  <c r="AS202" i="1" l="1"/>
  <c r="AT202" i="1" s="1"/>
  <c r="AR202" i="1"/>
  <c r="Z202" i="1"/>
  <c r="X202" i="1"/>
  <c r="V202" i="1" l="1"/>
  <c r="U202" i="1"/>
  <c r="R205" i="10"/>
  <c r="AS387" i="1" l="1"/>
  <c r="AR387" i="1"/>
  <c r="R387" i="1" s="1"/>
  <c r="AW387" i="1" s="1"/>
  <c r="U387" i="10"/>
  <c r="E387" i="10"/>
  <c r="E303" i="10" l="1"/>
  <c r="AS177" i="1"/>
  <c r="AR177" i="1"/>
  <c r="Z177" i="1"/>
  <c r="X177" i="1"/>
  <c r="U177" i="10"/>
  <c r="E177" i="10"/>
  <c r="S177" i="1" s="1"/>
  <c r="AS168" i="1"/>
  <c r="AR168" i="1"/>
  <c r="Z168" i="1"/>
  <c r="X168" i="1"/>
  <c r="U168" i="10"/>
  <c r="E168" i="10"/>
  <c r="S168" i="1" s="1"/>
  <c r="AS167" i="1"/>
  <c r="AR167" i="1"/>
  <c r="Z167" i="1"/>
  <c r="X167" i="1"/>
  <c r="U167" i="10"/>
  <c r="E167" i="10"/>
  <c r="S167" i="1" s="1"/>
  <c r="AS143" i="1"/>
  <c r="S143" i="1" s="1"/>
  <c r="AT143" i="1" s="1"/>
  <c r="AR143" i="1"/>
  <c r="AQ143" i="1"/>
  <c r="Z143" i="1"/>
  <c r="X143" i="1"/>
  <c r="AS142" i="1"/>
  <c r="AR142" i="1"/>
  <c r="AQ142" i="1"/>
  <c r="Z142" i="1"/>
  <c r="X142" i="1"/>
  <c r="AS141" i="1"/>
  <c r="AR141" i="1"/>
  <c r="AQ141" i="1"/>
  <c r="Z141" i="1"/>
  <c r="X141" i="1"/>
  <c r="AS140" i="1"/>
  <c r="S140" i="1" s="1"/>
  <c r="AT140" i="1" s="1"/>
  <c r="AR140" i="1"/>
  <c r="AQ140" i="1"/>
  <c r="Z140" i="1"/>
  <c r="X140" i="1"/>
  <c r="U143" i="10"/>
  <c r="E143" i="10"/>
  <c r="U142" i="10"/>
  <c r="E142" i="10"/>
  <c r="U141" i="10"/>
  <c r="E141" i="10"/>
  <c r="U140" i="10"/>
  <c r="E140" i="10"/>
  <c r="AS139" i="1"/>
  <c r="AR139" i="1"/>
  <c r="AQ139" i="1"/>
  <c r="Z139" i="1"/>
  <c r="X139" i="1"/>
  <c r="U139" i="10"/>
  <c r="E139" i="10"/>
  <c r="AS121" i="1"/>
  <c r="S121" i="1" s="1"/>
  <c r="AR121" i="1"/>
  <c r="Y121" i="1"/>
  <c r="E121" i="10"/>
  <c r="AS75" i="1"/>
  <c r="AR75" i="1"/>
  <c r="R75" i="1" s="1"/>
  <c r="Z75" i="1"/>
  <c r="X75" i="1"/>
  <c r="U75" i="10"/>
  <c r="E75" i="10"/>
  <c r="AS57" i="1"/>
  <c r="S57" i="1" s="1"/>
  <c r="AR57" i="1"/>
  <c r="R57" i="1" s="1"/>
  <c r="Z57" i="1"/>
  <c r="X57" i="1"/>
  <c r="U57" i="10"/>
  <c r="E57" i="10"/>
  <c r="AS59" i="1"/>
  <c r="S59" i="1" s="1"/>
  <c r="AR59" i="1"/>
  <c r="AQ59" i="1"/>
  <c r="Z59" i="1"/>
  <c r="X59" i="1"/>
  <c r="AS25" i="1"/>
  <c r="AR25" i="1"/>
  <c r="Z25" i="1"/>
  <c r="X25" i="1"/>
  <c r="U25" i="10"/>
  <c r="E25" i="10"/>
  <c r="S25" i="1" s="1"/>
  <c r="B207" i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07" i="10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AS477" i="1"/>
  <c r="AR477" i="1"/>
  <c r="AQ477" i="1"/>
  <c r="Z477" i="1"/>
  <c r="X477" i="1"/>
  <c r="U477" i="10"/>
  <c r="E477" i="10"/>
  <c r="AS433" i="1"/>
  <c r="S433" i="1" s="1"/>
  <c r="AR433" i="1"/>
  <c r="AQ433" i="1"/>
  <c r="Z433" i="1"/>
  <c r="X433" i="1"/>
  <c r="U433" i="10"/>
  <c r="E433" i="10"/>
  <c r="AR391" i="1"/>
  <c r="Z391" i="1"/>
  <c r="X391" i="1"/>
  <c r="AR390" i="1"/>
  <c r="Z390" i="1"/>
  <c r="X390" i="1"/>
  <c r="AS389" i="1"/>
  <c r="AR389" i="1"/>
  <c r="R389" i="1" s="1"/>
  <c r="Z389" i="1"/>
  <c r="X389" i="1"/>
  <c r="AS388" i="1"/>
  <c r="AR388" i="1"/>
  <c r="R388" i="1" s="1"/>
  <c r="AW388" i="1" s="1"/>
  <c r="Z388" i="1"/>
  <c r="X388" i="1"/>
  <c r="U391" i="10"/>
  <c r="E391" i="10"/>
  <c r="U390" i="10"/>
  <c r="E390" i="10"/>
  <c r="U389" i="10"/>
  <c r="E389" i="10"/>
  <c r="U388" i="10"/>
  <c r="E388" i="10"/>
  <c r="AR385" i="1"/>
  <c r="Z385" i="1"/>
  <c r="X385" i="1"/>
  <c r="AR384" i="1"/>
  <c r="R384" i="1" s="1"/>
  <c r="AW384" i="1" s="1"/>
  <c r="Z384" i="1"/>
  <c r="X384" i="1"/>
  <c r="U385" i="10"/>
  <c r="E385" i="10"/>
  <c r="U384" i="10"/>
  <c r="E384" i="10"/>
  <c r="AT177" i="1" l="1"/>
  <c r="B267" i="10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267" i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AT121" i="1"/>
  <c r="T121" i="1"/>
  <c r="AT25" i="1"/>
  <c r="T57" i="1"/>
  <c r="AW389" i="1"/>
  <c r="AQ681" i="1"/>
  <c r="R385" i="1"/>
  <c r="AW385" i="1" s="1"/>
  <c r="AT167" i="1"/>
  <c r="AX384" i="1"/>
  <c r="AT384" i="1"/>
  <c r="AT168" i="1"/>
  <c r="AX433" i="1"/>
  <c r="AT433" i="1"/>
  <c r="S75" i="1"/>
  <c r="AT75" i="1" s="1"/>
  <c r="R141" i="1"/>
  <c r="R139" i="1"/>
  <c r="AQ355" i="1" s="1"/>
  <c r="R143" i="1"/>
  <c r="R140" i="1"/>
  <c r="R142" i="1"/>
  <c r="R477" i="1"/>
  <c r="AW477" i="1" s="1"/>
  <c r="AR345" i="1"/>
  <c r="Z345" i="1"/>
  <c r="X345" i="1"/>
  <c r="U345" i="10"/>
  <c r="E345" i="10"/>
  <c r="AS334" i="1"/>
  <c r="AR334" i="1"/>
  <c r="R334" i="1" s="1"/>
  <c r="AW334" i="1" s="1"/>
  <c r="Z334" i="1"/>
  <c r="X334" i="1"/>
  <c r="U334" i="10"/>
  <c r="E334" i="10"/>
  <c r="AS328" i="1"/>
  <c r="AR328" i="1"/>
  <c r="R328" i="1" s="1"/>
  <c r="AW328" i="1" s="1"/>
  <c r="Z328" i="1"/>
  <c r="X328" i="1"/>
  <c r="U328" i="10"/>
  <c r="E328" i="10"/>
  <c r="AS310" i="1"/>
  <c r="AR310" i="1"/>
  <c r="R310" i="1" s="1"/>
  <c r="AW310" i="1" s="1"/>
  <c r="Z310" i="1"/>
  <c r="X310" i="1"/>
  <c r="U310" i="10"/>
  <c r="E310" i="10"/>
  <c r="AS306" i="1"/>
  <c r="AR306" i="1"/>
  <c r="R306" i="1" s="1"/>
  <c r="AW306" i="1" s="1"/>
  <c r="Z306" i="1"/>
  <c r="X306" i="1"/>
  <c r="U306" i="10"/>
  <c r="E306" i="10"/>
  <c r="AR291" i="1"/>
  <c r="Z291" i="1"/>
  <c r="X291" i="1"/>
  <c r="U291" i="10"/>
  <c r="E291" i="10"/>
  <c r="AR276" i="1"/>
  <c r="Z276" i="1"/>
  <c r="U276" i="10"/>
  <c r="E276" i="10"/>
  <c r="AS274" i="1"/>
  <c r="AR274" i="1"/>
  <c r="R274" i="1" s="1"/>
  <c r="AW274" i="1" s="1"/>
  <c r="Z274" i="1"/>
  <c r="X274" i="1"/>
  <c r="U274" i="10"/>
  <c r="E274" i="10"/>
  <c r="AS234" i="1"/>
  <c r="AR234" i="1"/>
  <c r="Z234" i="1"/>
  <c r="X234" i="1"/>
  <c r="U234" i="10"/>
  <c r="E234" i="10"/>
  <c r="AS231" i="1"/>
  <c r="AR231" i="1"/>
  <c r="Z231" i="1"/>
  <c r="X231" i="1"/>
  <c r="U231" i="10"/>
  <c r="E231" i="10"/>
  <c r="AS229" i="1"/>
  <c r="AR229" i="1"/>
  <c r="R229" i="1" s="1"/>
  <c r="AW229" i="1" s="1"/>
  <c r="Z229" i="1"/>
  <c r="X229" i="1"/>
  <c r="U229" i="10"/>
  <c r="E229" i="10"/>
  <c r="AS206" i="1"/>
  <c r="S206" i="1" s="1"/>
  <c r="AR206" i="1"/>
  <c r="R206" i="1" s="1"/>
  <c r="Z206" i="1"/>
  <c r="X206" i="1"/>
  <c r="U206" i="10"/>
  <c r="E206" i="10"/>
  <c r="AS475" i="1"/>
  <c r="AR475" i="1"/>
  <c r="AQ475" i="1"/>
  <c r="Z475" i="1"/>
  <c r="X475" i="1"/>
  <c r="AS474" i="1"/>
  <c r="AR474" i="1"/>
  <c r="AQ474" i="1"/>
  <c r="Z474" i="1"/>
  <c r="X474" i="1"/>
  <c r="U475" i="10"/>
  <c r="E475" i="10"/>
  <c r="U474" i="10"/>
  <c r="E474" i="10"/>
  <c r="AS473" i="1"/>
  <c r="AR473" i="1"/>
  <c r="Z473" i="1"/>
  <c r="X473" i="1"/>
  <c r="U473" i="10"/>
  <c r="E473" i="10"/>
  <c r="AS472" i="1"/>
  <c r="AR472" i="1"/>
  <c r="AQ472" i="1"/>
  <c r="Z472" i="1"/>
  <c r="X472" i="1"/>
  <c r="AS471" i="1"/>
  <c r="AR471" i="1"/>
  <c r="AQ471" i="1"/>
  <c r="Z471" i="1"/>
  <c r="X471" i="1"/>
  <c r="AS470" i="1"/>
  <c r="AR470" i="1"/>
  <c r="Z470" i="1"/>
  <c r="X470" i="1"/>
  <c r="U472" i="10"/>
  <c r="E472" i="10"/>
  <c r="U471" i="10"/>
  <c r="E471" i="10"/>
  <c r="U470" i="10"/>
  <c r="E470" i="10"/>
  <c r="AS469" i="1"/>
  <c r="AR469" i="1"/>
  <c r="R469" i="1" s="1"/>
  <c r="AW469" i="1" s="1"/>
  <c r="Z469" i="1"/>
  <c r="X469" i="1"/>
  <c r="U469" i="10"/>
  <c r="E469" i="10"/>
  <c r="AS450" i="1"/>
  <c r="AR450" i="1"/>
  <c r="R450" i="1" s="1"/>
  <c r="AW450" i="1" s="1"/>
  <c r="Z450" i="1"/>
  <c r="X450" i="1"/>
  <c r="AS449" i="1"/>
  <c r="AT449" i="1" s="1"/>
  <c r="AR449" i="1"/>
  <c r="R449" i="1" s="1"/>
  <c r="AW449" i="1" s="1"/>
  <c r="Z449" i="1"/>
  <c r="X449" i="1"/>
  <c r="U450" i="10"/>
  <c r="E450" i="10"/>
  <c r="U449" i="10"/>
  <c r="E449" i="10"/>
  <c r="AS443" i="1"/>
  <c r="AR443" i="1"/>
  <c r="R443" i="1" s="1"/>
  <c r="AW443" i="1" s="1"/>
  <c r="Z443" i="1"/>
  <c r="X443" i="1"/>
  <c r="AS438" i="1"/>
  <c r="AR438" i="1"/>
  <c r="R438" i="1" s="1"/>
  <c r="AW438" i="1" s="1"/>
  <c r="Z438" i="1"/>
  <c r="X438" i="1"/>
  <c r="U443" i="10"/>
  <c r="E443" i="10"/>
  <c r="U438" i="10"/>
  <c r="E438" i="10"/>
  <c r="AS392" i="1"/>
  <c r="AR392" i="1"/>
  <c r="R392" i="1" s="1"/>
  <c r="AW392" i="1" s="1"/>
  <c r="Z392" i="1"/>
  <c r="X392" i="1"/>
  <c r="U392" i="10"/>
  <c r="E392" i="10"/>
  <c r="AS383" i="1"/>
  <c r="S383" i="1" s="1"/>
  <c r="AR383" i="1"/>
  <c r="R383" i="1" s="1"/>
  <c r="AW383" i="1" s="1"/>
  <c r="Z383" i="1"/>
  <c r="X383" i="1"/>
  <c r="AS382" i="1"/>
  <c r="AR382" i="1"/>
  <c r="R382" i="1" s="1"/>
  <c r="AW382" i="1" s="1"/>
  <c r="Z382" i="1"/>
  <c r="X382" i="1"/>
  <c r="U383" i="10"/>
  <c r="E383" i="10"/>
  <c r="U382" i="10"/>
  <c r="E382" i="10"/>
  <c r="AS137" i="1"/>
  <c r="AR137" i="1"/>
  <c r="R137" i="1" s="1"/>
  <c r="AW137" i="1" s="1"/>
  <c r="Z137" i="1"/>
  <c r="X137" i="1"/>
  <c r="AS135" i="1"/>
  <c r="S135" i="1" s="1"/>
  <c r="AT135" i="1" s="1"/>
  <c r="AR135" i="1"/>
  <c r="AQ135" i="1"/>
  <c r="Z135" i="1"/>
  <c r="X135" i="1"/>
  <c r="U137" i="10"/>
  <c r="E137" i="10"/>
  <c r="U135" i="10"/>
  <c r="E135" i="10"/>
  <c r="AS330" i="1"/>
  <c r="AR330" i="1"/>
  <c r="R330" i="1" s="1"/>
  <c r="AW330" i="1" s="1"/>
  <c r="Z330" i="1"/>
  <c r="X330" i="1"/>
  <c r="U330" i="10"/>
  <c r="E330" i="10"/>
  <c r="AS105" i="1"/>
  <c r="AR105" i="1"/>
  <c r="AQ105" i="1"/>
  <c r="Z105" i="1"/>
  <c r="X105" i="1"/>
  <c r="U105" i="10"/>
  <c r="E105" i="10"/>
  <c r="AS65" i="1"/>
  <c r="AR65" i="1"/>
  <c r="Z65" i="1"/>
  <c r="X65" i="1"/>
  <c r="U65" i="10"/>
  <c r="E65" i="10"/>
  <c r="AS269" i="1"/>
  <c r="AR269" i="1"/>
  <c r="R269" i="1" s="1"/>
  <c r="AW269" i="1" s="1"/>
  <c r="Z269" i="1"/>
  <c r="X269" i="1"/>
  <c r="U269" i="10"/>
  <c r="E269" i="10"/>
  <c r="AS265" i="1"/>
  <c r="AR265" i="1"/>
  <c r="R265" i="1" s="1"/>
  <c r="AW265" i="1" s="1"/>
  <c r="Z265" i="1"/>
  <c r="X265" i="1"/>
  <c r="U265" i="10"/>
  <c r="E265" i="10"/>
  <c r="AS225" i="1"/>
  <c r="AR225" i="1"/>
  <c r="R225" i="1" s="1"/>
  <c r="AW225" i="1" s="1"/>
  <c r="Z225" i="1"/>
  <c r="X225" i="1"/>
  <c r="U225" i="10"/>
  <c r="E225" i="10"/>
  <c r="AS212" i="1"/>
  <c r="AR212" i="1"/>
  <c r="R212" i="1" s="1"/>
  <c r="AW212" i="1" s="1"/>
  <c r="Z212" i="1"/>
  <c r="X212" i="1"/>
  <c r="U212" i="10"/>
  <c r="E212" i="10"/>
  <c r="U59" i="10"/>
  <c r="E59" i="10"/>
  <c r="AS267" i="1" s="1"/>
  <c r="AT267" i="1" s="1"/>
  <c r="N25" i="1" l="1"/>
  <c r="AP25" i="1" s="1"/>
  <c r="T59" i="1"/>
  <c r="AT59" i="1"/>
  <c r="AW206" i="1"/>
  <c r="AX383" i="1"/>
  <c r="AT383" i="1"/>
  <c r="AX206" i="1"/>
  <c r="AT206" i="1"/>
  <c r="R470" i="1"/>
  <c r="AW470" i="1" s="1"/>
  <c r="R234" i="1"/>
  <c r="AW234" i="1" s="1"/>
  <c r="R473" i="1"/>
  <c r="AW473" i="1" s="1"/>
  <c r="R472" i="1"/>
  <c r="AW472" i="1" s="1"/>
  <c r="R105" i="1"/>
  <c r="AW105" i="1" s="1"/>
  <c r="R65" i="1"/>
  <c r="T75" i="1"/>
  <c r="R231" i="1"/>
  <c r="AW231" i="1" s="1"/>
  <c r="AQ493" i="1"/>
  <c r="S310" i="1"/>
  <c r="S141" i="1"/>
  <c r="AW291" i="1"/>
  <c r="AW276" i="1"/>
  <c r="R475" i="1"/>
  <c r="AW475" i="1" s="1"/>
  <c r="R474" i="1"/>
  <c r="AW474" i="1" s="1"/>
  <c r="R471" i="1"/>
  <c r="AW471" i="1" s="1"/>
  <c r="S443" i="1"/>
  <c r="R135" i="1"/>
  <c r="AS285" i="1"/>
  <c r="AR285" i="1"/>
  <c r="R285" i="1" s="1"/>
  <c r="AW285" i="1" s="1"/>
  <c r="Z285" i="1"/>
  <c r="X285" i="1"/>
  <c r="U285" i="10"/>
  <c r="E285" i="10"/>
  <c r="X10" i="1" l="1"/>
  <c r="T141" i="1"/>
  <c r="N141" i="1" s="1"/>
  <c r="AP141" i="1" s="1"/>
  <c r="AT141" i="1"/>
  <c r="AX443" i="1"/>
  <c r="AT443" i="1"/>
  <c r="AX310" i="1"/>
  <c r="AT310" i="1"/>
  <c r="T443" i="1"/>
  <c r="N75" i="1"/>
  <c r="AP75" i="1" s="1"/>
  <c r="V25" i="1"/>
  <c r="U25" i="1"/>
  <c r="S276" i="1"/>
  <c r="S285" i="1"/>
  <c r="E120" i="10"/>
  <c r="AX285" i="1" l="1"/>
  <c r="AT285" i="1"/>
  <c r="N443" i="1"/>
  <c r="AP443" i="1" s="1"/>
  <c r="AY443" i="1"/>
  <c r="AX276" i="1"/>
  <c r="U141" i="1"/>
  <c r="V141" i="1"/>
  <c r="V75" i="1"/>
  <c r="U75" i="1"/>
  <c r="E19" i="10"/>
  <c r="E20" i="10"/>
  <c r="E21" i="10"/>
  <c r="S21" i="1" s="1"/>
  <c r="E22" i="10"/>
  <c r="E23" i="10"/>
  <c r="E24" i="10"/>
  <c r="E27" i="10"/>
  <c r="S27" i="1" s="1"/>
  <c r="E28" i="10"/>
  <c r="T28" i="1" s="1"/>
  <c r="E29" i="10"/>
  <c r="S29" i="1" s="1"/>
  <c r="E30" i="10"/>
  <c r="E31" i="10"/>
  <c r="E32" i="10"/>
  <c r="E33" i="10"/>
  <c r="E34" i="10"/>
  <c r="E35" i="10"/>
  <c r="R35" i="1" s="1"/>
  <c r="E36" i="10"/>
  <c r="R36" i="1" s="1"/>
  <c r="E37" i="10"/>
  <c r="E38" i="10"/>
  <c r="R38" i="1" s="1"/>
  <c r="E39" i="10"/>
  <c r="E235" i="10"/>
  <c r="E40" i="10"/>
  <c r="N40" i="1" s="1"/>
  <c r="AP40" i="1" s="1"/>
  <c r="E41" i="10"/>
  <c r="E42" i="10"/>
  <c r="N42" i="1" s="1"/>
  <c r="AP42" i="1" s="1"/>
  <c r="E43" i="10"/>
  <c r="E44" i="10"/>
  <c r="E49" i="10"/>
  <c r="E50" i="10"/>
  <c r="R50" i="1" s="1"/>
  <c r="E244" i="10"/>
  <c r="R244" i="1" s="1"/>
  <c r="E52" i="10"/>
  <c r="E53" i="10"/>
  <c r="E55" i="10"/>
  <c r="E56" i="10"/>
  <c r="E58" i="10"/>
  <c r="E60" i="10"/>
  <c r="E61" i="10"/>
  <c r="E62" i="10"/>
  <c r="E63" i="10"/>
  <c r="E64" i="10"/>
  <c r="E66" i="10"/>
  <c r="E67" i="10"/>
  <c r="E69" i="10"/>
  <c r="R69" i="1" s="1"/>
  <c r="E70" i="10"/>
  <c r="E71" i="10"/>
  <c r="E72" i="10"/>
  <c r="E73" i="10"/>
  <c r="E76" i="10"/>
  <c r="E79" i="10"/>
  <c r="T79" i="1" s="1"/>
  <c r="E80" i="10"/>
  <c r="E81" i="10"/>
  <c r="E82" i="10"/>
  <c r="E83" i="10"/>
  <c r="E84" i="10"/>
  <c r="R84" i="1" s="1"/>
  <c r="E85" i="10"/>
  <c r="E86" i="10"/>
  <c r="E87" i="10"/>
  <c r="E88" i="10"/>
  <c r="R88" i="1" s="1"/>
  <c r="E89" i="10"/>
  <c r="E90" i="10"/>
  <c r="E91" i="10"/>
  <c r="E93" i="10"/>
  <c r="E95" i="10"/>
  <c r="E97" i="10"/>
  <c r="E98" i="10"/>
  <c r="E99" i="10"/>
  <c r="S99" i="1" s="1"/>
  <c r="E100" i="10"/>
  <c r="E101" i="10"/>
  <c r="E102" i="10"/>
  <c r="E103" i="10"/>
  <c r="E104" i="10"/>
  <c r="E106" i="10"/>
  <c r="E107" i="10"/>
  <c r="E109" i="10"/>
  <c r="E112" i="10"/>
  <c r="E113" i="10"/>
  <c r="E116" i="10"/>
  <c r="R116" i="1" s="1"/>
  <c r="E117" i="10"/>
  <c r="E118" i="10"/>
  <c r="E119" i="10"/>
  <c r="E122" i="10"/>
  <c r="E123" i="10"/>
  <c r="E124" i="10"/>
  <c r="E125" i="10"/>
  <c r="E127" i="10"/>
  <c r="E128" i="10"/>
  <c r="E131" i="10"/>
  <c r="E132" i="10"/>
  <c r="E133" i="10"/>
  <c r="E134" i="10"/>
  <c r="E136" i="10"/>
  <c r="E138" i="10"/>
  <c r="E369" i="10"/>
  <c r="E144" i="10"/>
  <c r="E145" i="10"/>
  <c r="E146" i="10"/>
  <c r="T146" i="1" s="1"/>
  <c r="E147" i="10"/>
  <c r="E148" i="10"/>
  <c r="E149" i="10"/>
  <c r="S149" i="1" s="1"/>
  <c r="E150" i="10"/>
  <c r="E152" i="10"/>
  <c r="E154" i="10"/>
  <c r="E155" i="10"/>
  <c r="E156" i="10"/>
  <c r="E157" i="10"/>
  <c r="S157" i="1" s="1"/>
  <c r="E158" i="10"/>
  <c r="E159" i="10"/>
  <c r="S159" i="1" s="1"/>
  <c r="E160" i="10"/>
  <c r="E161" i="10"/>
  <c r="E163" i="10"/>
  <c r="S163" i="1" s="1"/>
  <c r="E164" i="10"/>
  <c r="S164" i="1" s="1"/>
  <c r="E165" i="10"/>
  <c r="S165" i="1" s="1"/>
  <c r="E166" i="10"/>
  <c r="E169" i="10"/>
  <c r="E171" i="10"/>
  <c r="E175" i="10"/>
  <c r="E179" i="10"/>
  <c r="R179" i="1" s="1"/>
  <c r="E180" i="10"/>
  <c r="E181" i="10"/>
  <c r="E182" i="10"/>
  <c r="R182" i="1" s="1"/>
  <c r="E183" i="10"/>
  <c r="R183" i="1" s="1"/>
  <c r="E184" i="10"/>
  <c r="R184" i="1" s="1"/>
  <c r="E185" i="10"/>
  <c r="E186" i="10"/>
  <c r="R186" i="1" s="1"/>
  <c r="T206" i="1" s="1"/>
  <c r="E187" i="10"/>
  <c r="R187" i="1" s="1"/>
  <c r="E188" i="10"/>
  <c r="R188" i="1" s="1"/>
  <c r="E189" i="10"/>
  <c r="E190" i="10"/>
  <c r="E192" i="10"/>
  <c r="E193" i="10"/>
  <c r="E194" i="10"/>
  <c r="R194" i="1" s="1"/>
  <c r="E195" i="10"/>
  <c r="E196" i="10"/>
  <c r="R196" i="1" s="1"/>
  <c r="E197" i="10"/>
  <c r="E198" i="10"/>
  <c r="E199" i="10"/>
  <c r="E200" i="10"/>
  <c r="E201" i="10"/>
  <c r="E18" i="10"/>
  <c r="E17" i="10"/>
  <c r="N53" i="1" l="1"/>
  <c r="AP53" i="1" s="1"/>
  <c r="U443" i="1"/>
  <c r="N206" i="1"/>
  <c r="AP206" i="1" s="1"/>
  <c r="AY206" i="1"/>
  <c r="V443" i="1"/>
  <c r="T177" i="1"/>
  <c r="N177" i="1" s="1"/>
  <c r="AP177" i="1" s="1"/>
  <c r="N32" i="1"/>
  <c r="AP32" i="1" s="1"/>
  <c r="N28" i="1"/>
  <c r="AP28" i="1" s="1"/>
  <c r="N79" i="1"/>
  <c r="AP79" i="1" s="1"/>
  <c r="S123" i="1"/>
  <c r="P544" i="1"/>
  <c r="AU544" i="1" s="1"/>
  <c r="V206" i="1" l="1"/>
  <c r="U206" i="1"/>
  <c r="V177" i="1"/>
  <c r="U177" i="1"/>
  <c r="T143" i="1"/>
  <c r="N143" i="1" s="1"/>
  <c r="AP143" i="1" s="1"/>
  <c r="T167" i="1"/>
  <c r="N167" i="1" s="1"/>
  <c r="AP167" i="1" s="1"/>
  <c r="M694" i="10"/>
  <c r="U143" i="1" l="1"/>
  <c r="V143" i="1"/>
  <c r="V167" i="1"/>
  <c r="U167" i="1"/>
  <c r="U696" i="10"/>
  <c r="E696" i="10"/>
  <c r="U53" i="10" l="1"/>
  <c r="P489" i="1" l="1"/>
  <c r="AU489" i="1" s="1"/>
  <c r="AR721" i="1" l="1"/>
  <c r="AR720" i="1"/>
  <c r="AR719" i="1"/>
  <c r="AR718" i="1"/>
  <c r="AR717" i="1"/>
  <c r="AR716" i="1"/>
  <c r="AR715" i="1"/>
  <c r="R715" i="1" s="1"/>
  <c r="AW715" i="1" s="1"/>
  <c r="AR706" i="1"/>
  <c r="AR702" i="1"/>
  <c r="AR697" i="1"/>
  <c r="AR696" i="1"/>
  <c r="AR695" i="1"/>
  <c r="AR694" i="1"/>
  <c r="AR693" i="1"/>
  <c r="AR653" i="1"/>
  <c r="AR648" i="1"/>
  <c r="AR647" i="1"/>
  <c r="AR645" i="1"/>
  <c r="AR633" i="1"/>
  <c r="AR618" i="1"/>
  <c r="AR617" i="1"/>
  <c r="AR611" i="1"/>
  <c r="AR610" i="1"/>
  <c r="AR609" i="1"/>
  <c r="AR608" i="1"/>
  <c r="AR607" i="1"/>
  <c r="AR606" i="1"/>
  <c r="AR597" i="1"/>
  <c r="AR574" i="1"/>
  <c r="AR570" i="1"/>
  <c r="AR569" i="1"/>
  <c r="AR568" i="1"/>
  <c r="AR561" i="1"/>
  <c r="AR560" i="1"/>
  <c r="AR559" i="1"/>
  <c r="AR558" i="1"/>
  <c r="AR557" i="1"/>
  <c r="R557" i="1" s="1"/>
  <c r="AW557" i="1" s="1"/>
  <c r="AR556" i="1"/>
  <c r="AR553" i="1"/>
  <c r="AR551" i="1"/>
  <c r="AR547" i="1"/>
  <c r="AR543" i="1"/>
  <c r="AR540" i="1"/>
  <c r="AR539" i="1"/>
  <c r="AR528" i="1"/>
  <c r="AR526" i="1"/>
  <c r="AR525" i="1"/>
  <c r="AR524" i="1"/>
  <c r="AR523" i="1"/>
  <c r="AR521" i="1"/>
  <c r="AR520" i="1"/>
  <c r="AR518" i="1"/>
  <c r="AR517" i="1"/>
  <c r="AR516" i="1"/>
  <c r="AR514" i="1"/>
  <c r="AR513" i="1"/>
  <c r="AR512" i="1"/>
  <c r="AR510" i="1"/>
  <c r="AR503" i="1"/>
  <c r="AR500" i="1"/>
  <c r="AR496" i="1"/>
  <c r="AR486" i="1"/>
  <c r="AR484" i="1"/>
  <c r="AR483" i="1"/>
  <c r="AR482" i="1"/>
  <c r="AR481" i="1"/>
  <c r="AR442" i="1"/>
  <c r="AR434" i="1"/>
  <c r="AR431" i="1"/>
  <c r="AR430" i="1"/>
  <c r="AR429" i="1"/>
  <c r="AR428" i="1"/>
  <c r="AR427" i="1"/>
  <c r="AR426" i="1"/>
  <c r="AR425" i="1"/>
  <c r="AR424" i="1"/>
  <c r="AR423" i="1"/>
  <c r="AR419" i="1"/>
  <c r="AR418" i="1"/>
  <c r="AR398" i="1"/>
  <c r="AR396" i="1"/>
  <c r="AR395" i="1"/>
  <c r="AR394" i="1"/>
  <c r="AR393" i="1"/>
  <c r="AR111" i="1"/>
  <c r="AR279" i="1"/>
  <c r="AR278" i="1"/>
  <c r="AR260" i="1"/>
  <c r="AR258" i="1"/>
  <c r="AR257" i="1"/>
  <c r="AR256" i="1"/>
  <c r="AR252" i="1"/>
  <c r="AR251" i="1"/>
  <c r="AR242" i="1"/>
  <c r="AR237" i="1"/>
  <c r="AR236" i="1"/>
  <c r="AR233" i="1"/>
  <c r="AR230" i="1"/>
  <c r="AR228" i="1"/>
  <c r="AR224" i="1"/>
  <c r="AR223" i="1"/>
  <c r="AR220" i="1"/>
  <c r="AR166" i="1"/>
  <c r="AR164" i="1"/>
  <c r="AR163" i="1"/>
  <c r="AR159" i="1"/>
  <c r="AR158" i="1"/>
  <c r="AR156" i="1"/>
  <c r="AR155" i="1"/>
  <c r="AR154" i="1"/>
  <c r="AR132" i="1"/>
  <c r="AR127" i="1"/>
  <c r="AR122" i="1"/>
  <c r="AR112" i="1"/>
  <c r="AR86" i="1"/>
  <c r="AR73" i="1"/>
  <c r="AR72" i="1"/>
  <c r="AR71" i="1"/>
  <c r="AR67" i="1"/>
  <c r="AR66" i="1"/>
  <c r="AR53" i="1"/>
  <c r="AR52" i="1"/>
  <c r="AR42" i="1"/>
  <c r="AR40" i="1"/>
  <c r="AR235" i="1"/>
  <c r="AR39" i="1"/>
  <c r="AR38" i="1"/>
  <c r="AR37" i="1"/>
  <c r="AR36" i="1"/>
  <c r="AR35" i="1"/>
  <c r="AR34" i="1"/>
  <c r="AR30" i="1"/>
  <c r="AR29" i="1"/>
  <c r="AR28" i="1"/>
  <c r="AR27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9" i="1"/>
  <c r="AR738" i="1"/>
  <c r="AR732" i="1"/>
  <c r="AR731" i="1"/>
  <c r="AR730" i="1"/>
  <c r="AR729" i="1"/>
  <c r="AR728" i="1"/>
  <c r="AR727" i="1"/>
  <c r="AR726" i="1"/>
  <c r="AR725" i="1"/>
  <c r="AR724" i="1"/>
  <c r="AR723" i="1"/>
  <c r="R723" i="1" s="1"/>
  <c r="AW723" i="1" s="1"/>
  <c r="AR722" i="1"/>
  <c r="AR714" i="1"/>
  <c r="R714" i="1" s="1"/>
  <c r="AW714" i="1" s="1"/>
  <c r="AR713" i="1"/>
  <c r="R713" i="1" s="1"/>
  <c r="AW713" i="1" s="1"/>
  <c r="AR712" i="1"/>
  <c r="R712" i="1" s="1"/>
  <c r="AW712" i="1" s="1"/>
  <c r="AR711" i="1"/>
  <c r="AR710" i="1"/>
  <c r="R710" i="1" s="1"/>
  <c r="AW710" i="1" s="1"/>
  <c r="AR709" i="1"/>
  <c r="R709" i="1" s="1"/>
  <c r="AW709" i="1" s="1"/>
  <c r="AR708" i="1"/>
  <c r="AR707" i="1"/>
  <c r="AR705" i="1"/>
  <c r="AR704" i="1"/>
  <c r="AR703" i="1"/>
  <c r="AR701" i="1"/>
  <c r="AR700" i="1"/>
  <c r="AR699" i="1"/>
  <c r="AR698" i="1"/>
  <c r="AR692" i="1"/>
  <c r="AR691" i="1"/>
  <c r="AR690" i="1"/>
  <c r="AR689" i="1"/>
  <c r="AR688" i="1"/>
  <c r="AR687" i="1"/>
  <c r="AR686" i="1"/>
  <c r="AR685" i="1"/>
  <c r="AR684" i="1"/>
  <c r="R684" i="1" s="1"/>
  <c r="AW684" i="1" s="1"/>
  <c r="AR683" i="1"/>
  <c r="R683" i="1" s="1"/>
  <c r="AW683" i="1" s="1"/>
  <c r="AR682" i="1"/>
  <c r="AR681" i="1"/>
  <c r="R681" i="1" s="1"/>
  <c r="AW681" i="1" s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2" i="1"/>
  <c r="AR130" i="1"/>
  <c r="AR651" i="1"/>
  <c r="AR650" i="1"/>
  <c r="AR649" i="1"/>
  <c r="AR646" i="1"/>
  <c r="AR644" i="1"/>
  <c r="R644" i="1" s="1"/>
  <c r="AW644" i="1" s="1"/>
  <c r="AR643" i="1"/>
  <c r="R643" i="1" s="1"/>
  <c r="AW643" i="1" s="1"/>
  <c r="AR642" i="1"/>
  <c r="AR640" i="1"/>
  <c r="R640" i="1" s="1"/>
  <c r="AW640" i="1" s="1"/>
  <c r="AR639" i="1"/>
  <c r="R639" i="1" s="1"/>
  <c r="AW639" i="1" s="1"/>
  <c r="AR638" i="1"/>
  <c r="AR636" i="1"/>
  <c r="AR635" i="1"/>
  <c r="AR634" i="1"/>
  <c r="AR632" i="1"/>
  <c r="AR631" i="1"/>
  <c r="R631" i="1" s="1"/>
  <c r="AW631" i="1" s="1"/>
  <c r="AR630" i="1"/>
  <c r="AR629" i="1"/>
  <c r="AR628" i="1"/>
  <c r="AR627" i="1"/>
  <c r="R627" i="1" s="1"/>
  <c r="AW627" i="1" s="1"/>
  <c r="AR626" i="1"/>
  <c r="AR625" i="1"/>
  <c r="AR624" i="1"/>
  <c r="AR623" i="1"/>
  <c r="AR622" i="1"/>
  <c r="AR621" i="1"/>
  <c r="AR620" i="1"/>
  <c r="AR619" i="1"/>
  <c r="R619" i="1" s="1"/>
  <c r="AW619" i="1" s="1"/>
  <c r="AR616" i="1"/>
  <c r="AR615" i="1"/>
  <c r="AR614" i="1"/>
  <c r="AR613" i="1"/>
  <c r="AR612" i="1"/>
  <c r="AR605" i="1"/>
  <c r="AR604" i="1"/>
  <c r="AR603" i="1"/>
  <c r="AR602" i="1"/>
  <c r="AR601" i="1"/>
  <c r="AR600" i="1"/>
  <c r="AR599" i="1"/>
  <c r="AR598" i="1"/>
  <c r="AR596" i="1"/>
  <c r="AR595" i="1"/>
  <c r="AR594" i="1"/>
  <c r="AR593" i="1"/>
  <c r="R593" i="1" s="1"/>
  <c r="AW593" i="1" s="1"/>
  <c r="AR592" i="1"/>
  <c r="AR591" i="1"/>
  <c r="AR590" i="1"/>
  <c r="R590" i="1" s="1"/>
  <c r="AW590" i="1" s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3" i="1"/>
  <c r="AR572" i="1"/>
  <c r="AR571" i="1"/>
  <c r="AR567" i="1"/>
  <c r="AR566" i="1"/>
  <c r="AR565" i="1"/>
  <c r="AR564" i="1"/>
  <c r="AR563" i="1"/>
  <c r="AR562" i="1"/>
  <c r="AR555" i="1"/>
  <c r="AR554" i="1"/>
  <c r="AR552" i="1"/>
  <c r="AR550" i="1"/>
  <c r="AR549" i="1"/>
  <c r="AR548" i="1"/>
  <c r="AR546" i="1"/>
  <c r="AR545" i="1"/>
  <c r="AR544" i="1"/>
  <c r="AR542" i="1"/>
  <c r="AR541" i="1"/>
  <c r="AR537" i="1"/>
  <c r="AR536" i="1"/>
  <c r="AR535" i="1"/>
  <c r="AR533" i="1"/>
  <c r="AR532" i="1"/>
  <c r="AR531" i="1"/>
  <c r="AR530" i="1"/>
  <c r="AR529" i="1"/>
  <c r="AR527" i="1"/>
  <c r="R527" i="1" s="1"/>
  <c r="AW527" i="1" s="1"/>
  <c r="AR522" i="1"/>
  <c r="AR519" i="1"/>
  <c r="AR515" i="1"/>
  <c r="AR511" i="1"/>
  <c r="AR509" i="1"/>
  <c r="AR508" i="1"/>
  <c r="AR507" i="1"/>
  <c r="AR506" i="1"/>
  <c r="AR505" i="1"/>
  <c r="AR497" i="1"/>
  <c r="AR494" i="1"/>
  <c r="AR493" i="1"/>
  <c r="AR492" i="1"/>
  <c r="AR491" i="1"/>
  <c r="AR490" i="1"/>
  <c r="AR489" i="1"/>
  <c r="AR488" i="1"/>
  <c r="AR487" i="1"/>
  <c r="AR485" i="1"/>
  <c r="AR191" i="1"/>
  <c r="AR467" i="1"/>
  <c r="AR178" i="1"/>
  <c r="AR460" i="1"/>
  <c r="AR459" i="1"/>
  <c r="AR176" i="1"/>
  <c r="AR458" i="1"/>
  <c r="AR457" i="1"/>
  <c r="AR456" i="1"/>
  <c r="AR455" i="1"/>
  <c r="AR454" i="1"/>
  <c r="AR453" i="1"/>
  <c r="AR452" i="1"/>
  <c r="AR451" i="1"/>
  <c r="AR448" i="1"/>
  <c r="AR447" i="1"/>
  <c r="AR446" i="1"/>
  <c r="R446" i="1" s="1"/>
  <c r="AW446" i="1" s="1"/>
  <c r="AR445" i="1"/>
  <c r="R445" i="1" s="1"/>
  <c r="AW445" i="1" s="1"/>
  <c r="AR444" i="1"/>
  <c r="R444" i="1" s="1"/>
  <c r="AW444" i="1" s="1"/>
  <c r="AR441" i="1"/>
  <c r="AR440" i="1"/>
  <c r="AR439" i="1"/>
  <c r="R439" i="1" s="1"/>
  <c r="AW439" i="1" s="1"/>
  <c r="AR437" i="1"/>
  <c r="R437" i="1" s="1"/>
  <c r="AW437" i="1" s="1"/>
  <c r="AR436" i="1"/>
  <c r="AR435" i="1"/>
  <c r="AR432" i="1"/>
  <c r="AR422" i="1"/>
  <c r="AR421" i="1"/>
  <c r="AR420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7" i="1"/>
  <c r="AR379" i="1"/>
  <c r="AR377" i="1"/>
  <c r="AR376" i="1"/>
  <c r="AR375" i="1"/>
  <c r="AR374" i="1"/>
  <c r="AR373" i="1"/>
  <c r="AR372" i="1"/>
  <c r="AR371" i="1"/>
  <c r="AR370" i="1"/>
  <c r="AR368" i="1"/>
  <c r="AR367" i="1"/>
  <c r="AR366" i="1"/>
  <c r="AR365" i="1"/>
  <c r="AR364" i="1"/>
  <c r="AR361" i="1"/>
  <c r="AR360" i="1"/>
  <c r="AR359" i="1"/>
  <c r="AR358" i="1"/>
  <c r="AR357" i="1"/>
  <c r="AR356" i="1"/>
  <c r="AR355" i="1"/>
  <c r="AR353" i="1"/>
  <c r="AR354" i="1"/>
  <c r="AR351" i="1"/>
  <c r="AR350" i="1"/>
  <c r="AR349" i="1"/>
  <c r="AR344" i="1"/>
  <c r="AR129" i="1"/>
  <c r="AR343" i="1"/>
  <c r="AR342" i="1"/>
  <c r="AR341" i="1"/>
  <c r="AR339" i="1"/>
  <c r="R339" i="1" s="1"/>
  <c r="AW339" i="1" s="1"/>
  <c r="AR338" i="1"/>
  <c r="AR337" i="1"/>
  <c r="AR336" i="1"/>
  <c r="AR335" i="1"/>
  <c r="AR333" i="1"/>
  <c r="AR332" i="1"/>
  <c r="AR331" i="1"/>
  <c r="AR329" i="1"/>
  <c r="AR327" i="1"/>
  <c r="AR326" i="1"/>
  <c r="AR325" i="1"/>
  <c r="AR115" i="1"/>
  <c r="AR114" i="1"/>
  <c r="AR324" i="1"/>
  <c r="AR321" i="1"/>
  <c r="AR320" i="1"/>
  <c r="AR108" i="1"/>
  <c r="AR319" i="1"/>
  <c r="AR318" i="1"/>
  <c r="AR317" i="1"/>
  <c r="AR316" i="1"/>
  <c r="AR315" i="1"/>
  <c r="AR314" i="1"/>
  <c r="AR313" i="1"/>
  <c r="AR312" i="1"/>
  <c r="AR311" i="1"/>
  <c r="AR307" i="1"/>
  <c r="AR308" i="1"/>
  <c r="AR303" i="1"/>
  <c r="AR302" i="1"/>
  <c r="AR301" i="1"/>
  <c r="AR300" i="1"/>
  <c r="AR298" i="1"/>
  <c r="AR297" i="1"/>
  <c r="AR94" i="1"/>
  <c r="AR292" i="1"/>
  <c r="AR290" i="1"/>
  <c r="AR289" i="1"/>
  <c r="AR288" i="1"/>
  <c r="R288" i="1" s="1"/>
  <c r="AR287" i="1"/>
  <c r="AR284" i="1"/>
  <c r="AR283" i="1"/>
  <c r="AR282" i="1"/>
  <c r="AR281" i="1"/>
  <c r="AR280" i="1"/>
  <c r="AR77" i="1"/>
  <c r="AR271" i="1"/>
  <c r="AR68" i="1"/>
  <c r="AR268" i="1"/>
  <c r="AR266" i="1"/>
  <c r="R266" i="1" s="1"/>
  <c r="AW266" i="1" s="1"/>
  <c r="AR54" i="1"/>
  <c r="AR264" i="1"/>
  <c r="AR263" i="1"/>
  <c r="AR262" i="1"/>
  <c r="AR261" i="1"/>
  <c r="AR26" i="1"/>
  <c r="AR255" i="1"/>
  <c r="R255" i="1" s="1"/>
  <c r="AW255" i="1" s="1"/>
  <c r="AR254" i="1"/>
  <c r="AR250" i="1"/>
  <c r="AR247" i="1"/>
  <c r="AR246" i="1"/>
  <c r="AR245" i="1"/>
  <c r="AR243" i="1"/>
  <c r="R243" i="1" s="1"/>
  <c r="AW243" i="1" s="1"/>
  <c r="AR240" i="1"/>
  <c r="AR239" i="1"/>
  <c r="AR238" i="1"/>
  <c r="AR227" i="1"/>
  <c r="AR222" i="1"/>
  <c r="AR221" i="1"/>
  <c r="AR219" i="1"/>
  <c r="AR218" i="1"/>
  <c r="AR217" i="1"/>
  <c r="AR216" i="1"/>
  <c r="AR215" i="1"/>
  <c r="AR214" i="1"/>
  <c r="AR213" i="1"/>
  <c r="AR211" i="1"/>
  <c r="AR210" i="1"/>
  <c r="R210" i="1" s="1"/>
  <c r="AW210" i="1" s="1"/>
  <c r="AR209" i="1"/>
  <c r="R209" i="1" s="1"/>
  <c r="AR208" i="1"/>
  <c r="R208" i="1" s="1"/>
  <c r="AW208" i="1" s="1"/>
  <c r="AR207" i="1"/>
  <c r="AR201" i="1"/>
  <c r="AR200" i="1"/>
  <c r="AR199" i="1"/>
  <c r="AR198" i="1"/>
  <c r="AR197" i="1"/>
  <c r="AR196" i="1"/>
  <c r="AR195" i="1"/>
  <c r="AR194" i="1"/>
  <c r="AR193" i="1"/>
  <c r="AR192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5" i="1"/>
  <c r="AR171" i="1"/>
  <c r="AR169" i="1"/>
  <c r="AR165" i="1"/>
  <c r="AR161" i="1"/>
  <c r="AR160" i="1"/>
  <c r="AR157" i="1"/>
  <c r="AR152" i="1"/>
  <c r="AR151" i="1"/>
  <c r="AR150" i="1"/>
  <c r="AR149" i="1"/>
  <c r="AR148" i="1"/>
  <c r="AR147" i="1"/>
  <c r="AR146" i="1"/>
  <c r="AR145" i="1"/>
  <c r="AR144" i="1"/>
  <c r="AR369" i="1"/>
  <c r="AR138" i="1"/>
  <c r="AR136" i="1"/>
  <c r="AR134" i="1"/>
  <c r="AR133" i="1"/>
  <c r="AR131" i="1"/>
  <c r="AR128" i="1"/>
  <c r="AR125" i="1"/>
  <c r="AR124" i="1"/>
  <c r="AR123" i="1"/>
  <c r="AR120" i="1"/>
  <c r="AR119" i="1"/>
  <c r="AR118" i="1"/>
  <c r="AR117" i="1"/>
  <c r="AR116" i="1"/>
  <c r="AR113" i="1"/>
  <c r="AR109" i="1"/>
  <c r="AR107" i="1"/>
  <c r="R107" i="1" s="1"/>
  <c r="S107" i="1" s="1"/>
  <c r="AR106" i="1"/>
  <c r="AR104" i="1"/>
  <c r="R104" i="1" s="1"/>
  <c r="AR103" i="1"/>
  <c r="AR102" i="1"/>
  <c r="AR101" i="1"/>
  <c r="AR100" i="1"/>
  <c r="AR99" i="1"/>
  <c r="AR98" i="1"/>
  <c r="AR97" i="1"/>
  <c r="AR95" i="1"/>
  <c r="AR93" i="1"/>
  <c r="AR92" i="1"/>
  <c r="AR91" i="1"/>
  <c r="AR90" i="1"/>
  <c r="AR89" i="1"/>
  <c r="AR88" i="1"/>
  <c r="AR87" i="1"/>
  <c r="AR85" i="1"/>
  <c r="AR84" i="1"/>
  <c r="AR83" i="1"/>
  <c r="AR82" i="1"/>
  <c r="AR81" i="1"/>
  <c r="AR80" i="1"/>
  <c r="AR79" i="1"/>
  <c r="AR76" i="1"/>
  <c r="AR70" i="1"/>
  <c r="AR69" i="1"/>
  <c r="AR64" i="1"/>
  <c r="AR63" i="1"/>
  <c r="AR62" i="1"/>
  <c r="AR61" i="1"/>
  <c r="R61" i="1" s="1"/>
  <c r="AR60" i="1"/>
  <c r="AR58" i="1"/>
  <c r="AR56" i="1"/>
  <c r="AR55" i="1"/>
  <c r="AR244" i="1"/>
  <c r="AR50" i="1"/>
  <c r="AR49" i="1"/>
  <c r="AR47" i="1"/>
  <c r="AR46" i="1"/>
  <c r="AR45" i="1"/>
  <c r="R45" i="1" s="1"/>
  <c r="S65" i="1" s="1"/>
  <c r="AT65" i="1" s="1"/>
  <c r="AR44" i="1"/>
  <c r="AR43" i="1"/>
  <c r="AR41" i="1"/>
  <c r="AR33" i="1"/>
  <c r="R33" i="1" s="1"/>
  <c r="AR32" i="1"/>
  <c r="AR31" i="1"/>
  <c r="R31" i="1" s="1"/>
  <c r="AR24" i="1"/>
  <c r="AR23" i="1"/>
  <c r="AR22" i="1"/>
  <c r="AR21" i="1"/>
  <c r="AR20" i="1"/>
  <c r="AR19" i="1"/>
  <c r="AR18" i="1"/>
  <c r="AR17" i="1"/>
  <c r="AR737" i="1"/>
  <c r="R737" i="1" s="1"/>
  <c r="AW737" i="1" s="1"/>
  <c r="AR736" i="1"/>
  <c r="R736" i="1" s="1"/>
  <c r="AW736" i="1" s="1"/>
  <c r="AR735" i="1"/>
  <c r="R735" i="1" s="1"/>
  <c r="AW735" i="1" s="1"/>
  <c r="AR734" i="1"/>
  <c r="R734" i="1" s="1"/>
  <c r="AW734" i="1" s="1"/>
  <c r="AR733" i="1"/>
  <c r="R733" i="1" s="1"/>
  <c r="AW733" i="1" s="1"/>
  <c r="AR468" i="1"/>
  <c r="AR466" i="1"/>
  <c r="AR465" i="1"/>
  <c r="AR464" i="1"/>
  <c r="AR463" i="1"/>
  <c r="AR462" i="1"/>
  <c r="AR461" i="1"/>
  <c r="AQ232" i="1" l="1"/>
  <c r="AS232" i="1"/>
  <c r="AT232" i="1" s="1"/>
  <c r="S229" i="1"/>
  <c r="N229" i="1" s="1"/>
  <c r="AW209" i="1"/>
  <c r="P306" i="1"/>
  <c r="AU306" i="1" s="1"/>
  <c r="AW288" i="1"/>
  <c r="S274" i="1"/>
  <c r="S33" i="1"/>
  <c r="AQ590" i="1"/>
  <c r="T179" i="1"/>
  <c r="AS750" i="1"/>
  <c r="AS749" i="1"/>
  <c r="AS748" i="1"/>
  <c r="AS678" i="1"/>
  <c r="AQ678" i="1"/>
  <c r="AS149" i="1"/>
  <c r="AT149" i="1" s="1"/>
  <c r="AQ147" i="1"/>
  <c r="AQ148" i="1"/>
  <c r="AS360" i="1"/>
  <c r="AQ360" i="1"/>
  <c r="AS359" i="1"/>
  <c r="AQ359" i="1"/>
  <c r="AS358" i="1"/>
  <c r="AQ358" i="1"/>
  <c r="AS357" i="1"/>
  <c r="AQ357" i="1"/>
  <c r="AS356" i="1"/>
  <c r="AQ356" i="1"/>
  <c r="AS663" i="1"/>
  <c r="AQ663" i="1"/>
  <c r="AS669" i="1"/>
  <c r="AQ669" i="1"/>
  <c r="AS668" i="1"/>
  <c r="AQ668" i="1"/>
  <c r="AS667" i="1"/>
  <c r="AQ667" i="1"/>
  <c r="AS662" i="1"/>
  <c r="AQ662" i="1"/>
  <c r="AS661" i="1"/>
  <c r="AQ661" i="1"/>
  <c r="AQ138" i="1"/>
  <c r="AQ651" i="1"/>
  <c r="AQ649" i="1"/>
  <c r="AQ344" i="1"/>
  <c r="AS132" i="1"/>
  <c r="AQ132" i="1"/>
  <c r="AS131" i="1"/>
  <c r="AS127" i="1"/>
  <c r="AQ127" i="1"/>
  <c r="AS332" i="1"/>
  <c r="AQ332" i="1"/>
  <c r="AQ623" i="1"/>
  <c r="AQ616" i="1"/>
  <c r="AS607" i="1"/>
  <c r="AQ607" i="1"/>
  <c r="AS606" i="1"/>
  <c r="AQ606" i="1"/>
  <c r="AS87" i="1"/>
  <c r="AQ87" i="1"/>
  <c r="AS585" i="1"/>
  <c r="AQ585" i="1"/>
  <c r="AS582" i="1"/>
  <c r="AQ582" i="1"/>
  <c r="AS280" i="1"/>
  <c r="AQ280" i="1"/>
  <c r="AS284" i="1"/>
  <c r="S284" i="1" s="1"/>
  <c r="AQ284" i="1"/>
  <c r="AS73" i="1"/>
  <c r="AQ73" i="1"/>
  <c r="R73" i="1" s="1"/>
  <c r="AQ63" i="1"/>
  <c r="AS63" i="1"/>
  <c r="AT63" i="1" s="1"/>
  <c r="AQ567" i="1"/>
  <c r="AS565" i="1"/>
  <c r="AQ565" i="1"/>
  <c r="AS240" i="1"/>
  <c r="AQ240" i="1"/>
  <c r="AS536" i="1"/>
  <c r="S536" i="1" s="1"/>
  <c r="AQ536" i="1"/>
  <c r="AS531" i="1"/>
  <c r="AQ531" i="1"/>
  <c r="AS529" i="1"/>
  <c r="AQ529" i="1"/>
  <c r="AS260" i="1"/>
  <c r="AQ260" i="1"/>
  <c r="AS41" i="1"/>
  <c r="AQ41" i="1"/>
  <c r="T36" i="1" l="1"/>
  <c r="AP229" i="1"/>
  <c r="V229" i="1"/>
  <c r="AT229" i="1"/>
  <c r="AX229" i="1"/>
  <c r="AX536" i="1"/>
  <c r="AT536" i="1"/>
  <c r="AS673" i="1"/>
  <c r="AX284" i="1"/>
  <c r="AT284" i="1"/>
  <c r="U229" i="1"/>
  <c r="AX274" i="1"/>
  <c r="AT274" i="1"/>
  <c r="N179" i="1"/>
  <c r="AP179" i="1" s="1"/>
  <c r="S528" i="1"/>
  <c r="AS526" i="1"/>
  <c r="AQ526" i="1"/>
  <c r="AS524" i="1"/>
  <c r="AQ524" i="1"/>
  <c r="AS258" i="1"/>
  <c r="AQ258" i="1"/>
  <c r="AS237" i="1"/>
  <c r="AQ237" i="1"/>
  <c r="AQ540" i="1"/>
  <c r="AX528" i="1" l="1"/>
  <c r="AT528" i="1"/>
  <c r="AS540" i="1"/>
  <c r="AS508" i="1" l="1"/>
  <c r="AQ508" i="1"/>
  <c r="AS506" i="1"/>
  <c r="S506" i="1" s="1"/>
  <c r="AQ506" i="1"/>
  <c r="AQ227" i="1"/>
  <c r="AS29" i="1"/>
  <c r="AT29" i="1" s="1"/>
  <c r="AQ30" i="1"/>
  <c r="AS221" i="1"/>
  <c r="AQ27" i="1"/>
  <c r="AQ489" i="1"/>
  <c r="AS486" i="1"/>
  <c r="AQ486" i="1"/>
  <c r="AS484" i="1"/>
  <c r="AQ484" i="1"/>
  <c r="AS483" i="1"/>
  <c r="AQ483" i="1"/>
  <c r="AS738" i="1"/>
  <c r="AQ738" i="1"/>
  <c r="AQ196" i="1"/>
  <c r="AS196" i="1"/>
  <c r="AT196" i="1" s="1"/>
  <c r="AS195" i="1"/>
  <c r="AQ195" i="1"/>
  <c r="AS743" i="1"/>
  <c r="AQ743" i="1"/>
  <c r="AS742" i="1"/>
  <c r="AQ742" i="1"/>
  <c r="AS193" i="1"/>
  <c r="AQ193" i="1"/>
  <c r="AQ739" i="1"/>
  <c r="AS731" i="1"/>
  <c r="AQ731" i="1"/>
  <c r="AS176" i="1"/>
  <c r="AT176" i="1" s="1"/>
  <c r="AQ176" i="1"/>
  <c r="AS457" i="1"/>
  <c r="AQ457" i="1"/>
  <c r="AS458" i="1"/>
  <c r="AQ458" i="1"/>
  <c r="AS166" i="1"/>
  <c r="AQ166" i="1"/>
  <c r="AS426" i="1"/>
  <c r="AS163" i="1"/>
  <c r="AT163" i="1" s="1"/>
  <c r="AQ163" i="1"/>
  <c r="AS369" i="1"/>
  <c r="AQ369" i="1"/>
  <c r="AQ129" i="1"/>
  <c r="AS129" i="1"/>
  <c r="AS341" i="1"/>
  <c r="AQ341" i="1"/>
  <c r="AQ318" i="1"/>
  <c r="AQ317" i="1"/>
  <c r="AQ319" i="1"/>
  <c r="AQ624" i="1"/>
  <c r="AQ621" i="1"/>
  <c r="AQ620" i="1"/>
  <c r="AS302" i="1"/>
  <c r="AQ302" i="1"/>
  <c r="AQ303" i="1"/>
  <c r="AQ301" i="1"/>
  <c r="AQ98" i="1"/>
  <c r="AX506" i="1" l="1"/>
  <c r="AT506" i="1"/>
  <c r="AS298" i="1"/>
  <c r="AQ298" i="1"/>
  <c r="AS94" i="1"/>
  <c r="AT94" i="1" s="1"/>
  <c r="AQ94" i="1"/>
  <c r="AQ740" i="1" l="1"/>
  <c r="AS740" i="1"/>
  <c r="AS739" i="1"/>
  <c r="AS224" i="1" l="1"/>
  <c r="AS30" i="1"/>
  <c r="AT30" i="1" s="1"/>
  <c r="AQ85" i="1" l="1"/>
  <c r="AS84" i="1"/>
  <c r="AT84" i="1" s="1"/>
  <c r="AQ84" i="1"/>
  <c r="AQ289" i="1"/>
  <c r="AS584" i="1"/>
  <c r="AQ584" i="1"/>
  <c r="AS281" i="1"/>
  <c r="AQ281" i="1"/>
  <c r="AQ77" i="1"/>
  <c r="AQ257" i="1"/>
  <c r="AS27" i="1"/>
  <c r="AT27" i="1" s="1"/>
  <c r="AS26" i="1"/>
  <c r="AQ26" i="1"/>
  <c r="AS236" i="1" l="1"/>
  <c r="AQ236" i="1"/>
  <c r="AS230" i="1"/>
  <c r="AS223" i="1"/>
  <c r="AQ221" i="1"/>
  <c r="AQ198" i="1"/>
  <c r="AS198" i="1"/>
  <c r="AS741" i="1"/>
  <c r="AQ741" i="1"/>
  <c r="AQ192" i="1"/>
  <c r="AS451" i="1"/>
  <c r="AQ451" i="1"/>
  <c r="AS447" i="1"/>
  <c r="AQ448" i="1"/>
  <c r="AQ447" i="1"/>
  <c r="AS448" i="1"/>
  <c r="AS724" i="1"/>
  <c r="S724" i="1" s="1"/>
  <c r="AQ724" i="1"/>
  <c r="AS164" i="1"/>
  <c r="AT164" i="1" s="1"/>
  <c r="AQ164" i="1"/>
  <c r="AS158" i="1"/>
  <c r="AT158" i="1" s="1"/>
  <c r="AS692" i="1"/>
  <c r="S692" i="1" s="1"/>
  <c r="AQ692" i="1"/>
  <c r="AS152" i="1"/>
  <c r="AS427" i="1" s="1"/>
  <c r="AQ152" i="1"/>
  <c r="AS145" i="1"/>
  <c r="AS138" i="1"/>
  <c r="AQ131" i="1"/>
  <c r="R131" i="1" s="1"/>
  <c r="S131" i="1" s="1"/>
  <c r="N131" i="1" s="1"/>
  <c r="AP131" i="1" s="1"/>
  <c r="AS335" i="1"/>
  <c r="AQ335" i="1"/>
  <c r="AS104" i="1"/>
  <c r="AS103" i="1"/>
  <c r="AS98" i="1"/>
  <c r="AS97" i="1"/>
  <c r="AS95" i="1"/>
  <c r="AS92" i="1"/>
  <c r="AQ92" i="1"/>
  <c r="AS80" i="1"/>
  <c r="AS79" i="1"/>
  <c r="AT79" i="1" s="1"/>
  <c r="AS72" i="1"/>
  <c r="AS71" i="1"/>
  <c r="AS62" i="1"/>
  <c r="AS252" i="1"/>
  <c r="AS239" i="1"/>
  <c r="AQ345" i="1" l="1"/>
  <c r="R345" i="1" s="1"/>
  <c r="AW345" i="1" s="1"/>
  <c r="AX692" i="1"/>
  <c r="AT692" i="1"/>
  <c r="AX724" i="1"/>
  <c r="AT724" i="1"/>
  <c r="R56" i="1"/>
  <c r="S76" i="1" l="1"/>
  <c r="S295" i="1" l="1"/>
  <c r="S296" i="1"/>
  <c r="AX295" i="1" l="1"/>
  <c r="AT295" i="1"/>
  <c r="AX296" i="1"/>
  <c r="AT296" i="1"/>
  <c r="S105" i="1"/>
  <c r="AS468" i="1"/>
  <c r="S468" i="1" s="1"/>
  <c r="R468" i="1"/>
  <c r="AW468" i="1" s="1"/>
  <c r="AS466" i="1"/>
  <c r="S466" i="1" s="1"/>
  <c r="R466" i="1"/>
  <c r="AW466" i="1" s="1"/>
  <c r="AS465" i="1"/>
  <c r="S465" i="1" s="1"/>
  <c r="R465" i="1"/>
  <c r="AW465" i="1" s="1"/>
  <c r="AS464" i="1"/>
  <c r="S464" i="1" s="1"/>
  <c r="R464" i="1"/>
  <c r="AW464" i="1" s="1"/>
  <c r="AS463" i="1"/>
  <c r="S463" i="1" s="1"/>
  <c r="R463" i="1"/>
  <c r="AW463" i="1" s="1"/>
  <c r="AS462" i="1"/>
  <c r="S462" i="1" s="1"/>
  <c r="R462" i="1"/>
  <c r="AW462" i="1" s="1"/>
  <c r="AS461" i="1"/>
  <c r="S461" i="1" s="1"/>
  <c r="R461" i="1"/>
  <c r="AW461" i="1" s="1"/>
  <c r="AS721" i="1"/>
  <c r="R721" i="1"/>
  <c r="AW721" i="1" s="1"/>
  <c r="AS719" i="1"/>
  <c r="R719" i="1"/>
  <c r="AW719" i="1" s="1"/>
  <c r="AS718" i="1"/>
  <c r="R718" i="1"/>
  <c r="AW718" i="1" s="1"/>
  <c r="AS717" i="1"/>
  <c r="R717" i="1"/>
  <c r="AW717" i="1" s="1"/>
  <c r="AS716" i="1"/>
  <c r="S716" i="1" s="1"/>
  <c r="R716" i="1"/>
  <c r="AW716" i="1" s="1"/>
  <c r="AS706" i="1"/>
  <c r="S706" i="1" s="1"/>
  <c r="R706" i="1"/>
  <c r="AW706" i="1" s="1"/>
  <c r="AS702" i="1"/>
  <c r="R702" i="1"/>
  <c r="AW702" i="1" s="1"/>
  <c r="AS697" i="1"/>
  <c r="R697" i="1"/>
  <c r="AW697" i="1" s="1"/>
  <c r="AS696" i="1"/>
  <c r="S696" i="1" s="1"/>
  <c r="R696" i="1"/>
  <c r="AW696" i="1" s="1"/>
  <c r="AS694" i="1"/>
  <c r="R694" i="1"/>
  <c r="AW694" i="1" s="1"/>
  <c r="AS645" i="1"/>
  <c r="AT645" i="1" s="1"/>
  <c r="AS633" i="1"/>
  <c r="AT633" i="1" s="1"/>
  <c r="AS618" i="1"/>
  <c r="R618" i="1"/>
  <c r="AW618" i="1" s="1"/>
  <c r="AS617" i="1"/>
  <c r="AT617" i="1" s="1"/>
  <c r="AS611" i="1"/>
  <c r="AS610" i="1"/>
  <c r="AS609" i="1"/>
  <c r="AS608" i="1"/>
  <c r="R608" i="1"/>
  <c r="AW608" i="1" s="1"/>
  <c r="R607" i="1"/>
  <c r="AW607" i="1" s="1"/>
  <c r="R606" i="1"/>
  <c r="AW606" i="1" s="1"/>
  <c r="AS597" i="1"/>
  <c r="R597" i="1"/>
  <c r="AW597" i="1" s="1"/>
  <c r="AS570" i="1"/>
  <c r="R570" i="1"/>
  <c r="AW570" i="1" s="1"/>
  <c r="AS569" i="1"/>
  <c r="R569" i="1"/>
  <c r="AW569" i="1" s="1"/>
  <c r="AS568" i="1"/>
  <c r="R568" i="1"/>
  <c r="AW568" i="1" s="1"/>
  <c r="AS561" i="1"/>
  <c r="AT561" i="1" s="1"/>
  <c r="AS560" i="1"/>
  <c r="AT560" i="1" s="1"/>
  <c r="AS559" i="1"/>
  <c r="R559" i="1"/>
  <c r="AW559" i="1" s="1"/>
  <c r="AS558" i="1"/>
  <c r="AT558" i="1" s="1"/>
  <c r="AS556" i="1"/>
  <c r="R556" i="1"/>
  <c r="AW556" i="1" s="1"/>
  <c r="AS553" i="1"/>
  <c r="S553" i="1" s="1"/>
  <c r="R553" i="1"/>
  <c r="AW553" i="1" s="1"/>
  <c r="AS551" i="1"/>
  <c r="S551" i="1" s="1"/>
  <c r="R551" i="1"/>
  <c r="AW551" i="1" s="1"/>
  <c r="AS543" i="1"/>
  <c r="R543" i="1"/>
  <c r="AW543" i="1" s="1"/>
  <c r="R540" i="1"/>
  <c r="AW540" i="1" s="1"/>
  <c r="AS539" i="1"/>
  <c r="R539" i="1"/>
  <c r="AW539" i="1" s="1"/>
  <c r="R526" i="1"/>
  <c r="AW526" i="1" s="1"/>
  <c r="R524" i="1"/>
  <c r="AW524" i="1" s="1"/>
  <c r="AS523" i="1"/>
  <c r="AT523" i="1" s="1"/>
  <c r="AS521" i="1"/>
  <c r="R521" i="1"/>
  <c r="AW521" i="1" s="1"/>
  <c r="AS520" i="1"/>
  <c r="R520" i="1"/>
  <c r="AW520" i="1" s="1"/>
  <c r="AS517" i="1"/>
  <c r="AT517" i="1" s="1"/>
  <c r="AS516" i="1"/>
  <c r="AT516" i="1" s="1"/>
  <c r="AS514" i="1"/>
  <c r="R514" i="1"/>
  <c r="AW514" i="1" s="1"/>
  <c r="AS513" i="1"/>
  <c r="R513" i="1"/>
  <c r="AW513" i="1" s="1"/>
  <c r="AS512" i="1"/>
  <c r="R512" i="1"/>
  <c r="AW512" i="1" s="1"/>
  <c r="AS510" i="1"/>
  <c r="R510" i="1"/>
  <c r="AW510" i="1" s="1"/>
  <c r="AS503" i="1"/>
  <c r="R503" i="1"/>
  <c r="AW503" i="1" s="1"/>
  <c r="AS500" i="1"/>
  <c r="R500" i="1"/>
  <c r="AW500" i="1" s="1"/>
  <c r="R486" i="1"/>
  <c r="AW486" i="1" s="1"/>
  <c r="R484" i="1"/>
  <c r="AW484" i="1" s="1"/>
  <c r="R483" i="1"/>
  <c r="AW483" i="1" s="1"/>
  <c r="AS482" i="1"/>
  <c r="AS481" i="1"/>
  <c r="R481" i="1"/>
  <c r="AW481" i="1" s="1"/>
  <c r="AS442" i="1"/>
  <c r="S442" i="1" s="1"/>
  <c r="R442" i="1"/>
  <c r="AW442" i="1" s="1"/>
  <c r="AS434" i="1"/>
  <c r="R434" i="1"/>
  <c r="AW434" i="1" s="1"/>
  <c r="AS431" i="1"/>
  <c r="R431" i="1"/>
  <c r="AW431" i="1" s="1"/>
  <c r="AS430" i="1"/>
  <c r="R430" i="1"/>
  <c r="AW430" i="1" s="1"/>
  <c r="AS429" i="1"/>
  <c r="R429" i="1"/>
  <c r="AW429" i="1" s="1"/>
  <c r="AS428" i="1"/>
  <c r="S428" i="1" s="1"/>
  <c r="R428" i="1"/>
  <c r="AW428" i="1" s="1"/>
  <c r="S427" i="1"/>
  <c r="AS424" i="1"/>
  <c r="R424" i="1"/>
  <c r="AW424" i="1" s="1"/>
  <c r="AS419" i="1"/>
  <c r="S419" i="1" s="1"/>
  <c r="R419" i="1"/>
  <c r="AW419" i="1" s="1"/>
  <c r="AS418" i="1"/>
  <c r="S418" i="1" s="1"/>
  <c r="R418" i="1"/>
  <c r="AW418" i="1" s="1"/>
  <c r="AS398" i="1"/>
  <c r="R398" i="1"/>
  <c r="AW398" i="1" s="1"/>
  <c r="R396" i="1"/>
  <c r="AW396" i="1" s="1"/>
  <c r="AS395" i="1"/>
  <c r="R395" i="1"/>
  <c r="AW395" i="1" s="1"/>
  <c r="AS394" i="1"/>
  <c r="S394" i="1" s="1"/>
  <c r="R394" i="1"/>
  <c r="AW394" i="1" s="1"/>
  <c r="AS393" i="1"/>
  <c r="R393" i="1"/>
  <c r="AW393" i="1" s="1"/>
  <c r="AS111" i="1"/>
  <c r="R111" i="1"/>
  <c r="AW111" i="1" s="1"/>
  <c r="AS279" i="1"/>
  <c r="AS278" i="1"/>
  <c r="R260" i="1"/>
  <c r="AW260" i="1" s="1"/>
  <c r="S258" i="1"/>
  <c r="R258" i="1"/>
  <c r="AW258" i="1" s="1"/>
  <c r="AS257" i="1"/>
  <c r="R257" i="1"/>
  <c r="AW257" i="1" s="1"/>
  <c r="R252" i="1"/>
  <c r="AW252" i="1" s="1"/>
  <c r="AS251" i="1"/>
  <c r="R251" i="1"/>
  <c r="AW251" i="1" s="1"/>
  <c r="AS242" i="1"/>
  <c r="R242" i="1"/>
  <c r="AW242" i="1" s="1"/>
  <c r="R237" i="1"/>
  <c r="AW237" i="1" s="1"/>
  <c r="R236" i="1"/>
  <c r="AW236" i="1" s="1"/>
  <c r="AS228" i="1"/>
  <c r="R228" i="1"/>
  <c r="AW228" i="1" s="1"/>
  <c r="AS220" i="1"/>
  <c r="R220" i="1"/>
  <c r="AW220" i="1" s="1"/>
  <c r="AS159" i="1"/>
  <c r="AT159" i="1" s="1"/>
  <c r="AS156" i="1"/>
  <c r="R156" i="1"/>
  <c r="AS155" i="1"/>
  <c r="R155" i="1"/>
  <c r="AS154" i="1"/>
  <c r="R154" i="1"/>
  <c r="AS122" i="1"/>
  <c r="R122" i="1"/>
  <c r="AS112" i="1"/>
  <c r="AS86" i="1"/>
  <c r="R86" i="1"/>
  <c r="AS67" i="1"/>
  <c r="R67" i="1"/>
  <c r="AS66" i="1"/>
  <c r="R66" i="1"/>
  <c r="AS52" i="1"/>
  <c r="AT52" i="1" s="1"/>
  <c r="AS235" i="1"/>
  <c r="AS39" i="1"/>
  <c r="AS38" i="1"/>
  <c r="AT38" i="1" s="1"/>
  <c r="AS37" i="1"/>
  <c r="AT37" i="1" s="1"/>
  <c r="AS36" i="1"/>
  <c r="AS35" i="1"/>
  <c r="AT35" i="1" s="1"/>
  <c r="AS34" i="1"/>
  <c r="AT34" i="1" s="1"/>
  <c r="AS751" i="1"/>
  <c r="S751" i="1" s="1"/>
  <c r="S750" i="1"/>
  <c r="AS747" i="1"/>
  <c r="AS746" i="1"/>
  <c r="S746" i="1" s="1"/>
  <c r="AS745" i="1"/>
  <c r="AS744" i="1"/>
  <c r="AS732" i="1"/>
  <c r="AS730" i="1"/>
  <c r="S730" i="1" s="1"/>
  <c r="AS729" i="1"/>
  <c r="S729" i="1" s="1"/>
  <c r="AS728" i="1"/>
  <c r="S728" i="1" s="1"/>
  <c r="AS727" i="1"/>
  <c r="S727" i="1" s="1"/>
  <c r="AS726" i="1"/>
  <c r="S726" i="1" s="1"/>
  <c r="AS725" i="1"/>
  <c r="S725" i="1" s="1"/>
  <c r="AS722" i="1"/>
  <c r="AS691" i="1"/>
  <c r="S691" i="1" s="1"/>
  <c r="AS690" i="1"/>
  <c r="S690" i="1" s="1"/>
  <c r="AS689" i="1"/>
  <c r="S689" i="1" s="1"/>
  <c r="AS688" i="1"/>
  <c r="S688" i="1" s="1"/>
  <c r="AS687" i="1"/>
  <c r="S687" i="1" s="1"/>
  <c r="AS686" i="1"/>
  <c r="S686" i="1" s="1"/>
  <c r="AS685" i="1"/>
  <c r="S685" i="1" s="1"/>
  <c r="AS682" i="1"/>
  <c r="S682" i="1" s="1"/>
  <c r="AS680" i="1"/>
  <c r="S680" i="1" s="1"/>
  <c r="AS679" i="1"/>
  <c r="S679" i="1" s="1"/>
  <c r="S678" i="1"/>
  <c r="AS676" i="1"/>
  <c r="S676" i="1" s="1"/>
  <c r="AS675" i="1"/>
  <c r="S675" i="1" s="1"/>
  <c r="AS674" i="1"/>
  <c r="AS672" i="1"/>
  <c r="AS671" i="1"/>
  <c r="S671" i="1" s="1"/>
  <c r="AS670" i="1"/>
  <c r="AS666" i="1"/>
  <c r="S666" i="1" s="1"/>
  <c r="AS665" i="1"/>
  <c r="AS664" i="1"/>
  <c r="AS660" i="1"/>
  <c r="S660" i="1" s="1"/>
  <c r="AS658" i="1"/>
  <c r="S658" i="1" s="1"/>
  <c r="AS657" i="1"/>
  <c r="AS654" i="1"/>
  <c r="S654" i="1" s="1"/>
  <c r="AS652" i="1"/>
  <c r="S652" i="1" s="1"/>
  <c r="AS651" i="1"/>
  <c r="AS649" i="1"/>
  <c r="S649" i="1" s="1"/>
  <c r="AS646" i="1"/>
  <c r="S646" i="1" s="1"/>
  <c r="AS643" i="1"/>
  <c r="S643" i="1" s="1"/>
  <c r="AS640" i="1"/>
  <c r="S640" i="1" s="1"/>
  <c r="AS639" i="1"/>
  <c r="S639" i="1" s="1"/>
  <c r="AS638" i="1"/>
  <c r="AS636" i="1"/>
  <c r="S636" i="1" s="1"/>
  <c r="AS635" i="1"/>
  <c r="S635" i="1" s="1"/>
  <c r="AS632" i="1"/>
  <c r="AS630" i="1"/>
  <c r="AS629" i="1"/>
  <c r="AS628" i="1"/>
  <c r="AS627" i="1"/>
  <c r="AT627" i="1" s="1"/>
  <c r="AS626" i="1"/>
  <c r="AS624" i="1"/>
  <c r="S624" i="1" s="1"/>
  <c r="AS623" i="1"/>
  <c r="AS622" i="1"/>
  <c r="S622" i="1" s="1"/>
  <c r="AS621" i="1"/>
  <c r="AS620" i="1"/>
  <c r="AS616" i="1"/>
  <c r="S616" i="1" s="1"/>
  <c r="AS615" i="1"/>
  <c r="S615" i="1" s="1"/>
  <c r="AS614" i="1"/>
  <c r="S614" i="1" s="1"/>
  <c r="AS613" i="1"/>
  <c r="AS604" i="1"/>
  <c r="AS603" i="1"/>
  <c r="AS602" i="1"/>
  <c r="AS601" i="1"/>
  <c r="AS600" i="1"/>
  <c r="AS599" i="1"/>
  <c r="AS596" i="1"/>
  <c r="AS592" i="1"/>
  <c r="S592" i="1" s="1"/>
  <c r="AS591" i="1"/>
  <c r="S591" i="1" s="1"/>
  <c r="AS589" i="1"/>
  <c r="S589" i="1" s="1"/>
  <c r="AS588" i="1"/>
  <c r="S588" i="1" s="1"/>
  <c r="AS587" i="1"/>
  <c r="S587" i="1" s="1"/>
  <c r="AS586" i="1"/>
  <c r="S586" i="1" s="1"/>
  <c r="S584" i="1"/>
  <c r="AS583" i="1"/>
  <c r="S583" i="1" s="1"/>
  <c r="AS581" i="1"/>
  <c r="AS580" i="1"/>
  <c r="S580" i="1" s="1"/>
  <c r="AS579" i="1"/>
  <c r="AS578" i="1"/>
  <c r="AS577" i="1"/>
  <c r="AS576" i="1"/>
  <c r="AT576" i="1" s="1"/>
  <c r="AS575" i="1"/>
  <c r="S575" i="1" s="1"/>
  <c r="AS573" i="1"/>
  <c r="S573" i="1" s="1"/>
  <c r="AS572" i="1"/>
  <c r="S572" i="1" s="1"/>
  <c r="AS571" i="1"/>
  <c r="S571" i="1" s="1"/>
  <c r="AS567" i="1"/>
  <c r="AS566" i="1"/>
  <c r="AS564" i="1"/>
  <c r="AS563" i="1"/>
  <c r="AS562" i="1"/>
  <c r="AS555" i="1"/>
  <c r="S555" i="1" s="1"/>
  <c r="AS554" i="1"/>
  <c r="AS552" i="1"/>
  <c r="AS550" i="1"/>
  <c r="AS549" i="1"/>
  <c r="S549" i="1" s="1"/>
  <c r="AS548" i="1"/>
  <c r="AS546" i="1"/>
  <c r="AS545" i="1"/>
  <c r="AS544" i="1"/>
  <c r="S544" i="1" s="1"/>
  <c r="AS542" i="1"/>
  <c r="S542" i="1" s="1"/>
  <c r="AS541" i="1"/>
  <c r="S541" i="1" s="1"/>
  <c r="AS535" i="1"/>
  <c r="AS533" i="1"/>
  <c r="AS532" i="1"/>
  <c r="S532" i="1" s="1"/>
  <c r="AS530" i="1"/>
  <c r="AS522" i="1"/>
  <c r="AS519" i="1"/>
  <c r="S519" i="1" s="1"/>
  <c r="AS515" i="1"/>
  <c r="S515" i="1" s="1"/>
  <c r="AS509" i="1"/>
  <c r="AS505" i="1"/>
  <c r="AS497" i="1"/>
  <c r="AS494" i="1"/>
  <c r="AS492" i="1"/>
  <c r="AT492" i="1" s="1"/>
  <c r="AS491" i="1"/>
  <c r="S491" i="1" s="1"/>
  <c r="AS489" i="1"/>
  <c r="S489" i="1" s="1"/>
  <c r="AS488" i="1"/>
  <c r="S488" i="1" s="1"/>
  <c r="AS487" i="1"/>
  <c r="S487" i="1" s="1"/>
  <c r="AS485" i="1"/>
  <c r="AS191" i="1"/>
  <c r="AS467" i="1"/>
  <c r="S467" i="1" s="1"/>
  <c r="AS178" i="1"/>
  <c r="AS460" i="1"/>
  <c r="AS459" i="1"/>
  <c r="S459" i="1" s="1"/>
  <c r="S457" i="1"/>
  <c r="AS456" i="1"/>
  <c r="AS455" i="1"/>
  <c r="S455" i="1" s="1"/>
  <c r="AS454" i="1"/>
  <c r="S454" i="1" s="1"/>
  <c r="AS453" i="1"/>
  <c r="AS452" i="1"/>
  <c r="S452" i="1" s="1"/>
  <c r="S451" i="1"/>
  <c r="S448" i="1"/>
  <c r="S447" i="1"/>
  <c r="S441" i="1"/>
  <c r="AS440" i="1"/>
  <c r="S440" i="1" s="1"/>
  <c r="AS436" i="1"/>
  <c r="AS435" i="1"/>
  <c r="AS432" i="1"/>
  <c r="AS422" i="1"/>
  <c r="S422" i="1" s="1"/>
  <c r="AS420" i="1"/>
  <c r="AS416" i="1"/>
  <c r="AS415" i="1"/>
  <c r="AS414" i="1"/>
  <c r="S414" i="1" s="1"/>
  <c r="AS413" i="1"/>
  <c r="S413" i="1" s="1"/>
  <c r="AS412" i="1"/>
  <c r="AS411" i="1"/>
  <c r="S411" i="1" s="1"/>
  <c r="AS410" i="1"/>
  <c r="S410" i="1" s="1"/>
  <c r="AS409" i="1"/>
  <c r="AS408" i="1"/>
  <c r="AS407" i="1"/>
  <c r="S407" i="1" s="1"/>
  <c r="AS406" i="1"/>
  <c r="S406" i="1" s="1"/>
  <c r="AS405" i="1"/>
  <c r="AS404" i="1"/>
  <c r="AS403" i="1"/>
  <c r="AS402" i="1"/>
  <c r="AS401" i="1"/>
  <c r="AS400" i="1"/>
  <c r="AS399" i="1"/>
  <c r="AS397" i="1"/>
  <c r="AS379" i="1"/>
  <c r="AS377" i="1"/>
  <c r="AS375" i="1"/>
  <c r="AS374" i="1"/>
  <c r="S374" i="1" s="1"/>
  <c r="AS373" i="1"/>
  <c r="AS372" i="1"/>
  <c r="AS371" i="1"/>
  <c r="S371" i="1" s="1"/>
  <c r="AS370" i="1"/>
  <c r="AS368" i="1"/>
  <c r="AS367" i="1"/>
  <c r="AS366" i="1"/>
  <c r="AS365" i="1"/>
  <c r="AS364" i="1"/>
  <c r="AS361" i="1"/>
  <c r="AS353" i="1"/>
  <c r="AS354" i="1"/>
  <c r="S354" i="1" s="1"/>
  <c r="AS351" i="1"/>
  <c r="S351" i="1" s="1"/>
  <c r="AS350" i="1"/>
  <c r="S350" i="1" s="1"/>
  <c r="AS349" i="1"/>
  <c r="AS344" i="1"/>
  <c r="S344" i="1" s="1"/>
  <c r="AS343" i="1"/>
  <c r="S343" i="1" s="1"/>
  <c r="AS342" i="1"/>
  <c r="AS338" i="1"/>
  <c r="S338" i="1" s="1"/>
  <c r="AS337" i="1"/>
  <c r="S337" i="1" s="1"/>
  <c r="AS336" i="1"/>
  <c r="AS333" i="1"/>
  <c r="S333" i="1" s="1"/>
  <c r="AS329" i="1"/>
  <c r="AS327" i="1"/>
  <c r="AS326" i="1"/>
  <c r="AS325" i="1"/>
  <c r="S325" i="1" s="1"/>
  <c r="AS115" i="1"/>
  <c r="AS114" i="1"/>
  <c r="AS320" i="1"/>
  <c r="AS108" i="1"/>
  <c r="AS319" i="1"/>
  <c r="S319" i="1" s="1"/>
  <c r="AS318" i="1"/>
  <c r="S318" i="1" s="1"/>
  <c r="AS317" i="1"/>
  <c r="S317" i="1" s="1"/>
  <c r="AS316" i="1"/>
  <c r="AS315" i="1"/>
  <c r="AS314" i="1"/>
  <c r="AS313" i="1"/>
  <c r="AS311" i="1"/>
  <c r="S311" i="1" s="1"/>
  <c r="AS308" i="1"/>
  <c r="AT308" i="1" s="1"/>
  <c r="AS303" i="1"/>
  <c r="S303" i="1" s="1"/>
  <c r="S302" i="1"/>
  <c r="AS301" i="1"/>
  <c r="AS300" i="1"/>
  <c r="S300" i="1" s="1"/>
  <c r="AS297" i="1"/>
  <c r="S297" i="1" s="1"/>
  <c r="AS292" i="1"/>
  <c r="AS289" i="1"/>
  <c r="AS287" i="1"/>
  <c r="AS283" i="1"/>
  <c r="AS282" i="1"/>
  <c r="AS77" i="1"/>
  <c r="AS68" i="1"/>
  <c r="AS54" i="1"/>
  <c r="S54" i="1" s="1"/>
  <c r="AT54" i="1" s="1"/>
  <c r="AS264" i="1"/>
  <c r="AS263" i="1"/>
  <c r="AS262" i="1"/>
  <c r="AS261" i="1"/>
  <c r="AS254" i="1"/>
  <c r="S254" i="1" s="1"/>
  <c r="AS250" i="1"/>
  <c r="AS247" i="1"/>
  <c r="AS246" i="1"/>
  <c r="AS245" i="1"/>
  <c r="AS243" i="1"/>
  <c r="S243" i="1" s="1"/>
  <c r="AS227" i="1"/>
  <c r="AS222" i="1"/>
  <c r="AS219" i="1"/>
  <c r="AS218" i="1"/>
  <c r="S218" i="1" s="1"/>
  <c r="AS217" i="1"/>
  <c r="S217" i="1" s="1"/>
  <c r="AS216" i="1"/>
  <c r="S216" i="1" s="1"/>
  <c r="AS215" i="1"/>
  <c r="S215" i="1" s="1"/>
  <c r="AS214" i="1"/>
  <c r="S214" i="1" s="1"/>
  <c r="AS213" i="1"/>
  <c r="S213" i="1" s="1"/>
  <c r="AS211" i="1"/>
  <c r="AS207" i="1"/>
  <c r="AS201" i="1"/>
  <c r="AS200" i="1"/>
  <c r="S200" i="1" s="1"/>
  <c r="AT200" i="1" s="1"/>
  <c r="AS199" i="1"/>
  <c r="AS197" i="1"/>
  <c r="AS194" i="1"/>
  <c r="AS192" i="1"/>
  <c r="AS190" i="1"/>
  <c r="AS189" i="1"/>
  <c r="AS175" i="1"/>
  <c r="S175" i="1" s="1"/>
  <c r="AT175" i="1" s="1"/>
  <c r="AS171" i="1"/>
  <c r="AT171" i="1" s="1"/>
  <c r="AS169" i="1"/>
  <c r="AS165" i="1"/>
  <c r="AS161" i="1"/>
  <c r="AT161" i="1" s="1"/>
  <c r="AS160" i="1"/>
  <c r="AS157" i="1"/>
  <c r="AT157" i="1" s="1"/>
  <c r="AS151" i="1"/>
  <c r="AS150" i="1"/>
  <c r="AS148" i="1"/>
  <c r="AT148" i="1" s="1"/>
  <c r="AS147" i="1"/>
  <c r="AT147" i="1" s="1"/>
  <c r="AS144" i="1"/>
  <c r="AT144" i="1" s="1"/>
  <c r="AS136" i="1"/>
  <c r="AS134" i="1"/>
  <c r="AS133" i="1"/>
  <c r="AS128" i="1"/>
  <c r="AS125" i="1"/>
  <c r="AT125" i="1" s="1"/>
  <c r="AS124" i="1"/>
  <c r="AS123" i="1"/>
  <c r="AT123" i="1" s="1"/>
  <c r="AS120" i="1"/>
  <c r="S120" i="1" s="1"/>
  <c r="AT120" i="1" s="1"/>
  <c r="AS119" i="1"/>
  <c r="AS118" i="1"/>
  <c r="AS117" i="1"/>
  <c r="AS116" i="1"/>
  <c r="AS113" i="1"/>
  <c r="S113" i="1" s="1"/>
  <c r="AS109" i="1"/>
  <c r="AT109" i="1" s="1"/>
  <c r="AS107" i="1"/>
  <c r="AT107" i="1" s="1"/>
  <c r="AS106" i="1"/>
  <c r="AS102" i="1"/>
  <c r="AS101" i="1"/>
  <c r="AS100" i="1"/>
  <c r="AS99" i="1"/>
  <c r="AS93" i="1"/>
  <c r="AS91" i="1"/>
  <c r="AS90" i="1"/>
  <c r="AS89" i="1"/>
  <c r="AS88" i="1"/>
  <c r="AS85" i="1"/>
  <c r="AS83" i="1"/>
  <c r="AS82" i="1"/>
  <c r="AS81" i="1"/>
  <c r="AS76" i="1"/>
  <c r="AT76" i="1" s="1"/>
  <c r="AS70" i="1"/>
  <c r="AT70" i="1" s="1"/>
  <c r="AS69" i="1"/>
  <c r="AS64" i="1"/>
  <c r="AS61" i="1"/>
  <c r="AS60" i="1"/>
  <c r="AS58" i="1"/>
  <c r="AS56" i="1"/>
  <c r="AS55" i="1"/>
  <c r="S55" i="1" s="1"/>
  <c r="AS244" i="1"/>
  <c r="AT244" i="1" s="1"/>
  <c r="AS50" i="1"/>
  <c r="AS241" i="1" s="1"/>
  <c r="AT241" i="1" s="1"/>
  <c r="AS49" i="1"/>
  <c r="AS47" i="1"/>
  <c r="AT47" i="1" s="1"/>
  <c r="AS46" i="1"/>
  <c r="AT46" i="1" s="1"/>
  <c r="AS45" i="1"/>
  <c r="AS44" i="1"/>
  <c r="AS43" i="1"/>
  <c r="AS33" i="1"/>
  <c r="AT33" i="1" s="1"/>
  <c r="AS31" i="1"/>
  <c r="AT31" i="1" s="1"/>
  <c r="AS24" i="1"/>
  <c r="AS23" i="1"/>
  <c r="AS22" i="1"/>
  <c r="AS21" i="1"/>
  <c r="AT21" i="1" s="1"/>
  <c r="AS20" i="1"/>
  <c r="AS19" i="1"/>
  <c r="S19" i="1" s="1"/>
  <c r="AT19" i="1" s="1"/>
  <c r="AS18" i="1"/>
  <c r="S18" i="1" s="1"/>
  <c r="AT18" i="1" s="1"/>
  <c r="AS17" i="1"/>
  <c r="AT17" i="1" s="1"/>
  <c r="R751" i="1"/>
  <c r="AW751" i="1" s="1"/>
  <c r="R750" i="1"/>
  <c r="AW750" i="1" s="1"/>
  <c r="R747" i="1"/>
  <c r="AW747" i="1" s="1"/>
  <c r="R746" i="1"/>
  <c r="AW746" i="1" s="1"/>
  <c r="R743" i="1"/>
  <c r="AW743" i="1" s="1"/>
  <c r="R742" i="1"/>
  <c r="AW742" i="1" s="1"/>
  <c r="R732" i="1"/>
  <c r="AW732" i="1" s="1"/>
  <c r="R731" i="1"/>
  <c r="AW731" i="1" s="1"/>
  <c r="R730" i="1"/>
  <c r="AW730" i="1" s="1"/>
  <c r="R729" i="1"/>
  <c r="AW729" i="1" s="1"/>
  <c r="R728" i="1"/>
  <c r="AW728" i="1" s="1"/>
  <c r="R727" i="1"/>
  <c r="AW727" i="1" s="1"/>
  <c r="R726" i="1"/>
  <c r="AW726" i="1" s="1"/>
  <c r="R725" i="1"/>
  <c r="AW725" i="1" s="1"/>
  <c r="R724" i="1"/>
  <c r="AW724" i="1" s="1"/>
  <c r="R722" i="1"/>
  <c r="AW722" i="1" s="1"/>
  <c r="R692" i="1"/>
  <c r="AW692" i="1" s="1"/>
  <c r="R691" i="1"/>
  <c r="AW691" i="1" s="1"/>
  <c r="R690" i="1"/>
  <c r="AW690" i="1" s="1"/>
  <c r="R689" i="1"/>
  <c r="AW689" i="1" s="1"/>
  <c r="R688" i="1"/>
  <c r="AW688" i="1" s="1"/>
  <c r="R687" i="1"/>
  <c r="AW687" i="1" s="1"/>
  <c r="R686" i="1"/>
  <c r="AW686" i="1" s="1"/>
  <c r="R685" i="1"/>
  <c r="AW685" i="1" s="1"/>
  <c r="R682" i="1"/>
  <c r="AW682" i="1" s="1"/>
  <c r="R680" i="1"/>
  <c r="AW680" i="1" s="1"/>
  <c r="R679" i="1"/>
  <c r="AW679" i="1" s="1"/>
  <c r="R678" i="1"/>
  <c r="AW678" i="1" s="1"/>
  <c r="R676" i="1"/>
  <c r="AW676" i="1" s="1"/>
  <c r="R675" i="1"/>
  <c r="AW675" i="1" s="1"/>
  <c r="R674" i="1"/>
  <c r="AW674" i="1" s="1"/>
  <c r="R672" i="1"/>
  <c r="AW672" i="1" s="1"/>
  <c r="R671" i="1"/>
  <c r="AW671" i="1" s="1"/>
  <c r="R670" i="1"/>
  <c r="AW670" i="1" s="1"/>
  <c r="R669" i="1"/>
  <c r="AW669" i="1" s="1"/>
  <c r="R668" i="1"/>
  <c r="AW668" i="1" s="1"/>
  <c r="R667" i="1"/>
  <c r="AW667" i="1" s="1"/>
  <c r="R666" i="1"/>
  <c r="AW666" i="1" s="1"/>
  <c r="R664" i="1"/>
  <c r="AW664" i="1" s="1"/>
  <c r="R663" i="1"/>
  <c r="AW663" i="1" s="1"/>
  <c r="R662" i="1"/>
  <c r="AW662" i="1" s="1"/>
  <c r="R661" i="1"/>
  <c r="AW661" i="1" s="1"/>
  <c r="R660" i="1"/>
  <c r="AW660" i="1" s="1"/>
  <c r="R658" i="1"/>
  <c r="AW658" i="1" s="1"/>
  <c r="R657" i="1"/>
  <c r="AW657" i="1" s="1"/>
  <c r="R654" i="1"/>
  <c r="AW654" i="1" s="1"/>
  <c r="R652" i="1"/>
  <c r="AW652" i="1" s="1"/>
  <c r="R651" i="1"/>
  <c r="AW651" i="1" s="1"/>
  <c r="R649" i="1"/>
  <c r="AW649" i="1" s="1"/>
  <c r="R646" i="1"/>
  <c r="AW646" i="1" s="1"/>
  <c r="R636" i="1"/>
  <c r="AW636" i="1" s="1"/>
  <c r="R635" i="1"/>
  <c r="AW635" i="1" s="1"/>
  <c r="R630" i="1"/>
  <c r="AW630" i="1" s="1"/>
  <c r="R628" i="1"/>
  <c r="AW628" i="1" s="1"/>
  <c r="R626" i="1"/>
  <c r="AW626" i="1" s="1"/>
  <c r="R624" i="1"/>
  <c r="AW624" i="1" s="1"/>
  <c r="R623" i="1"/>
  <c r="AW623" i="1" s="1"/>
  <c r="R621" i="1"/>
  <c r="AW621" i="1" s="1"/>
  <c r="R620" i="1"/>
  <c r="AW620" i="1" s="1"/>
  <c r="R616" i="1"/>
  <c r="AW616" i="1" s="1"/>
  <c r="R615" i="1"/>
  <c r="AW615" i="1" s="1"/>
  <c r="R614" i="1"/>
  <c r="AW614" i="1" s="1"/>
  <c r="R613" i="1"/>
  <c r="AW613" i="1" s="1"/>
  <c r="R604" i="1"/>
  <c r="AW604" i="1" s="1"/>
  <c r="R603" i="1"/>
  <c r="AW603" i="1" s="1"/>
  <c r="R602" i="1"/>
  <c r="AW602" i="1" s="1"/>
  <c r="R599" i="1"/>
  <c r="AW599" i="1" s="1"/>
  <c r="R596" i="1"/>
  <c r="AW596" i="1" s="1"/>
  <c r="R592" i="1"/>
  <c r="AW592" i="1" s="1"/>
  <c r="R591" i="1"/>
  <c r="AW591" i="1" s="1"/>
  <c r="R589" i="1"/>
  <c r="AW589" i="1" s="1"/>
  <c r="R588" i="1"/>
  <c r="AW588" i="1" s="1"/>
  <c r="R587" i="1"/>
  <c r="AW587" i="1" s="1"/>
  <c r="R586" i="1"/>
  <c r="AW586" i="1" s="1"/>
  <c r="R585" i="1"/>
  <c r="AW585" i="1" s="1"/>
  <c r="R584" i="1"/>
  <c r="AW584" i="1" s="1"/>
  <c r="R583" i="1"/>
  <c r="AW583" i="1" s="1"/>
  <c r="R580" i="1"/>
  <c r="AW580" i="1" s="1"/>
  <c r="R577" i="1"/>
  <c r="AW577" i="1" s="1"/>
  <c r="R575" i="1"/>
  <c r="AW575" i="1" s="1"/>
  <c r="R573" i="1"/>
  <c r="AW573" i="1" s="1"/>
  <c r="R571" i="1"/>
  <c r="AW571" i="1" s="1"/>
  <c r="R567" i="1"/>
  <c r="AW567" i="1" s="1"/>
  <c r="R566" i="1"/>
  <c r="AW566" i="1" s="1"/>
  <c r="R565" i="1"/>
  <c r="AW565" i="1" s="1"/>
  <c r="R564" i="1"/>
  <c r="AW564" i="1" s="1"/>
  <c r="R563" i="1"/>
  <c r="AW563" i="1" s="1"/>
  <c r="R562" i="1"/>
  <c r="AW562" i="1" s="1"/>
  <c r="R555" i="1"/>
  <c r="AW555" i="1" s="1"/>
  <c r="R554" i="1"/>
  <c r="AW554" i="1" s="1"/>
  <c r="R552" i="1"/>
  <c r="AW552" i="1" s="1"/>
  <c r="R550" i="1"/>
  <c r="AW550" i="1" s="1"/>
  <c r="R549" i="1"/>
  <c r="AW549" i="1" s="1"/>
  <c r="R548" i="1"/>
  <c r="AW548" i="1" s="1"/>
  <c r="R546" i="1"/>
  <c r="AW546" i="1" s="1"/>
  <c r="R545" i="1"/>
  <c r="AW545" i="1" s="1"/>
  <c r="R544" i="1"/>
  <c r="AW544" i="1" s="1"/>
  <c r="R542" i="1"/>
  <c r="AW542" i="1" s="1"/>
  <c r="R541" i="1"/>
  <c r="AW541" i="1" s="1"/>
  <c r="R536" i="1"/>
  <c r="AW536" i="1" s="1"/>
  <c r="R535" i="1"/>
  <c r="AW535" i="1" s="1"/>
  <c r="R533" i="1"/>
  <c r="AW533" i="1" s="1"/>
  <c r="R532" i="1"/>
  <c r="AW532" i="1" s="1"/>
  <c r="R531" i="1"/>
  <c r="AW531" i="1" s="1"/>
  <c r="R530" i="1"/>
  <c r="AW530" i="1" s="1"/>
  <c r="R529" i="1"/>
  <c r="AW529" i="1" s="1"/>
  <c r="R522" i="1"/>
  <c r="AW522" i="1" s="1"/>
  <c r="R519" i="1"/>
  <c r="AW519" i="1" s="1"/>
  <c r="R515" i="1"/>
  <c r="AW515" i="1" s="1"/>
  <c r="R509" i="1"/>
  <c r="AW509" i="1" s="1"/>
  <c r="R506" i="1"/>
  <c r="AW506" i="1" s="1"/>
  <c r="R505" i="1"/>
  <c r="AW505" i="1" s="1"/>
  <c r="R497" i="1"/>
  <c r="AW497" i="1" s="1"/>
  <c r="R491" i="1"/>
  <c r="AW491" i="1" s="1"/>
  <c r="R489" i="1"/>
  <c r="AW489" i="1" s="1"/>
  <c r="R488" i="1"/>
  <c r="AW488" i="1" s="1"/>
  <c r="R487" i="1"/>
  <c r="AW487" i="1" s="1"/>
  <c r="R485" i="1"/>
  <c r="R191" i="1"/>
  <c r="R467" i="1"/>
  <c r="AW467" i="1" s="1"/>
  <c r="R178" i="1"/>
  <c r="R460" i="1"/>
  <c r="R459" i="1"/>
  <c r="AW459" i="1" s="1"/>
  <c r="R458" i="1"/>
  <c r="AW458" i="1" s="1"/>
  <c r="R457" i="1"/>
  <c r="AW457" i="1" s="1"/>
  <c r="R456" i="1"/>
  <c r="AW456" i="1" s="1"/>
  <c r="R455" i="1"/>
  <c r="AW455" i="1" s="1"/>
  <c r="R454" i="1"/>
  <c r="AW454" i="1" s="1"/>
  <c r="R453" i="1"/>
  <c r="AW453" i="1" s="1"/>
  <c r="R452" i="1"/>
  <c r="AW452" i="1" s="1"/>
  <c r="R451" i="1"/>
  <c r="AW451" i="1" s="1"/>
  <c r="R448" i="1"/>
  <c r="AW448" i="1" s="1"/>
  <c r="R447" i="1"/>
  <c r="AW447" i="1" s="1"/>
  <c r="R441" i="1"/>
  <c r="AW441" i="1" s="1"/>
  <c r="R440" i="1"/>
  <c r="R436" i="1"/>
  <c r="AW436" i="1" s="1"/>
  <c r="R435" i="1"/>
  <c r="AW435" i="1" s="1"/>
  <c r="R432" i="1"/>
  <c r="AW432" i="1" s="1"/>
  <c r="R422" i="1"/>
  <c r="AW422" i="1" s="1"/>
  <c r="R420" i="1"/>
  <c r="AW420" i="1" s="1"/>
  <c r="R416" i="1"/>
  <c r="AW416" i="1" s="1"/>
  <c r="R415" i="1"/>
  <c r="AW415" i="1" s="1"/>
  <c r="R414" i="1"/>
  <c r="AW414" i="1" s="1"/>
  <c r="R413" i="1"/>
  <c r="AW413" i="1" s="1"/>
  <c r="R412" i="1"/>
  <c r="AW412" i="1" s="1"/>
  <c r="R411" i="1"/>
  <c r="AW411" i="1" s="1"/>
  <c r="R410" i="1"/>
  <c r="AW410" i="1" s="1"/>
  <c r="R409" i="1"/>
  <c r="AW409" i="1" s="1"/>
  <c r="R408" i="1"/>
  <c r="AW408" i="1" s="1"/>
  <c r="R407" i="1"/>
  <c r="AW407" i="1" s="1"/>
  <c r="R406" i="1"/>
  <c r="AW406" i="1" s="1"/>
  <c r="R405" i="1"/>
  <c r="AW405" i="1" s="1"/>
  <c r="R404" i="1"/>
  <c r="AW404" i="1" s="1"/>
  <c r="R403" i="1"/>
  <c r="AW403" i="1" s="1"/>
  <c r="R402" i="1"/>
  <c r="AW402" i="1" s="1"/>
  <c r="R401" i="1"/>
  <c r="AW401" i="1" s="1"/>
  <c r="R400" i="1"/>
  <c r="AW400" i="1" s="1"/>
  <c r="R399" i="1"/>
  <c r="AW399" i="1" s="1"/>
  <c r="R397" i="1"/>
  <c r="AW397" i="1" s="1"/>
  <c r="R379" i="1"/>
  <c r="AW379" i="1" s="1"/>
  <c r="R377" i="1"/>
  <c r="AW377" i="1" s="1"/>
  <c r="R375" i="1"/>
  <c r="AW375" i="1" s="1"/>
  <c r="R374" i="1"/>
  <c r="AW374" i="1" s="1"/>
  <c r="R373" i="1"/>
  <c r="R372" i="1"/>
  <c r="AW372" i="1" s="1"/>
  <c r="R371" i="1"/>
  <c r="AW371" i="1" s="1"/>
  <c r="R370" i="1"/>
  <c r="AW370" i="1" s="1"/>
  <c r="R368" i="1"/>
  <c r="AW368" i="1" s="1"/>
  <c r="R367" i="1"/>
  <c r="R366" i="1"/>
  <c r="AW366" i="1" s="1"/>
  <c r="R365" i="1"/>
  <c r="AW365" i="1" s="1"/>
  <c r="R364" i="1"/>
  <c r="AW364" i="1" s="1"/>
  <c r="R361" i="1"/>
  <c r="AW361" i="1" s="1"/>
  <c r="R360" i="1"/>
  <c r="AW360" i="1" s="1"/>
  <c r="R359" i="1"/>
  <c r="AW359" i="1" s="1"/>
  <c r="R358" i="1"/>
  <c r="AW358" i="1" s="1"/>
  <c r="R357" i="1"/>
  <c r="AW357" i="1" s="1"/>
  <c r="R356" i="1"/>
  <c r="AW356" i="1" s="1"/>
  <c r="R355" i="1"/>
  <c r="AW355" i="1" s="1"/>
  <c r="R353" i="1"/>
  <c r="AW353" i="1" s="1"/>
  <c r="R354" i="1"/>
  <c r="AW354" i="1" s="1"/>
  <c r="R351" i="1"/>
  <c r="AW351" i="1" s="1"/>
  <c r="R350" i="1"/>
  <c r="AW350" i="1" s="1"/>
  <c r="R349" i="1"/>
  <c r="AW349" i="1" s="1"/>
  <c r="R344" i="1"/>
  <c r="AW344" i="1" s="1"/>
  <c r="R343" i="1"/>
  <c r="AW343" i="1" s="1"/>
  <c r="R341" i="1"/>
  <c r="AW341" i="1" s="1"/>
  <c r="R338" i="1"/>
  <c r="AW338" i="1" s="1"/>
  <c r="R337" i="1"/>
  <c r="AW337" i="1" s="1"/>
  <c r="R333" i="1"/>
  <c r="AW333" i="1" s="1"/>
  <c r="R329" i="1"/>
  <c r="AW329" i="1" s="1"/>
  <c r="R326" i="1"/>
  <c r="AW326" i="1" s="1"/>
  <c r="R325" i="1"/>
  <c r="R115" i="1"/>
  <c r="R114" i="1"/>
  <c r="R319" i="1"/>
  <c r="AW319" i="1" s="1"/>
  <c r="R318" i="1"/>
  <c r="R317" i="1"/>
  <c r="AW317" i="1" s="1"/>
  <c r="R311" i="1"/>
  <c r="AW311" i="1" s="1"/>
  <c r="R303" i="1"/>
  <c r="AW303" i="1" s="1"/>
  <c r="R302" i="1"/>
  <c r="AW302" i="1" s="1"/>
  <c r="R301" i="1"/>
  <c r="AW301" i="1" s="1"/>
  <c r="R300" i="1"/>
  <c r="AW300" i="1" s="1"/>
  <c r="R298" i="1"/>
  <c r="R297" i="1"/>
  <c r="AW297" i="1" s="1"/>
  <c r="R292" i="1"/>
  <c r="AW292" i="1" s="1"/>
  <c r="R289" i="1"/>
  <c r="S104" i="1" s="1"/>
  <c r="AT104" i="1" s="1"/>
  <c r="R284" i="1"/>
  <c r="AW284" i="1" s="1"/>
  <c r="R282" i="1"/>
  <c r="AW282" i="1" s="1"/>
  <c r="R281" i="1"/>
  <c r="AW281" i="1" s="1"/>
  <c r="R280" i="1"/>
  <c r="AW280" i="1" s="1"/>
  <c r="R54" i="1"/>
  <c r="T76" i="1" s="1"/>
  <c r="N76" i="1" s="1"/>
  <c r="AP76" i="1" s="1"/>
  <c r="R264" i="1"/>
  <c r="AW264" i="1" s="1"/>
  <c r="R263" i="1"/>
  <c r="AW263" i="1" s="1"/>
  <c r="R262" i="1"/>
  <c r="AW262" i="1" s="1"/>
  <c r="R261" i="1"/>
  <c r="AW261" i="1" s="1"/>
  <c r="R254" i="1"/>
  <c r="AW254" i="1" s="1"/>
  <c r="R250" i="1"/>
  <c r="R247" i="1"/>
  <c r="AW247" i="1" s="1"/>
  <c r="R246" i="1"/>
  <c r="AW246" i="1" s="1"/>
  <c r="R245" i="1"/>
  <c r="AW245" i="1" s="1"/>
  <c r="R240" i="1"/>
  <c r="AW240" i="1" s="1"/>
  <c r="R239" i="1"/>
  <c r="AW239" i="1" s="1"/>
  <c r="R227" i="1"/>
  <c r="AW227" i="1" s="1"/>
  <c r="R222" i="1"/>
  <c r="AW222" i="1" s="1"/>
  <c r="R221" i="1"/>
  <c r="AW221" i="1" s="1"/>
  <c r="R219" i="1"/>
  <c r="AW219" i="1" s="1"/>
  <c r="R218" i="1"/>
  <c r="AW218" i="1" s="1"/>
  <c r="R217" i="1"/>
  <c r="AW217" i="1" s="1"/>
  <c r="R216" i="1"/>
  <c r="AW216" i="1" s="1"/>
  <c r="R215" i="1"/>
  <c r="AW215" i="1" s="1"/>
  <c r="R214" i="1"/>
  <c r="AW214" i="1" s="1"/>
  <c r="R213" i="1"/>
  <c r="AW213" i="1" s="1"/>
  <c r="R211" i="1"/>
  <c r="AW211" i="1" s="1"/>
  <c r="R207" i="1"/>
  <c r="AW207" i="1" s="1"/>
  <c r="R201" i="1"/>
  <c r="S199" i="1"/>
  <c r="AS476" i="1" s="1"/>
  <c r="AT476" i="1" s="1"/>
  <c r="R198" i="1"/>
  <c r="R197" i="1"/>
  <c r="AQ478" i="1" s="1"/>
  <c r="R478" i="1" s="1"/>
  <c r="AW478" i="1" s="1"/>
  <c r="R195" i="1"/>
  <c r="R185" i="1"/>
  <c r="R181" i="1"/>
  <c r="R180" i="1"/>
  <c r="R175" i="1"/>
  <c r="R152" i="1"/>
  <c r="R151" i="1"/>
  <c r="R150" i="1"/>
  <c r="AQ390" i="1" s="1"/>
  <c r="R390" i="1" s="1"/>
  <c r="AW390" i="1" s="1"/>
  <c r="R118" i="1"/>
  <c r="R113" i="1"/>
  <c r="R106" i="1"/>
  <c r="S106" i="1" s="1"/>
  <c r="R102" i="1"/>
  <c r="R101" i="1"/>
  <c r="R100" i="1"/>
  <c r="S124" i="1" s="1"/>
  <c r="R98" i="1"/>
  <c r="R95" i="1"/>
  <c r="R89" i="1"/>
  <c r="R87" i="1"/>
  <c r="R83" i="1"/>
  <c r="S83" i="1" s="1"/>
  <c r="R82" i="1"/>
  <c r="R81" i="1"/>
  <c r="R64" i="1"/>
  <c r="S64" i="1" s="1"/>
  <c r="R63" i="1"/>
  <c r="R60" i="1"/>
  <c r="AQ241" i="1"/>
  <c r="R49" i="1"/>
  <c r="S69" i="1" s="1"/>
  <c r="R44" i="1"/>
  <c r="AQ259" i="1" s="1"/>
  <c r="R22" i="1"/>
  <c r="R20" i="1"/>
  <c r="R19" i="1"/>
  <c r="R18" i="1"/>
  <c r="R17" i="1"/>
  <c r="AT83" i="1" l="1"/>
  <c r="AQ324" i="1"/>
  <c r="R324" i="1" s="1"/>
  <c r="T113" i="1"/>
  <c r="AT106" i="1"/>
  <c r="AQ421" i="1"/>
  <c r="AQ391" i="1"/>
  <c r="R391" i="1" s="1"/>
  <c r="AW391" i="1" s="1"/>
  <c r="AT124" i="1"/>
  <c r="AS293" i="1"/>
  <c r="AQ293" i="1"/>
  <c r="R293" i="1" s="1"/>
  <c r="AW293" i="1" s="1"/>
  <c r="AT42" i="1"/>
  <c r="AT253" i="1"/>
  <c r="AT69" i="1"/>
  <c r="AT199" i="1"/>
  <c r="AT116" i="1"/>
  <c r="AX422" i="1"/>
  <c r="AT422" i="1"/>
  <c r="AX615" i="1"/>
  <c r="AT615" i="1"/>
  <c r="AQ644" i="1"/>
  <c r="AW325" i="1"/>
  <c r="S470" i="1"/>
  <c r="AX470" i="1" s="1"/>
  <c r="AW460" i="1"/>
  <c r="AX215" i="1"/>
  <c r="AT215" i="1"/>
  <c r="AX333" i="1"/>
  <c r="AT333" i="1"/>
  <c r="AX350" i="1"/>
  <c r="AT350" i="1"/>
  <c r="AX411" i="1"/>
  <c r="AT411" i="1"/>
  <c r="AX452" i="1"/>
  <c r="AT452" i="1"/>
  <c r="AX586" i="1"/>
  <c r="AT586" i="1"/>
  <c r="AX616" i="1"/>
  <c r="AT616" i="1"/>
  <c r="AX640" i="1"/>
  <c r="AT640" i="1"/>
  <c r="AX658" i="1"/>
  <c r="AT658" i="1"/>
  <c r="AX686" i="1"/>
  <c r="AT686" i="1"/>
  <c r="AX726" i="1"/>
  <c r="AT726" i="1"/>
  <c r="AX746" i="1"/>
  <c r="AT746" i="1"/>
  <c r="AX394" i="1"/>
  <c r="AT394" i="1"/>
  <c r="AX442" i="1"/>
  <c r="AT442" i="1"/>
  <c r="AX243" i="1"/>
  <c r="AT243" i="1"/>
  <c r="AX491" i="1"/>
  <c r="AT491" i="1"/>
  <c r="AX725" i="1"/>
  <c r="AT725" i="1"/>
  <c r="AX258" i="1"/>
  <c r="AT258" i="1"/>
  <c r="AX466" i="1"/>
  <c r="AT466" i="1"/>
  <c r="S382" i="1"/>
  <c r="N382" i="1" s="1"/>
  <c r="AP382" i="1" s="1"/>
  <c r="AW367" i="1"/>
  <c r="AX216" i="1"/>
  <c r="AT216" i="1"/>
  <c r="AX297" i="1"/>
  <c r="AT297" i="1"/>
  <c r="AX351" i="1"/>
  <c r="AT351" i="1"/>
  <c r="AX467" i="1"/>
  <c r="AT467" i="1"/>
  <c r="AX532" i="1"/>
  <c r="AT532" i="1"/>
  <c r="AX587" i="1"/>
  <c r="AT587" i="1"/>
  <c r="AX643" i="1"/>
  <c r="AT643" i="1"/>
  <c r="AX660" i="1"/>
  <c r="AT660" i="1"/>
  <c r="AX675" i="1"/>
  <c r="AT675" i="1"/>
  <c r="AX687" i="1"/>
  <c r="AT687" i="1"/>
  <c r="AX727" i="1"/>
  <c r="AT727" i="1"/>
  <c r="AX419" i="1"/>
  <c r="AT419" i="1"/>
  <c r="AX706" i="1"/>
  <c r="AT706" i="1"/>
  <c r="AX463" i="1"/>
  <c r="AT463" i="1"/>
  <c r="AX468" i="1"/>
  <c r="AT468" i="1"/>
  <c r="AX374" i="1"/>
  <c r="AT374" i="1"/>
  <c r="AX217" i="1"/>
  <c r="AT217" i="1"/>
  <c r="AX300" i="1"/>
  <c r="AT300" i="1"/>
  <c r="AX337" i="1"/>
  <c r="AT337" i="1"/>
  <c r="AX413" i="1"/>
  <c r="AT413" i="1"/>
  <c r="AX454" i="1"/>
  <c r="AT454" i="1"/>
  <c r="AX549" i="1"/>
  <c r="AT549" i="1"/>
  <c r="AX588" i="1"/>
  <c r="AT588" i="1"/>
  <c r="AX646" i="1"/>
  <c r="AT646" i="1"/>
  <c r="AX676" i="1"/>
  <c r="AT676" i="1"/>
  <c r="AX688" i="1"/>
  <c r="AT688" i="1"/>
  <c r="AX728" i="1"/>
  <c r="AT728" i="1"/>
  <c r="AX750" i="1"/>
  <c r="AT750" i="1"/>
  <c r="AX551" i="1"/>
  <c r="AT551" i="1"/>
  <c r="AX311" i="1"/>
  <c r="AT311" i="1"/>
  <c r="AX410" i="1"/>
  <c r="AT410" i="1"/>
  <c r="AX584" i="1"/>
  <c r="AT584" i="1"/>
  <c r="AX462" i="1"/>
  <c r="AT462" i="1"/>
  <c r="S450" i="1"/>
  <c r="AX450" i="1" s="1"/>
  <c r="AW440" i="1"/>
  <c r="AX218" i="1"/>
  <c r="AT218" i="1"/>
  <c r="AX338" i="1"/>
  <c r="AT338" i="1"/>
  <c r="AX354" i="1"/>
  <c r="AT354" i="1"/>
  <c r="AX406" i="1"/>
  <c r="AT406" i="1"/>
  <c r="AX414" i="1"/>
  <c r="AT414" i="1"/>
  <c r="AX440" i="1"/>
  <c r="AT440" i="1"/>
  <c r="AX455" i="1"/>
  <c r="AT455" i="1"/>
  <c r="AX589" i="1"/>
  <c r="AT589" i="1"/>
  <c r="AX622" i="1"/>
  <c r="AT622" i="1"/>
  <c r="AX649" i="1"/>
  <c r="AT649" i="1"/>
  <c r="AX678" i="1"/>
  <c r="AT678" i="1"/>
  <c r="AX689" i="1"/>
  <c r="AT689" i="1"/>
  <c r="AX729" i="1"/>
  <c r="AT729" i="1"/>
  <c r="AX751" i="1"/>
  <c r="AT751" i="1"/>
  <c r="AX696" i="1"/>
  <c r="AT696" i="1"/>
  <c r="AX716" i="1"/>
  <c r="AT716" i="1"/>
  <c r="AX464" i="1"/>
  <c r="AT464" i="1"/>
  <c r="AX639" i="1"/>
  <c r="AT639" i="1"/>
  <c r="AX418" i="1"/>
  <c r="AT418" i="1"/>
  <c r="AQ631" i="1"/>
  <c r="AW318" i="1"/>
  <c r="R70" i="1"/>
  <c r="AT50" i="1"/>
  <c r="AX254" i="1"/>
  <c r="AT254" i="1"/>
  <c r="AX302" i="1"/>
  <c r="AT302" i="1"/>
  <c r="AX317" i="1"/>
  <c r="AT317" i="1"/>
  <c r="AX325" i="1"/>
  <c r="AT325" i="1"/>
  <c r="AX371" i="1"/>
  <c r="AT371" i="1"/>
  <c r="AX407" i="1"/>
  <c r="AT407" i="1"/>
  <c r="AX441" i="1"/>
  <c r="AT441" i="1"/>
  <c r="AX487" i="1"/>
  <c r="AT487" i="1"/>
  <c r="AX541" i="1"/>
  <c r="AT541" i="1"/>
  <c r="AX571" i="1"/>
  <c r="AT571" i="1"/>
  <c r="AX580" i="1"/>
  <c r="AT580" i="1"/>
  <c r="AX591" i="1"/>
  <c r="AT591" i="1"/>
  <c r="AX635" i="1"/>
  <c r="AT635" i="1"/>
  <c r="AX666" i="1"/>
  <c r="AT666" i="1"/>
  <c r="AX679" i="1"/>
  <c r="AT679" i="1"/>
  <c r="AX690" i="1"/>
  <c r="AT690" i="1"/>
  <c r="AX730" i="1"/>
  <c r="AT730" i="1"/>
  <c r="AX427" i="1"/>
  <c r="AT427" i="1"/>
  <c r="AX553" i="1"/>
  <c r="AT553" i="1"/>
  <c r="AX575" i="1"/>
  <c r="AT575" i="1"/>
  <c r="AX685" i="1"/>
  <c r="AT685" i="1"/>
  <c r="S495" i="1"/>
  <c r="AW485" i="1"/>
  <c r="AQ622" i="1"/>
  <c r="AW298" i="1"/>
  <c r="AX303" i="1"/>
  <c r="AT303" i="1"/>
  <c r="AX318" i="1"/>
  <c r="AT318" i="1"/>
  <c r="AX343" i="1"/>
  <c r="AT343" i="1"/>
  <c r="AX447" i="1"/>
  <c r="AT447" i="1"/>
  <c r="AX457" i="1"/>
  <c r="AT457" i="1"/>
  <c r="AX488" i="1"/>
  <c r="AT488" i="1"/>
  <c r="AX515" i="1"/>
  <c r="AT515" i="1"/>
  <c r="AX542" i="1"/>
  <c r="AT542" i="1"/>
  <c r="AX572" i="1"/>
  <c r="AT572" i="1"/>
  <c r="AX592" i="1"/>
  <c r="AT592" i="1"/>
  <c r="AX624" i="1"/>
  <c r="AT624" i="1"/>
  <c r="AX636" i="1"/>
  <c r="AT636" i="1"/>
  <c r="AX652" i="1"/>
  <c r="AT652" i="1"/>
  <c r="AX680" i="1"/>
  <c r="AT680" i="1"/>
  <c r="AX691" i="1"/>
  <c r="AT691" i="1"/>
  <c r="AX461" i="1"/>
  <c r="AT461" i="1"/>
  <c r="AX465" i="1"/>
  <c r="AT465" i="1"/>
  <c r="AX214" i="1"/>
  <c r="AT214" i="1"/>
  <c r="AX451" i="1"/>
  <c r="AT451" i="1"/>
  <c r="S387" i="1"/>
  <c r="AX387" i="1" s="1"/>
  <c r="AW373" i="1"/>
  <c r="T165" i="1"/>
  <c r="N165" i="1" s="1"/>
  <c r="AP165" i="1" s="1"/>
  <c r="AT165" i="1"/>
  <c r="AX213" i="1"/>
  <c r="AT213" i="1"/>
  <c r="AX319" i="1"/>
  <c r="AT319" i="1"/>
  <c r="AX344" i="1"/>
  <c r="AT344" i="1"/>
  <c r="AX448" i="1"/>
  <c r="AT448" i="1"/>
  <c r="AX459" i="1"/>
  <c r="AT459" i="1"/>
  <c r="AX489" i="1"/>
  <c r="AT489" i="1"/>
  <c r="AX519" i="1"/>
  <c r="AT519" i="1"/>
  <c r="AX544" i="1"/>
  <c r="AT544" i="1"/>
  <c r="AX555" i="1"/>
  <c r="AT555" i="1"/>
  <c r="AX573" i="1"/>
  <c r="AT573" i="1"/>
  <c r="AX583" i="1"/>
  <c r="AT583" i="1"/>
  <c r="AX614" i="1"/>
  <c r="AT614" i="1"/>
  <c r="AX654" i="1"/>
  <c r="AT654" i="1"/>
  <c r="AX671" i="1"/>
  <c r="AT671" i="1"/>
  <c r="AX682" i="1"/>
  <c r="AT682" i="1"/>
  <c r="AX428" i="1"/>
  <c r="AT428" i="1"/>
  <c r="AX105" i="1"/>
  <c r="AT105" i="1"/>
  <c r="T105" i="1"/>
  <c r="S309" i="1"/>
  <c r="AQ693" i="1"/>
  <c r="R693" i="1" s="1"/>
  <c r="AW693" i="1" s="1"/>
  <c r="S392" i="1"/>
  <c r="S473" i="1"/>
  <c r="S479" i="1"/>
  <c r="S85" i="1"/>
  <c r="AS291" i="1" s="1"/>
  <c r="S291" i="1" s="1"/>
  <c r="S61" i="1"/>
  <c r="AT61" i="1" s="1"/>
  <c r="S231" i="1"/>
  <c r="S269" i="1"/>
  <c r="S265" i="1"/>
  <c r="S234" i="1"/>
  <c r="S474" i="1"/>
  <c r="T148" i="1"/>
  <c r="N148" i="1" s="1"/>
  <c r="AP148" i="1" s="1"/>
  <c r="AQ673" i="1"/>
  <c r="R673" i="1" s="1"/>
  <c r="AW673" i="1" s="1"/>
  <c r="S299" i="1"/>
  <c r="AQ323" i="1"/>
  <c r="R323" i="1" s="1"/>
  <c r="AW323" i="1" s="1"/>
  <c r="T140" i="1"/>
  <c r="N140" i="1" s="1"/>
  <c r="AP140" i="1" s="1"/>
  <c r="S471" i="1"/>
  <c r="AQ748" i="1"/>
  <c r="S475" i="1"/>
  <c r="AQ655" i="1"/>
  <c r="AS655" i="1"/>
  <c r="S655" i="1" s="1"/>
  <c r="S388" i="1"/>
  <c r="S469" i="1"/>
  <c r="T469" i="1" s="1"/>
  <c r="AQ723" i="1"/>
  <c r="S438" i="1"/>
  <c r="S142" i="1"/>
  <c r="AT142" i="1" s="1"/>
  <c r="S172" i="1"/>
  <c r="AT172" i="1" s="1"/>
  <c r="R427" i="1"/>
  <c r="AW427" i="1" s="1"/>
  <c r="S389" i="1"/>
  <c r="AS681" i="1" s="1"/>
  <c r="S472" i="1"/>
  <c r="AQ749" i="1"/>
  <c r="S477" i="1"/>
  <c r="T303" i="1"/>
  <c r="AY303" i="1" s="1"/>
  <c r="AQ322" i="1"/>
  <c r="R322" i="1" s="1"/>
  <c r="AQ273" i="1"/>
  <c r="R273" i="1" s="1"/>
  <c r="AW273" i="1" s="1"/>
  <c r="S478" i="1"/>
  <c r="S95" i="1"/>
  <c r="AT95" i="1" s="1"/>
  <c r="T676" i="1"/>
  <c r="S22" i="1"/>
  <c r="AQ705" i="1"/>
  <c r="R705" i="1" s="1"/>
  <c r="AW705" i="1" s="1"/>
  <c r="AQ496" i="1"/>
  <c r="R496" i="1" s="1"/>
  <c r="AW496" i="1" s="1"/>
  <c r="AQ704" i="1"/>
  <c r="R704" i="1" s="1"/>
  <c r="AW704" i="1" s="1"/>
  <c r="AQ579" i="1"/>
  <c r="R579" i="1" s="1"/>
  <c r="AW579" i="1" s="1"/>
  <c r="AQ698" i="1"/>
  <c r="R698" i="1" s="1"/>
  <c r="AW698" i="1" s="1"/>
  <c r="AQ537" i="1"/>
  <c r="R537" i="1" s="1"/>
  <c r="AW537" i="1" s="1"/>
  <c r="AQ711" i="1"/>
  <c r="R711" i="1" s="1"/>
  <c r="AW711" i="1" s="1"/>
  <c r="T184" i="1"/>
  <c r="AQ699" i="1"/>
  <c r="R699" i="1" s="1"/>
  <c r="AW699" i="1" s="1"/>
  <c r="T17" i="1"/>
  <c r="T185" i="1"/>
  <c r="AQ700" i="1"/>
  <c r="R700" i="1" s="1"/>
  <c r="AW700" i="1" s="1"/>
  <c r="AQ707" i="1"/>
  <c r="R707" i="1" s="1"/>
  <c r="AW707" i="1" s="1"/>
  <c r="T186" i="1"/>
  <c r="AQ701" i="1"/>
  <c r="R701" i="1" s="1"/>
  <c r="AW701" i="1" s="1"/>
  <c r="AQ708" i="1"/>
  <c r="R708" i="1" s="1"/>
  <c r="AW708" i="1" s="1"/>
  <c r="AQ695" i="1"/>
  <c r="R695" i="1" s="1"/>
  <c r="AW695" i="1" s="1"/>
  <c r="AQ720" i="1"/>
  <c r="R720" i="1" s="1"/>
  <c r="AW720" i="1" s="1"/>
  <c r="AQ703" i="1"/>
  <c r="R703" i="1" s="1"/>
  <c r="AW703" i="1" s="1"/>
  <c r="AQ525" i="1"/>
  <c r="R525" i="1" s="1"/>
  <c r="AW525" i="1" s="1"/>
  <c r="AQ547" i="1"/>
  <c r="R547" i="1" s="1"/>
  <c r="AW547" i="1" s="1"/>
  <c r="T200" i="1"/>
  <c r="T120" i="1"/>
  <c r="T18" i="1"/>
  <c r="T50" i="1"/>
  <c r="N164" i="1"/>
  <c r="AP164" i="1" s="1"/>
  <c r="T181" i="1"/>
  <c r="P696" i="1"/>
  <c r="AU696" i="1" s="1"/>
  <c r="N746" i="1"/>
  <c r="AQ709" i="1"/>
  <c r="AQ714" i="1"/>
  <c r="AQ130" i="1"/>
  <c r="R130" i="1" s="1"/>
  <c r="T147" i="1" s="1"/>
  <c r="N147" i="1" s="1"/>
  <c r="AP147" i="1" s="1"/>
  <c r="AQ710" i="1"/>
  <c r="AQ733" i="1"/>
  <c r="AQ737" i="1"/>
  <c r="AQ735" i="1"/>
  <c r="AQ490" i="1"/>
  <c r="R490" i="1" s="1"/>
  <c r="AW490" i="1" s="1"/>
  <c r="AQ271" i="1"/>
  <c r="R271" i="1" s="1"/>
  <c r="AQ307" i="1"/>
  <c r="R307" i="1" s="1"/>
  <c r="AW307" i="1" s="1"/>
  <c r="AQ238" i="1"/>
  <c r="R238" i="1" s="1"/>
  <c r="AW238" i="1" s="1"/>
  <c r="R493" i="1"/>
  <c r="AW493" i="1" s="1"/>
  <c r="AQ331" i="1"/>
  <c r="R331" i="1" s="1"/>
  <c r="AQ712" i="1"/>
  <c r="AQ736" i="1"/>
  <c r="AQ312" i="1"/>
  <c r="R312" i="1" s="1"/>
  <c r="AW312" i="1" s="1"/>
  <c r="AQ683" i="1"/>
  <c r="AQ713" i="1"/>
  <c r="AQ507" i="1"/>
  <c r="R507" i="1" s="1"/>
  <c r="AW507" i="1" s="1"/>
  <c r="AQ595" i="1"/>
  <c r="R595" i="1" s="1"/>
  <c r="AW595" i="1" s="1"/>
  <c r="AQ684" i="1"/>
  <c r="R425" i="1"/>
  <c r="AW425" i="1" s="1"/>
  <c r="AQ734" i="1"/>
  <c r="AQ598" i="1"/>
  <c r="R598" i="1" s="1"/>
  <c r="AW598" i="1" s="1"/>
  <c r="R321" i="1"/>
  <c r="AW321" i="1" s="1"/>
  <c r="AQ233" i="1"/>
  <c r="R233" i="1" s="1"/>
  <c r="AW233" i="1" s="1"/>
  <c r="AQ437" i="1"/>
  <c r="AS733" i="1"/>
  <c r="S733" i="1" s="1"/>
  <c r="AS737" i="1"/>
  <c r="S737" i="1" s="1"/>
  <c r="AS130" i="1"/>
  <c r="S130" i="1" s="1"/>
  <c r="AT130" i="1" s="1"/>
  <c r="AS714" i="1"/>
  <c r="S714" i="1" s="1"/>
  <c r="AS735" i="1"/>
  <c r="S735" i="1" s="1"/>
  <c r="AQ594" i="1"/>
  <c r="R594" i="1" s="1"/>
  <c r="AW594" i="1" s="1"/>
  <c r="AQ647" i="1"/>
  <c r="R647" i="1" s="1"/>
  <c r="AW647" i="1" s="1"/>
  <c r="AQ266" i="1"/>
  <c r="R648" i="1"/>
  <c r="AW648" i="1" s="1"/>
  <c r="AQ210" i="1"/>
  <c r="AQ653" i="1"/>
  <c r="R653" i="1" s="1"/>
  <c r="AW653" i="1" s="1"/>
  <c r="AQ527" i="1"/>
  <c r="AQ677" i="1"/>
  <c r="R677" i="1" s="1"/>
  <c r="AW677" i="1" s="1"/>
  <c r="AS557" i="1"/>
  <c r="R423" i="1"/>
  <c r="AW423" i="1" s="1"/>
  <c r="R138" i="1"/>
  <c r="AQ256" i="1"/>
  <c r="R290" i="1"/>
  <c r="AW290" i="1" s="1"/>
  <c r="AW324" i="1"/>
  <c r="E644" i="10"/>
  <c r="T644" i="1" s="1"/>
  <c r="AY644" i="1" s="1"/>
  <c r="E645" i="10"/>
  <c r="Y644" i="1"/>
  <c r="S391" i="1" l="1"/>
  <c r="AX391" i="1" s="1"/>
  <c r="AX382" i="1"/>
  <c r="AW322" i="1"/>
  <c r="AQ272" i="1"/>
  <c r="AX291" i="1"/>
  <c r="AT291" i="1"/>
  <c r="AT88" i="1"/>
  <c r="AT382" i="1"/>
  <c r="AT450" i="1"/>
  <c r="AT387" i="1"/>
  <c r="N387" i="1"/>
  <c r="AX737" i="1"/>
  <c r="AT737" i="1"/>
  <c r="AX733" i="1"/>
  <c r="AT733" i="1"/>
  <c r="AW331" i="1"/>
  <c r="AX655" i="1"/>
  <c r="AT655" i="1"/>
  <c r="AT470" i="1"/>
  <c r="AX735" i="1"/>
  <c r="AT735" i="1"/>
  <c r="S293" i="1"/>
  <c r="AX293" i="1" s="1"/>
  <c r="AW271" i="1"/>
  <c r="AX714" i="1"/>
  <c r="AT714" i="1"/>
  <c r="V382" i="1"/>
  <c r="U382" i="1"/>
  <c r="AX472" i="1"/>
  <c r="AT472" i="1"/>
  <c r="AX388" i="1"/>
  <c r="AT388" i="1"/>
  <c r="N676" i="1"/>
  <c r="AP676" i="1" s="1"/>
  <c r="AY676" i="1"/>
  <c r="AX477" i="1"/>
  <c r="AT477" i="1"/>
  <c r="AX475" i="1"/>
  <c r="AT475" i="1"/>
  <c r="AX299" i="1"/>
  <c r="AT299" i="1"/>
  <c r="AX231" i="1"/>
  <c r="AT231" i="1"/>
  <c r="AX309" i="1"/>
  <c r="AT309" i="1"/>
  <c r="N469" i="1"/>
  <c r="AP469" i="1" s="1"/>
  <c r="AY469" i="1"/>
  <c r="AX438" i="1"/>
  <c r="AT438" i="1"/>
  <c r="N105" i="1"/>
  <c r="U105" i="1" s="1"/>
  <c r="AY105" i="1"/>
  <c r="AX474" i="1"/>
  <c r="AT474" i="1"/>
  <c r="N85" i="1"/>
  <c r="AP85" i="1" s="1"/>
  <c r="AT85" i="1"/>
  <c r="AX469" i="1"/>
  <c r="AT469" i="1"/>
  <c r="T479" i="1"/>
  <c r="AY479" i="1" s="1"/>
  <c r="AX479" i="1"/>
  <c r="AT479" i="1"/>
  <c r="AX234" i="1"/>
  <c r="AT234" i="1"/>
  <c r="T473" i="1"/>
  <c r="AX473" i="1"/>
  <c r="AT473" i="1"/>
  <c r="AX478" i="1"/>
  <c r="AX389" i="1"/>
  <c r="AT389" i="1"/>
  <c r="AX265" i="1"/>
  <c r="AT265" i="1"/>
  <c r="AX392" i="1"/>
  <c r="AT392" i="1"/>
  <c r="T471" i="1"/>
  <c r="AX471" i="1"/>
  <c r="AT471" i="1"/>
  <c r="T22" i="1"/>
  <c r="N22" i="1" s="1"/>
  <c r="AP22" i="1" s="1"/>
  <c r="AT22" i="1"/>
  <c r="AX269" i="1"/>
  <c r="AT269" i="1"/>
  <c r="T474" i="1"/>
  <c r="AY474" i="1" s="1"/>
  <c r="T477" i="1"/>
  <c r="T438" i="1"/>
  <c r="T388" i="1"/>
  <c r="T472" i="1"/>
  <c r="AS723" i="1"/>
  <c r="T475" i="1"/>
  <c r="T234" i="1"/>
  <c r="R158" i="1"/>
  <c r="T310" i="1"/>
  <c r="V140" i="1"/>
  <c r="U140" i="1"/>
  <c r="T285" i="1"/>
  <c r="T291" i="1"/>
  <c r="AT153" i="1"/>
  <c r="AS444" i="1"/>
  <c r="AT444" i="1" s="1"/>
  <c r="N184" i="1"/>
  <c r="AP184" i="1" s="1"/>
  <c r="N181" i="1"/>
  <c r="AP181" i="1" s="1"/>
  <c r="N50" i="1"/>
  <c r="AP50" i="1" s="1"/>
  <c r="N186" i="1"/>
  <c r="AP186" i="1" s="1"/>
  <c r="N18" i="1"/>
  <c r="AP18" i="1" s="1"/>
  <c r="N120" i="1"/>
  <c r="AP120" i="1" s="1"/>
  <c r="U746" i="1"/>
  <c r="N200" i="1"/>
  <c r="AP200" i="1" s="1"/>
  <c r="N185" i="1"/>
  <c r="AP185" i="1" s="1"/>
  <c r="N17" i="1"/>
  <c r="AP17" i="1" s="1"/>
  <c r="T478" i="1"/>
  <c r="N107" i="1"/>
  <c r="AP107" i="1" s="1"/>
  <c r="T95" i="1"/>
  <c r="S273" i="1"/>
  <c r="N644" i="1"/>
  <c r="AP644" i="1" s="1"/>
  <c r="N106" i="1"/>
  <c r="AP106" i="1" s="1"/>
  <c r="AS590" i="1"/>
  <c r="AT590" i="1" s="1"/>
  <c r="S557" i="1"/>
  <c r="P645" i="1"/>
  <c r="AQ715" i="1"/>
  <c r="R655" i="1"/>
  <c r="AW655" i="1" s="1"/>
  <c r="AQ659" i="1"/>
  <c r="R659" i="1" s="1"/>
  <c r="AW659" i="1" s="1"/>
  <c r="G758" i="10"/>
  <c r="H758" i="10"/>
  <c r="I758" i="10"/>
  <c r="J758" i="10"/>
  <c r="K758" i="10"/>
  <c r="L758" i="10"/>
  <c r="N758" i="10"/>
  <c r="O758" i="10"/>
  <c r="P758" i="10"/>
  <c r="Q758" i="10"/>
  <c r="F758" i="10"/>
  <c r="K757" i="10"/>
  <c r="K756" i="10"/>
  <c r="L756" i="10"/>
  <c r="E751" i="10"/>
  <c r="E750" i="10"/>
  <c r="E749" i="10"/>
  <c r="E748" i="10"/>
  <c r="E747" i="10"/>
  <c r="E746" i="10"/>
  <c r="AP746" i="1" s="1"/>
  <c r="E745" i="10"/>
  <c r="R745" i="1" s="1"/>
  <c r="AW745" i="1" s="1"/>
  <c r="E744" i="10"/>
  <c r="E743" i="10"/>
  <c r="E742" i="10"/>
  <c r="E741" i="10"/>
  <c r="R741" i="1" s="1"/>
  <c r="AW741" i="1" s="1"/>
  <c r="E740" i="10"/>
  <c r="E739" i="10"/>
  <c r="E738" i="10"/>
  <c r="R738" i="1" s="1"/>
  <c r="AW738" i="1" s="1"/>
  <c r="E737" i="10"/>
  <c r="E736" i="10"/>
  <c r="E735" i="10"/>
  <c r="T735" i="1" s="1"/>
  <c r="E734" i="10"/>
  <c r="P734" i="1" s="1"/>
  <c r="AU734" i="1" s="1"/>
  <c r="E733" i="10"/>
  <c r="T733" i="1" s="1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T714" i="1" s="1"/>
  <c r="E713" i="10"/>
  <c r="E712" i="10"/>
  <c r="E711" i="10"/>
  <c r="E710" i="10"/>
  <c r="E709" i="10"/>
  <c r="E708" i="10"/>
  <c r="E707" i="10"/>
  <c r="E706" i="10"/>
  <c r="E705" i="10"/>
  <c r="S705" i="1" s="1"/>
  <c r="E704" i="10"/>
  <c r="E703" i="10"/>
  <c r="E702" i="10"/>
  <c r="E701" i="10"/>
  <c r="E700" i="10"/>
  <c r="E699" i="10"/>
  <c r="E698" i="10"/>
  <c r="E697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S683" i="1" s="1"/>
  <c r="E682" i="10"/>
  <c r="E681" i="10"/>
  <c r="E680" i="10"/>
  <c r="E679" i="10"/>
  <c r="E678" i="10"/>
  <c r="E677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T654" i="1" s="1"/>
  <c r="E653" i="10"/>
  <c r="S653" i="1" s="1"/>
  <c r="E652" i="10"/>
  <c r="E130" i="10"/>
  <c r="E651" i="10"/>
  <c r="E650" i="10"/>
  <c r="E649" i="10"/>
  <c r="E648" i="10"/>
  <c r="E647" i="10"/>
  <c r="E646" i="10"/>
  <c r="T646" i="1" s="1"/>
  <c r="AY646" i="1" s="1"/>
  <c r="E643" i="10"/>
  <c r="E642" i="10"/>
  <c r="E640" i="10"/>
  <c r="E639" i="10"/>
  <c r="E638" i="10"/>
  <c r="R638" i="1" s="1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T624" i="1" s="1"/>
  <c r="E623" i="10"/>
  <c r="E622" i="10"/>
  <c r="E621" i="10"/>
  <c r="E620" i="10"/>
  <c r="E619" i="10"/>
  <c r="E618" i="10"/>
  <c r="E617" i="10"/>
  <c r="E616" i="10"/>
  <c r="T616" i="1" s="1"/>
  <c r="E615" i="10"/>
  <c r="E614" i="10"/>
  <c r="E613" i="10"/>
  <c r="E612" i="10"/>
  <c r="P612" i="1" s="1"/>
  <c r="AU612" i="1" s="1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6" i="10"/>
  <c r="E595" i="10"/>
  <c r="E594" i="10"/>
  <c r="E593" i="10"/>
  <c r="E592" i="10"/>
  <c r="E591" i="10"/>
  <c r="T591" i="1" s="1"/>
  <c r="E590" i="10"/>
  <c r="E589" i="10"/>
  <c r="T589" i="1" s="1"/>
  <c r="E588" i="10"/>
  <c r="T588" i="1" s="1"/>
  <c r="E587" i="10"/>
  <c r="E586" i="10"/>
  <c r="E585" i="10"/>
  <c r="S585" i="1" s="1"/>
  <c r="E584" i="10"/>
  <c r="E583" i="10"/>
  <c r="E582" i="10"/>
  <c r="R582" i="1" s="1"/>
  <c r="AW582" i="1" s="1"/>
  <c r="E581" i="10"/>
  <c r="E580" i="10"/>
  <c r="E579" i="10"/>
  <c r="E578" i="10"/>
  <c r="E577" i="10"/>
  <c r="E576" i="10"/>
  <c r="E575" i="10"/>
  <c r="T575" i="1" s="1"/>
  <c r="E574" i="10"/>
  <c r="E573" i="10"/>
  <c r="T573" i="1" s="1"/>
  <c r="E572" i="10"/>
  <c r="E571" i="10"/>
  <c r="E570" i="10"/>
  <c r="E569" i="10"/>
  <c r="E568" i="10"/>
  <c r="E567" i="10"/>
  <c r="S567" i="1" s="1"/>
  <c r="E566" i="10"/>
  <c r="E565" i="10"/>
  <c r="E564" i="10"/>
  <c r="E563" i="10"/>
  <c r="E562" i="10"/>
  <c r="E561" i="10"/>
  <c r="E560" i="10"/>
  <c r="E559" i="10"/>
  <c r="E558" i="10"/>
  <c r="E555" i="10"/>
  <c r="T555" i="1" s="1"/>
  <c r="E554" i="10"/>
  <c r="E553" i="10"/>
  <c r="E552" i="10"/>
  <c r="E551" i="10"/>
  <c r="T551" i="1" s="1"/>
  <c r="E550" i="10"/>
  <c r="E549" i="10"/>
  <c r="E548" i="10"/>
  <c r="E547" i="10"/>
  <c r="E546" i="10"/>
  <c r="E545" i="10"/>
  <c r="E544" i="10"/>
  <c r="T544" i="1" s="1"/>
  <c r="E543" i="10"/>
  <c r="E540" i="10"/>
  <c r="S540" i="1" s="1"/>
  <c r="E539" i="10"/>
  <c r="E537" i="10"/>
  <c r="E535" i="10"/>
  <c r="E533" i="10"/>
  <c r="E532" i="10"/>
  <c r="E531" i="10"/>
  <c r="E530" i="10"/>
  <c r="E529" i="10"/>
  <c r="E528" i="10"/>
  <c r="P528" i="1" s="1"/>
  <c r="AU528" i="1" s="1"/>
  <c r="E527" i="10"/>
  <c r="E526" i="10"/>
  <c r="E525" i="10"/>
  <c r="E524" i="10"/>
  <c r="S524" i="1" s="1"/>
  <c r="E523" i="10"/>
  <c r="E522" i="10"/>
  <c r="E521" i="10"/>
  <c r="E519" i="10"/>
  <c r="T519" i="1" s="1"/>
  <c r="E518" i="10"/>
  <c r="E515" i="10"/>
  <c r="E514" i="10"/>
  <c r="E513" i="10"/>
  <c r="E512" i="10"/>
  <c r="E511" i="10"/>
  <c r="E509" i="10"/>
  <c r="E508" i="10"/>
  <c r="E507" i="10"/>
  <c r="E506" i="10"/>
  <c r="E505" i="10"/>
  <c r="E500" i="10"/>
  <c r="E497" i="10"/>
  <c r="E496" i="10"/>
  <c r="E494" i="10"/>
  <c r="E493" i="10"/>
  <c r="E492" i="10"/>
  <c r="E491" i="10"/>
  <c r="E490" i="10"/>
  <c r="E489" i="10"/>
  <c r="T489" i="1" s="1"/>
  <c r="E488" i="10"/>
  <c r="E487" i="10"/>
  <c r="E486" i="10"/>
  <c r="E485" i="10"/>
  <c r="E484" i="10"/>
  <c r="E483" i="10"/>
  <c r="E482" i="10"/>
  <c r="E481" i="10"/>
  <c r="E191" i="10"/>
  <c r="E468" i="10"/>
  <c r="E467" i="10"/>
  <c r="E466" i="10"/>
  <c r="E465" i="10"/>
  <c r="E464" i="10"/>
  <c r="E463" i="10"/>
  <c r="E462" i="10"/>
  <c r="E461" i="10"/>
  <c r="E178" i="10"/>
  <c r="E460" i="10"/>
  <c r="E459" i="10"/>
  <c r="E458" i="10"/>
  <c r="E457" i="10"/>
  <c r="T457" i="1" s="1"/>
  <c r="AY457" i="1" s="1"/>
  <c r="E456" i="10"/>
  <c r="E455" i="10"/>
  <c r="E454" i="10"/>
  <c r="T454" i="1" s="1"/>
  <c r="AY454" i="1" s="1"/>
  <c r="E453" i="10"/>
  <c r="E452" i="10"/>
  <c r="T452" i="1" s="1"/>
  <c r="AY452" i="1" s="1"/>
  <c r="E451" i="10"/>
  <c r="E448" i="10"/>
  <c r="E447" i="10"/>
  <c r="E446" i="10"/>
  <c r="E445" i="10"/>
  <c r="E444" i="10"/>
  <c r="E442" i="10"/>
  <c r="E441" i="10"/>
  <c r="E440" i="10"/>
  <c r="E439" i="10"/>
  <c r="E437" i="10"/>
  <c r="E436" i="10"/>
  <c r="E435" i="10"/>
  <c r="E434" i="10"/>
  <c r="E432" i="10"/>
  <c r="E431" i="10"/>
  <c r="E430" i="10"/>
  <c r="E429" i="10"/>
  <c r="E428" i="10"/>
  <c r="E427" i="10"/>
  <c r="E426" i="10"/>
  <c r="S426" i="1" s="1"/>
  <c r="E425" i="10"/>
  <c r="E424" i="10"/>
  <c r="E423" i="10"/>
  <c r="E422" i="10"/>
  <c r="E421" i="10"/>
  <c r="E420" i="10"/>
  <c r="E419" i="10"/>
  <c r="E418" i="10"/>
  <c r="T418" i="1" s="1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7" i="10"/>
  <c r="E396" i="10"/>
  <c r="E395" i="10"/>
  <c r="E393" i="10"/>
  <c r="E379" i="10"/>
  <c r="E377" i="10"/>
  <c r="E376" i="10"/>
  <c r="S376" i="1" s="1"/>
  <c r="E375" i="10"/>
  <c r="E374" i="10"/>
  <c r="E373" i="10"/>
  <c r="E372" i="10"/>
  <c r="E371" i="10"/>
  <c r="E370" i="10"/>
  <c r="E368" i="10"/>
  <c r="E367" i="10"/>
  <c r="E366" i="10"/>
  <c r="E365" i="10"/>
  <c r="E364" i="10"/>
  <c r="E361" i="10"/>
  <c r="E360" i="10"/>
  <c r="E359" i="10"/>
  <c r="E358" i="10"/>
  <c r="E357" i="10"/>
  <c r="E356" i="10"/>
  <c r="E355" i="10"/>
  <c r="E353" i="10"/>
  <c r="E354" i="10"/>
  <c r="E351" i="10"/>
  <c r="E350" i="10"/>
  <c r="E349" i="10"/>
  <c r="E344" i="10"/>
  <c r="E129" i="10"/>
  <c r="E343" i="10"/>
  <c r="E342" i="10"/>
  <c r="E341" i="10"/>
  <c r="E339" i="10"/>
  <c r="E338" i="10"/>
  <c r="E337" i="10"/>
  <c r="E336" i="10"/>
  <c r="E335" i="10"/>
  <c r="E333" i="10"/>
  <c r="E332" i="10"/>
  <c r="E331" i="10"/>
  <c r="E329" i="10"/>
  <c r="E327" i="10"/>
  <c r="E326" i="10"/>
  <c r="S326" i="1" s="1"/>
  <c r="E325" i="10"/>
  <c r="E115" i="10"/>
  <c r="E114" i="10"/>
  <c r="E324" i="10"/>
  <c r="E111" i="10"/>
  <c r="E321" i="10"/>
  <c r="E320" i="10"/>
  <c r="E108" i="10"/>
  <c r="E319" i="10"/>
  <c r="E318" i="10"/>
  <c r="E317" i="10"/>
  <c r="E316" i="10"/>
  <c r="E315" i="10"/>
  <c r="E314" i="10"/>
  <c r="R314" i="1" s="1"/>
  <c r="AW314" i="1" s="1"/>
  <c r="E313" i="10"/>
  <c r="E312" i="10"/>
  <c r="E311" i="10"/>
  <c r="E307" i="10"/>
  <c r="E308" i="10"/>
  <c r="E302" i="10"/>
  <c r="E301" i="10"/>
  <c r="E300" i="10"/>
  <c r="E298" i="10"/>
  <c r="E297" i="10"/>
  <c r="E94" i="10"/>
  <c r="R94" i="1" s="1"/>
  <c r="AQ605" i="1" s="1"/>
  <c r="R605" i="1" s="1"/>
  <c r="AW605" i="1" s="1"/>
  <c r="E296" i="10"/>
  <c r="E295" i="10"/>
  <c r="E292" i="10"/>
  <c r="E290" i="10"/>
  <c r="E289" i="10"/>
  <c r="S289" i="1" s="1"/>
  <c r="E288" i="10"/>
  <c r="E287" i="10"/>
  <c r="E284" i="10"/>
  <c r="E283" i="10"/>
  <c r="E282" i="10"/>
  <c r="E281" i="10"/>
  <c r="E280" i="10"/>
  <c r="E279" i="10"/>
  <c r="E278" i="10"/>
  <c r="E77" i="10"/>
  <c r="S77" i="1" s="1"/>
  <c r="E271" i="10"/>
  <c r="S271" i="1" s="1"/>
  <c r="E68" i="10"/>
  <c r="E268" i="10"/>
  <c r="E266" i="10"/>
  <c r="E54" i="10"/>
  <c r="E264" i="10"/>
  <c r="E263" i="10"/>
  <c r="E262" i="10"/>
  <c r="E261" i="10"/>
  <c r="E260" i="10"/>
  <c r="E258" i="10"/>
  <c r="E256" i="10"/>
  <c r="E255" i="10"/>
  <c r="E254" i="10"/>
  <c r="E252" i="10"/>
  <c r="E251" i="10"/>
  <c r="E250" i="10"/>
  <c r="E247" i="10"/>
  <c r="E246" i="10"/>
  <c r="E245" i="10"/>
  <c r="E243" i="10"/>
  <c r="T243" i="1" s="1"/>
  <c r="AY243" i="1" s="1"/>
  <c r="E242" i="10"/>
  <c r="E240" i="10"/>
  <c r="E239" i="10"/>
  <c r="E238" i="10"/>
  <c r="E237" i="10"/>
  <c r="E236" i="10"/>
  <c r="E233" i="10"/>
  <c r="E230" i="10"/>
  <c r="E228" i="10"/>
  <c r="E227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1" i="10"/>
  <c r="E210" i="10"/>
  <c r="E209" i="10"/>
  <c r="E208" i="10"/>
  <c r="E207" i="10"/>
  <c r="S134" i="1"/>
  <c r="AT134" i="1" s="1"/>
  <c r="N54" i="1" l="1"/>
  <c r="AP54" i="1" s="1"/>
  <c r="V469" i="1"/>
  <c r="AS286" i="1"/>
  <c r="S286" i="1" s="1"/>
  <c r="AT77" i="1"/>
  <c r="N293" i="1"/>
  <c r="AP293" i="1" s="1"/>
  <c r="U469" i="1"/>
  <c r="AP105" i="1"/>
  <c r="V105" i="1"/>
  <c r="AT293" i="1"/>
  <c r="N479" i="1"/>
  <c r="AP479" i="1" s="1"/>
  <c r="N474" i="1"/>
  <c r="AP474" i="1" s="1"/>
  <c r="AP387" i="1"/>
  <c r="U387" i="1"/>
  <c r="V387" i="1"/>
  <c r="U676" i="1"/>
  <c r="AX557" i="1"/>
  <c r="AT557" i="1"/>
  <c r="N735" i="1"/>
  <c r="AP735" i="1" s="1"/>
  <c r="AY735" i="1"/>
  <c r="N291" i="1"/>
  <c r="AP291" i="1" s="1"/>
  <c r="AY291" i="1"/>
  <c r="N551" i="1"/>
  <c r="AP551" i="1" s="1"/>
  <c r="AY551" i="1"/>
  <c r="N519" i="1"/>
  <c r="AP519" i="1" s="1"/>
  <c r="AY519" i="1"/>
  <c r="AX567" i="1"/>
  <c r="AT567" i="1"/>
  <c r="N575" i="1"/>
  <c r="AP575" i="1" s="1"/>
  <c r="AY575" i="1"/>
  <c r="N591" i="1"/>
  <c r="AP591" i="1" s="1"/>
  <c r="AY591" i="1"/>
  <c r="N616" i="1"/>
  <c r="AP616" i="1" s="1"/>
  <c r="AY616" i="1"/>
  <c r="N624" i="1"/>
  <c r="AP624" i="1" s="1"/>
  <c r="AY624" i="1"/>
  <c r="N733" i="1"/>
  <c r="AP733" i="1" s="1"/>
  <c r="AY733" i="1"/>
  <c r="N234" i="1"/>
  <c r="AP234" i="1" s="1"/>
  <c r="AY234" i="1"/>
  <c r="N471" i="1"/>
  <c r="AY471" i="1"/>
  <c r="AT540" i="1"/>
  <c r="AX540" i="1"/>
  <c r="N544" i="1"/>
  <c r="AP544" i="1" s="1"/>
  <c r="AY544" i="1"/>
  <c r="N654" i="1"/>
  <c r="AP654" i="1" s="1"/>
  <c r="AY654" i="1"/>
  <c r="N310" i="1"/>
  <c r="AP310" i="1" s="1"/>
  <c r="AY310" i="1"/>
  <c r="N472" i="1"/>
  <c r="AP472" i="1" s="1"/>
  <c r="AY472" i="1"/>
  <c r="N473" i="1"/>
  <c r="AY473" i="1"/>
  <c r="N418" i="1"/>
  <c r="AP418" i="1" s="1"/>
  <c r="AY418" i="1"/>
  <c r="AX426" i="1"/>
  <c r="AT426" i="1"/>
  <c r="N489" i="1"/>
  <c r="AP489" i="1" s="1"/>
  <c r="AY489" i="1"/>
  <c r="AX524" i="1"/>
  <c r="AT524" i="1"/>
  <c r="AX705" i="1"/>
  <c r="N645" i="1"/>
  <c r="AP645" i="1" s="1"/>
  <c r="AU645" i="1"/>
  <c r="N388" i="1"/>
  <c r="AP388" i="1" s="1"/>
  <c r="AY388" i="1"/>
  <c r="T104" i="1"/>
  <c r="N104" i="1" s="1"/>
  <c r="AP104" i="1" s="1"/>
  <c r="AT289" i="1"/>
  <c r="N588" i="1"/>
  <c r="AP588" i="1" s="1"/>
  <c r="AY588" i="1"/>
  <c r="S638" i="1"/>
  <c r="N638" i="1" s="1"/>
  <c r="AP638" i="1" s="1"/>
  <c r="AW638" i="1"/>
  <c r="N714" i="1"/>
  <c r="AP714" i="1" s="1"/>
  <c r="AY714" i="1"/>
  <c r="N478" i="1"/>
  <c r="AP478" i="1" s="1"/>
  <c r="AY478" i="1"/>
  <c r="N285" i="1"/>
  <c r="AP285" i="1" s="1"/>
  <c r="AY285" i="1"/>
  <c r="N438" i="1"/>
  <c r="V438" i="1" s="1"/>
  <c r="AY438" i="1"/>
  <c r="N475" i="1"/>
  <c r="AY475" i="1"/>
  <c r="AX585" i="1"/>
  <c r="AT585" i="1"/>
  <c r="AX273" i="1"/>
  <c r="N555" i="1"/>
  <c r="AP555" i="1" s="1"/>
  <c r="AY555" i="1"/>
  <c r="N573" i="1"/>
  <c r="AP573" i="1" s="1"/>
  <c r="AY573" i="1"/>
  <c r="N589" i="1"/>
  <c r="AP589" i="1" s="1"/>
  <c r="AY589" i="1"/>
  <c r="N477" i="1"/>
  <c r="AP477" i="1" s="1"/>
  <c r="AY477" i="1"/>
  <c r="T532" i="1"/>
  <c r="P328" i="1"/>
  <c r="T173" i="1"/>
  <c r="N173" i="1" s="1"/>
  <c r="AP173" i="1" s="1"/>
  <c r="T491" i="1"/>
  <c r="P590" i="1"/>
  <c r="N590" i="1" s="1"/>
  <c r="AP590" i="1" s="1"/>
  <c r="N524" i="1"/>
  <c r="AP524" i="1" s="1"/>
  <c r="P705" i="1"/>
  <c r="AU705" i="1" s="1"/>
  <c r="N540" i="1"/>
  <c r="AP540" i="1" s="1"/>
  <c r="P585" i="1"/>
  <c r="N95" i="1"/>
  <c r="AP95" i="1" s="1"/>
  <c r="T295" i="1"/>
  <c r="T317" i="1"/>
  <c r="P333" i="1"/>
  <c r="T422" i="1"/>
  <c r="T451" i="1"/>
  <c r="T448" i="1"/>
  <c r="R223" i="1"/>
  <c r="AW223" i="1" s="1"/>
  <c r="T216" i="1"/>
  <c r="T296" i="1"/>
  <c r="T414" i="1"/>
  <c r="T467" i="1"/>
  <c r="S252" i="1"/>
  <c r="T311" i="1"/>
  <c r="T319" i="1"/>
  <c r="T325" i="1"/>
  <c r="R336" i="1"/>
  <c r="S356" i="1"/>
  <c r="T254" i="1"/>
  <c r="T337" i="1"/>
  <c r="T461" i="1"/>
  <c r="R313" i="1"/>
  <c r="T462" i="1"/>
  <c r="S211" i="1"/>
  <c r="S359" i="1"/>
  <c r="S436" i="1"/>
  <c r="T273" i="1"/>
  <c r="AY273" i="1" s="1"/>
  <c r="T258" i="1"/>
  <c r="S331" i="1"/>
  <c r="T371" i="1"/>
  <c r="T411" i="1"/>
  <c r="T428" i="1"/>
  <c r="T464" i="1"/>
  <c r="P288" i="1"/>
  <c r="AU288" i="1" s="1"/>
  <c r="P751" i="1"/>
  <c r="P675" i="1"/>
  <c r="T750" i="1"/>
  <c r="T671" i="1"/>
  <c r="S596" i="1"/>
  <c r="S656" i="1"/>
  <c r="T640" i="1"/>
  <c r="P658" i="1"/>
  <c r="P666" i="1"/>
  <c r="S674" i="1"/>
  <c r="S373" i="1"/>
  <c r="S349" i="1"/>
  <c r="S552" i="1"/>
  <c r="S546" i="1"/>
  <c r="S514" i="1"/>
  <c r="S209" i="1"/>
  <c r="T643" i="1"/>
  <c r="U644" i="1"/>
  <c r="AD644" i="1"/>
  <c r="T686" i="1"/>
  <c r="T649" i="1"/>
  <c r="T679" i="1"/>
  <c r="T687" i="1"/>
  <c r="T571" i="1"/>
  <c r="T678" i="1"/>
  <c r="S460" i="1"/>
  <c r="S178" i="1"/>
  <c r="T639" i="1"/>
  <c r="T680" i="1"/>
  <c r="T688" i="1"/>
  <c r="T130" i="1"/>
  <c r="T689" i="1"/>
  <c r="T706" i="1"/>
  <c r="T737" i="1"/>
  <c r="S435" i="1"/>
  <c r="T682" i="1"/>
  <c r="T690" i="1"/>
  <c r="T715" i="1"/>
  <c r="T652" i="1"/>
  <c r="T660" i="1"/>
  <c r="T691" i="1"/>
  <c r="T716" i="1"/>
  <c r="T724" i="1"/>
  <c r="T692" i="1"/>
  <c r="T685" i="1"/>
  <c r="T655" i="1"/>
  <c r="AS619" i="1"/>
  <c r="S619" i="1" s="1"/>
  <c r="N176" i="1"/>
  <c r="AP176" i="1" s="1"/>
  <c r="S128" i="1"/>
  <c r="AT128" i="1" s="1"/>
  <c r="S166" i="1"/>
  <c r="AT166" i="1" s="1"/>
  <c r="N452" i="1"/>
  <c r="AP452" i="1" s="1"/>
  <c r="T586" i="1"/>
  <c r="N454" i="1"/>
  <c r="AP454" i="1" s="1"/>
  <c r="S508" i="1"/>
  <c r="N457" i="1"/>
  <c r="AP457" i="1" s="1"/>
  <c r="S694" i="1"/>
  <c r="S695" i="1"/>
  <c r="T528" i="1"/>
  <c r="S412" i="1"/>
  <c r="S198" i="1"/>
  <c r="AT198" i="1" s="1"/>
  <c r="S197" i="1"/>
  <c r="AT197" i="1" s="1"/>
  <c r="R192" i="1"/>
  <c r="S446" i="1"/>
  <c r="T159" i="1"/>
  <c r="T157" i="1"/>
  <c r="S155" i="1"/>
  <c r="S151" i="1"/>
  <c r="AS391" i="1" s="1"/>
  <c r="AT391" i="1" s="1"/>
  <c r="R369" i="1"/>
  <c r="S138" i="1"/>
  <c r="AT138" i="1" s="1"/>
  <c r="S127" i="1"/>
  <c r="S118" i="1"/>
  <c r="AT118" i="1" s="1"/>
  <c r="S117" i="1"/>
  <c r="AT117" i="1" s="1"/>
  <c r="S103" i="1"/>
  <c r="AT103" i="1" s="1"/>
  <c r="S101" i="1"/>
  <c r="R91" i="1"/>
  <c r="S115" i="1" s="1"/>
  <c r="AT115" i="1" s="1"/>
  <c r="S89" i="1"/>
  <c r="AT89" i="1" s="1"/>
  <c r="S67" i="1"/>
  <c r="AT67" i="1" s="1"/>
  <c r="S58" i="1"/>
  <c r="AT58" i="1" s="1"/>
  <c r="R52" i="1"/>
  <c r="S41" i="1"/>
  <c r="AT41" i="1" s="1"/>
  <c r="S219" i="1"/>
  <c r="S221" i="1"/>
  <c r="S227" i="1"/>
  <c r="S236" i="1"/>
  <c r="S238" i="1"/>
  <c r="S240" i="1"/>
  <c r="S246" i="1"/>
  <c r="S250" i="1"/>
  <c r="AT250" i="1" s="1"/>
  <c r="S261" i="1"/>
  <c r="S263" i="1"/>
  <c r="R279" i="1"/>
  <c r="AW279" i="1" s="1"/>
  <c r="S281" i="1"/>
  <c r="R283" i="1"/>
  <c r="AW283" i="1" s="1"/>
  <c r="R287" i="1"/>
  <c r="AW287" i="1" s="1"/>
  <c r="S307" i="1"/>
  <c r="S314" i="1"/>
  <c r="R316" i="1"/>
  <c r="AW316" i="1" s="1"/>
  <c r="S321" i="1"/>
  <c r="R332" i="1"/>
  <c r="AW332" i="1" s="1"/>
  <c r="R335" i="1"/>
  <c r="AW335" i="1" s="1"/>
  <c r="R129" i="1"/>
  <c r="S355" i="1"/>
  <c r="S357" i="1"/>
  <c r="S361" i="1"/>
  <c r="S365" i="1"/>
  <c r="S367" i="1"/>
  <c r="S370" i="1"/>
  <c r="S372" i="1"/>
  <c r="S379" i="1"/>
  <c r="S395" i="1"/>
  <c r="S397" i="1"/>
  <c r="S400" i="1"/>
  <c r="S402" i="1"/>
  <c r="S404" i="1"/>
  <c r="S408" i="1"/>
  <c r="S415" i="1"/>
  <c r="S421" i="1"/>
  <c r="S423" i="1"/>
  <c r="S425" i="1"/>
  <c r="S429" i="1"/>
  <c r="S431" i="1"/>
  <c r="S434" i="1"/>
  <c r="S453" i="1"/>
  <c r="S191" i="1"/>
  <c r="AT191" i="1" s="1"/>
  <c r="S484" i="1"/>
  <c r="S486" i="1"/>
  <c r="S500" i="1"/>
  <c r="S513" i="1"/>
  <c r="S521" i="1"/>
  <c r="T523" i="1"/>
  <c r="S527" i="1"/>
  <c r="S529" i="1"/>
  <c r="S531" i="1"/>
  <c r="S533" i="1"/>
  <c r="S548" i="1"/>
  <c r="S550" i="1"/>
  <c r="S554" i="1"/>
  <c r="S559" i="1"/>
  <c r="P561" i="1"/>
  <c r="S563" i="1"/>
  <c r="S565" i="1"/>
  <c r="S569" i="1"/>
  <c r="S577" i="1"/>
  <c r="S579" i="1"/>
  <c r="S599" i="1"/>
  <c r="R601" i="1"/>
  <c r="S605" i="1"/>
  <c r="S607" i="1"/>
  <c r="S623" i="1"/>
  <c r="R629" i="1"/>
  <c r="S631" i="1"/>
  <c r="P633" i="1"/>
  <c r="S651" i="1"/>
  <c r="S718" i="1"/>
  <c r="S720" i="1"/>
  <c r="S722" i="1"/>
  <c r="T726" i="1"/>
  <c r="T728" i="1"/>
  <c r="T730" i="1"/>
  <c r="S201" i="1"/>
  <c r="AT201" i="1" s="1"/>
  <c r="S194" i="1"/>
  <c r="AT194" i="1" s="1"/>
  <c r="S439" i="1"/>
  <c r="S169" i="1"/>
  <c r="AT169" i="1" s="1"/>
  <c r="S156" i="1"/>
  <c r="AT156" i="1" s="1"/>
  <c r="S154" i="1"/>
  <c r="AT154" i="1" s="1"/>
  <c r="S150" i="1"/>
  <c r="S122" i="1"/>
  <c r="R119" i="1"/>
  <c r="S139" i="1" s="1"/>
  <c r="S102" i="1"/>
  <c r="AT102" i="1" s="1"/>
  <c r="S100" i="1"/>
  <c r="S93" i="1"/>
  <c r="S86" i="1"/>
  <c r="AT86" i="1" s="1"/>
  <c r="S81" i="1"/>
  <c r="AT81" i="1" s="1"/>
  <c r="S72" i="1"/>
  <c r="S66" i="1"/>
  <c r="S39" i="1"/>
  <c r="AT39" i="1" s="1"/>
  <c r="R30" i="1"/>
  <c r="S24" i="1"/>
  <c r="AT24" i="1" s="1"/>
  <c r="S20" i="1"/>
  <c r="AT20" i="1" s="1"/>
  <c r="S207" i="1"/>
  <c r="S220" i="1"/>
  <c r="S222" i="1"/>
  <c r="S228" i="1"/>
  <c r="S233" i="1"/>
  <c r="S237" i="1"/>
  <c r="S239" i="1"/>
  <c r="S242" i="1"/>
  <c r="S245" i="1"/>
  <c r="S247" i="1"/>
  <c r="S251" i="1"/>
  <c r="S256" i="1"/>
  <c r="S260" i="1"/>
  <c r="S262" i="1"/>
  <c r="S264" i="1"/>
  <c r="R68" i="1"/>
  <c r="S282" i="1"/>
  <c r="S298" i="1"/>
  <c r="S301" i="1"/>
  <c r="N303" i="1"/>
  <c r="AP303" i="1" s="1"/>
  <c r="R320" i="1"/>
  <c r="AW320" i="1" s="1"/>
  <c r="S111" i="1"/>
  <c r="R327" i="1"/>
  <c r="AW327" i="1" s="1"/>
  <c r="S341" i="1"/>
  <c r="S358" i="1"/>
  <c r="S364" i="1"/>
  <c r="S366" i="1"/>
  <c r="S368" i="1"/>
  <c r="S375" i="1"/>
  <c r="S377" i="1"/>
  <c r="S393" i="1"/>
  <c r="S399" i="1"/>
  <c r="S401" i="1"/>
  <c r="S403" i="1"/>
  <c r="S405" i="1"/>
  <c r="S409" i="1"/>
  <c r="S416" i="1"/>
  <c r="S420" i="1"/>
  <c r="S424" i="1"/>
  <c r="S430" i="1"/>
  <c r="S432" i="1"/>
  <c r="S456" i="1"/>
  <c r="S458" i="1"/>
  <c r="S481" i="1"/>
  <c r="S483" i="1"/>
  <c r="S485" i="1"/>
  <c r="T487" i="1"/>
  <c r="AY487" i="1" s="1"/>
  <c r="S493" i="1"/>
  <c r="S497" i="1"/>
  <c r="S505" i="1"/>
  <c r="S509" i="1"/>
  <c r="S512" i="1"/>
  <c r="S526" i="1"/>
  <c r="S530" i="1"/>
  <c r="S535" i="1"/>
  <c r="S539" i="1"/>
  <c r="S543" i="1"/>
  <c r="S545" i="1"/>
  <c r="P558" i="1"/>
  <c r="P560" i="1"/>
  <c r="S562" i="1"/>
  <c r="S564" i="1"/>
  <c r="S566" i="1"/>
  <c r="S568" i="1"/>
  <c r="S570" i="1"/>
  <c r="R578" i="1"/>
  <c r="AW578" i="1" s="1"/>
  <c r="S582" i="1"/>
  <c r="R600" i="1"/>
  <c r="S602" i="1"/>
  <c r="S604" i="1"/>
  <c r="S606" i="1"/>
  <c r="S608" i="1"/>
  <c r="R610" i="1"/>
  <c r="S618" i="1"/>
  <c r="S620" i="1"/>
  <c r="S626" i="1"/>
  <c r="S628" i="1"/>
  <c r="S630" i="1"/>
  <c r="N646" i="1"/>
  <c r="AP646" i="1" s="1"/>
  <c r="S663" i="1"/>
  <c r="R665" i="1"/>
  <c r="S669" i="1"/>
  <c r="S697" i="1"/>
  <c r="S711" i="1"/>
  <c r="S719" i="1"/>
  <c r="S721" i="1"/>
  <c r="T725" i="1"/>
  <c r="T727" i="1"/>
  <c r="T729" i="1"/>
  <c r="S132" i="1"/>
  <c r="T553" i="1"/>
  <c r="S160" i="1"/>
  <c r="S190" i="1"/>
  <c r="AT190" i="1" s="1"/>
  <c r="R136" i="1"/>
  <c r="S152" i="1" s="1"/>
  <c r="AT152" i="1" s="1"/>
  <c r="S98" i="1"/>
  <c r="AT98" i="1" s="1"/>
  <c r="T488" i="1"/>
  <c r="S189" i="1"/>
  <c r="AT189" i="1" s="1"/>
  <c r="S133" i="1"/>
  <c r="AT133" i="1" s="1"/>
  <c r="T21" i="1"/>
  <c r="S43" i="1"/>
  <c r="T35" i="1"/>
  <c r="S82" i="1"/>
  <c r="AT82" i="1" s="1"/>
  <c r="R34" i="1"/>
  <c r="S62" i="1"/>
  <c r="S49" i="1"/>
  <c r="AT49" i="1" s="1"/>
  <c r="R235" i="1"/>
  <c r="N69" i="1"/>
  <c r="AP69" i="1" s="1"/>
  <c r="S60" i="1"/>
  <c r="AT60" i="1" s="1"/>
  <c r="S659" i="1"/>
  <c r="AA644" i="1"/>
  <c r="E757" i="10"/>
  <c r="R609" i="1"/>
  <c r="AW609" i="1" s="1"/>
  <c r="R611" i="1"/>
  <c r="P617" i="1"/>
  <c r="AU617" i="1" s="1"/>
  <c r="S621" i="1"/>
  <c r="S662" i="1"/>
  <c r="S664" i="1"/>
  <c r="S668" i="1"/>
  <c r="S670" i="1"/>
  <c r="S672" i="1"/>
  <c r="N696" i="1"/>
  <c r="AP696" i="1" s="1"/>
  <c r="S702" i="1"/>
  <c r="S732" i="1"/>
  <c r="S738" i="1"/>
  <c r="S740" i="1"/>
  <c r="S742" i="1"/>
  <c r="R744" i="1"/>
  <c r="AW744" i="1" s="1"/>
  <c r="R342" i="1"/>
  <c r="R482" i="1"/>
  <c r="AW482" i="1" s="1"/>
  <c r="T70" i="1"/>
  <c r="R278" i="1"/>
  <c r="AW278" i="1" s="1"/>
  <c r="S280" i="1"/>
  <c r="R315" i="1"/>
  <c r="R632" i="1"/>
  <c r="AW632" i="1" s="1"/>
  <c r="S657" i="1"/>
  <c r="S661" i="1"/>
  <c r="S667" i="1"/>
  <c r="S673" i="1"/>
  <c r="S703" i="1"/>
  <c r="S717" i="1"/>
  <c r="S731" i="1"/>
  <c r="S739" i="1"/>
  <c r="S741" i="1"/>
  <c r="S743" i="1"/>
  <c r="S745" i="1"/>
  <c r="S747" i="1"/>
  <c r="E756" i="10"/>
  <c r="R756" i="10" s="1"/>
  <c r="R90" i="1"/>
  <c r="S195" i="1"/>
  <c r="AT195" i="1" s="1"/>
  <c r="S193" i="1"/>
  <c r="AT193" i="1" s="1"/>
  <c r="R23" i="1"/>
  <c r="U293" i="1" l="1"/>
  <c r="V293" i="1"/>
  <c r="S44" i="1"/>
  <c r="AT44" i="1" s="1"/>
  <c r="S51" i="1"/>
  <c r="N51" i="1" s="1"/>
  <c r="AP51" i="1" s="1"/>
  <c r="AT150" i="1"/>
  <c r="AS390" i="1"/>
  <c r="AT139" i="1"/>
  <c r="AS355" i="1"/>
  <c r="AT355" i="1" s="1"/>
  <c r="AT132" i="1"/>
  <c r="AS346" i="1"/>
  <c r="AT346" i="1" s="1"/>
  <c r="AT127" i="1"/>
  <c r="AS347" i="1"/>
  <c r="AT347" i="1" s="1"/>
  <c r="V479" i="1"/>
  <c r="AT286" i="1"/>
  <c r="P286" i="1"/>
  <c r="T286" i="1" s="1"/>
  <c r="N286" i="1" s="1"/>
  <c r="AT72" i="1"/>
  <c r="AS275" i="1"/>
  <c r="AT275" i="1" s="1"/>
  <c r="U645" i="1"/>
  <c r="U555" i="1"/>
  <c r="V310" i="1"/>
  <c r="U519" i="1"/>
  <c r="V418" i="1"/>
  <c r="U616" i="1"/>
  <c r="U714" i="1"/>
  <c r="U310" i="1"/>
  <c r="U479" i="1"/>
  <c r="U589" i="1"/>
  <c r="V388" i="1"/>
  <c r="U474" i="1"/>
  <c r="U575" i="1"/>
  <c r="U544" i="1"/>
  <c r="U733" i="1"/>
  <c r="U489" i="1"/>
  <c r="V291" i="1"/>
  <c r="U291" i="1"/>
  <c r="V478" i="1"/>
  <c r="U478" i="1"/>
  <c r="U588" i="1"/>
  <c r="U418" i="1"/>
  <c r="V474" i="1"/>
  <c r="U388" i="1"/>
  <c r="U735" i="1"/>
  <c r="U472" i="1"/>
  <c r="U624" i="1"/>
  <c r="AX446" i="1"/>
  <c r="AT446" i="1"/>
  <c r="U551" i="1"/>
  <c r="U573" i="1"/>
  <c r="U234" i="1"/>
  <c r="AX439" i="1"/>
  <c r="AT439" i="1"/>
  <c r="T751" i="1"/>
  <c r="AU751" i="1"/>
  <c r="U591" i="1"/>
  <c r="V234" i="1"/>
  <c r="V285" i="1"/>
  <c r="V472" i="1"/>
  <c r="U654" i="1"/>
  <c r="U285" i="1"/>
  <c r="U438" i="1"/>
  <c r="U477" i="1"/>
  <c r="AX667" i="1"/>
  <c r="AT667" i="1"/>
  <c r="AX602" i="1"/>
  <c r="AT602" i="1"/>
  <c r="N523" i="1"/>
  <c r="AP523" i="1" s="1"/>
  <c r="AY523" i="1"/>
  <c r="N679" i="1"/>
  <c r="AP679" i="1" s="1"/>
  <c r="AY679" i="1"/>
  <c r="N414" i="1"/>
  <c r="AP414" i="1" s="1"/>
  <c r="AY414" i="1"/>
  <c r="AX628" i="1"/>
  <c r="AT628" i="1"/>
  <c r="AX375" i="1"/>
  <c r="AT375" i="1"/>
  <c r="AX559" i="1"/>
  <c r="AT559" i="1"/>
  <c r="T444" i="1"/>
  <c r="AY444" i="1" s="1"/>
  <c r="AX434" i="1"/>
  <c r="AT434" i="1"/>
  <c r="AX227" i="1"/>
  <c r="AT227" i="1"/>
  <c r="N586" i="1"/>
  <c r="AP586" i="1" s="1"/>
  <c r="AY586" i="1"/>
  <c r="N715" i="1"/>
  <c r="AP715" i="1" s="1"/>
  <c r="AY715" i="1"/>
  <c r="N688" i="1"/>
  <c r="AP688" i="1" s="1"/>
  <c r="AY688" i="1"/>
  <c r="N643" i="1"/>
  <c r="AP643" i="1" s="1"/>
  <c r="AY643" i="1"/>
  <c r="T666" i="1"/>
  <c r="AU666" i="1"/>
  <c r="N254" i="1"/>
  <c r="AP254" i="1" s="1"/>
  <c r="AY254" i="1"/>
  <c r="N333" i="1"/>
  <c r="AP333" i="1" s="1"/>
  <c r="AU333" i="1"/>
  <c r="S328" i="1"/>
  <c r="T328" i="1" s="1"/>
  <c r="AU328" i="1"/>
  <c r="AX743" i="1"/>
  <c r="AT743" i="1"/>
  <c r="AX661" i="1"/>
  <c r="AT661" i="1"/>
  <c r="S360" i="1"/>
  <c r="N360" i="1" s="1"/>
  <c r="AP360" i="1" s="1"/>
  <c r="AW342" i="1"/>
  <c r="AX672" i="1"/>
  <c r="AT672" i="1"/>
  <c r="T289" i="1"/>
  <c r="N289" i="1" s="1"/>
  <c r="AP289" i="1" s="1"/>
  <c r="AT62" i="1"/>
  <c r="T180" i="1"/>
  <c r="N180" i="1" s="1"/>
  <c r="AP180" i="1" s="1"/>
  <c r="AT160" i="1"/>
  <c r="AX711" i="1"/>
  <c r="AX626" i="1"/>
  <c r="AT626" i="1"/>
  <c r="S600" i="1"/>
  <c r="N600" i="1" s="1"/>
  <c r="AP600" i="1" s="1"/>
  <c r="AW600" i="1"/>
  <c r="N560" i="1"/>
  <c r="AP560" i="1" s="1"/>
  <c r="AU560" i="1"/>
  <c r="AX512" i="1"/>
  <c r="AT512" i="1"/>
  <c r="AX481" i="1"/>
  <c r="AT481" i="1"/>
  <c r="AX409" i="1"/>
  <c r="AT409" i="1"/>
  <c r="AX368" i="1"/>
  <c r="AT368" i="1"/>
  <c r="AX256" i="1"/>
  <c r="AX228" i="1"/>
  <c r="AT228" i="1"/>
  <c r="AS595" i="1"/>
  <c r="S595" i="1" s="1"/>
  <c r="AT66" i="1"/>
  <c r="T142" i="1"/>
  <c r="N142" i="1" s="1"/>
  <c r="AP142" i="1" s="1"/>
  <c r="AT122" i="1"/>
  <c r="AX599" i="1"/>
  <c r="AT599" i="1"/>
  <c r="AX554" i="1"/>
  <c r="AT554" i="1"/>
  <c r="AX521" i="1"/>
  <c r="AT521" i="1"/>
  <c r="AX431" i="1"/>
  <c r="AT431" i="1"/>
  <c r="T413" i="1"/>
  <c r="AX402" i="1"/>
  <c r="AT402" i="1"/>
  <c r="AX365" i="1"/>
  <c r="AT365" i="1"/>
  <c r="AX321" i="1"/>
  <c r="AT321" i="1"/>
  <c r="AX263" i="1"/>
  <c r="AT263" i="1"/>
  <c r="AX221" i="1"/>
  <c r="AT221" i="1"/>
  <c r="T125" i="1"/>
  <c r="N125" i="1" s="1"/>
  <c r="AP125" i="1" s="1"/>
  <c r="AT101" i="1"/>
  <c r="AS421" i="1"/>
  <c r="AT421" i="1" s="1"/>
  <c r="AT151" i="1"/>
  <c r="AX412" i="1"/>
  <c r="AT412" i="1"/>
  <c r="N685" i="1"/>
  <c r="AP685" i="1" s="1"/>
  <c r="AY685" i="1"/>
  <c r="N690" i="1"/>
  <c r="AP690" i="1" s="1"/>
  <c r="AY690" i="1"/>
  <c r="N680" i="1"/>
  <c r="AP680" i="1" s="1"/>
  <c r="AY680" i="1"/>
  <c r="N649" i="1"/>
  <c r="AP649" i="1" s="1"/>
  <c r="AY649" i="1"/>
  <c r="AX209" i="1"/>
  <c r="AT209" i="1"/>
  <c r="N658" i="1"/>
  <c r="AP658" i="1" s="1"/>
  <c r="AU658" i="1"/>
  <c r="AX436" i="1"/>
  <c r="AT436" i="1"/>
  <c r="AX356" i="1"/>
  <c r="AT356" i="1"/>
  <c r="N317" i="1"/>
  <c r="AP317" i="1" s="1"/>
  <c r="AY317" i="1"/>
  <c r="U524" i="1"/>
  <c r="AP471" i="1"/>
  <c r="U471" i="1"/>
  <c r="V471" i="1"/>
  <c r="AX719" i="1"/>
  <c r="AT719" i="1"/>
  <c r="AX416" i="1"/>
  <c r="AT416" i="1"/>
  <c r="AX651" i="1"/>
  <c r="AT651" i="1"/>
  <c r="AX326" i="1"/>
  <c r="AT326" i="1"/>
  <c r="AX657" i="1"/>
  <c r="AT657" i="1"/>
  <c r="AX582" i="1"/>
  <c r="AT582" i="1"/>
  <c r="AX405" i="1"/>
  <c r="AT405" i="1"/>
  <c r="AX513" i="1"/>
  <c r="AT513" i="1"/>
  <c r="AX361" i="1"/>
  <c r="AT361" i="1"/>
  <c r="AX219" i="1"/>
  <c r="AT219" i="1"/>
  <c r="N682" i="1"/>
  <c r="AP682" i="1" s="1"/>
  <c r="AY682" i="1"/>
  <c r="AX514" i="1"/>
  <c r="AT514" i="1"/>
  <c r="AX271" i="1"/>
  <c r="AX742" i="1"/>
  <c r="AT742" i="1"/>
  <c r="N488" i="1"/>
  <c r="AP488" i="1" s="1"/>
  <c r="AY488" i="1"/>
  <c r="AX669" i="1"/>
  <c r="AT669" i="1"/>
  <c r="AX618" i="1"/>
  <c r="AT618" i="1"/>
  <c r="AX545" i="1"/>
  <c r="AT545" i="1"/>
  <c r="AX505" i="1"/>
  <c r="AT505" i="1"/>
  <c r="AX456" i="1"/>
  <c r="AT456" i="1"/>
  <c r="AX403" i="1"/>
  <c r="AT403" i="1"/>
  <c r="AX364" i="1"/>
  <c r="AT364" i="1"/>
  <c r="AX298" i="1"/>
  <c r="AT298" i="1"/>
  <c r="AX247" i="1"/>
  <c r="AT247" i="1"/>
  <c r="AX220" i="1"/>
  <c r="AT220" i="1"/>
  <c r="N728" i="1"/>
  <c r="AP728" i="1" s="1"/>
  <c r="AY728" i="1"/>
  <c r="AX631" i="1"/>
  <c r="AX577" i="1"/>
  <c r="AT577" i="1"/>
  <c r="AX548" i="1"/>
  <c r="AT548" i="1"/>
  <c r="N500" i="1"/>
  <c r="AP500" i="1" s="1"/>
  <c r="AX500" i="1"/>
  <c r="AT500" i="1"/>
  <c r="AX425" i="1"/>
  <c r="AT425" i="1"/>
  <c r="AX397" i="1"/>
  <c r="AT397" i="1"/>
  <c r="AX357" i="1"/>
  <c r="AT357" i="1"/>
  <c r="AX314" i="1"/>
  <c r="AT314" i="1"/>
  <c r="AX695" i="1"/>
  <c r="N724" i="1"/>
  <c r="AP724" i="1" s="1"/>
  <c r="AY724" i="1"/>
  <c r="AX435" i="1"/>
  <c r="AT435" i="1"/>
  <c r="T178" i="1"/>
  <c r="N178" i="1" s="1"/>
  <c r="AP178" i="1" s="1"/>
  <c r="AT178" i="1"/>
  <c r="AX546" i="1"/>
  <c r="AT546" i="1"/>
  <c r="AX656" i="1"/>
  <c r="N428" i="1"/>
  <c r="AP428" i="1" s="1"/>
  <c r="AY428" i="1"/>
  <c r="AX211" i="1"/>
  <c r="AT211" i="1"/>
  <c r="N325" i="1"/>
  <c r="AP325" i="1" s="1"/>
  <c r="AY325" i="1"/>
  <c r="N216" i="1"/>
  <c r="AP216" i="1" s="1"/>
  <c r="AY216" i="1"/>
  <c r="N532" i="1"/>
  <c r="U532" i="1" s="1"/>
  <c r="AY532" i="1"/>
  <c r="AX745" i="1"/>
  <c r="AT745" i="1"/>
  <c r="T144" i="1"/>
  <c r="N144" i="1" s="1"/>
  <c r="AP144" i="1" s="1"/>
  <c r="S601" i="1"/>
  <c r="N601" i="1" s="1"/>
  <c r="AP601" i="1" s="1"/>
  <c r="AW601" i="1"/>
  <c r="AX670" i="1"/>
  <c r="AT670" i="1"/>
  <c r="AX697" i="1"/>
  <c r="AT697" i="1"/>
  <c r="AX458" i="1"/>
  <c r="AT458" i="1"/>
  <c r="AX251" i="1"/>
  <c r="AT251" i="1"/>
  <c r="N633" i="1"/>
  <c r="AP633" i="1" s="1"/>
  <c r="AU633" i="1"/>
  <c r="N686" i="1"/>
  <c r="AP686" i="1" s="1"/>
  <c r="AY686" i="1"/>
  <c r="AX739" i="1"/>
  <c r="AT739" i="1"/>
  <c r="AX668" i="1"/>
  <c r="AT668" i="1"/>
  <c r="AX731" i="1"/>
  <c r="AT731" i="1"/>
  <c r="S329" i="1"/>
  <c r="N329" i="1" s="1"/>
  <c r="AP329" i="1" s="1"/>
  <c r="AW315" i="1"/>
  <c r="AX740" i="1"/>
  <c r="AT740" i="1"/>
  <c r="AX664" i="1"/>
  <c r="AT664" i="1"/>
  <c r="AX659" i="1"/>
  <c r="N729" i="1"/>
  <c r="AP729" i="1" s="1"/>
  <c r="AY729" i="1"/>
  <c r="S665" i="1"/>
  <c r="N665" i="1" s="1"/>
  <c r="AP665" i="1" s="1"/>
  <c r="AW665" i="1"/>
  <c r="S610" i="1"/>
  <c r="N610" i="1" s="1"/>
  <c r="AP610" i="1" s="1"/>
  <c r="AW610" i="1"/>
  <c r="AX570" i="1"/>
  <c r="AT570" i="1"/>
  <c r="AX543" i="1"/>
  <c r="AT543" i="1"/>
  <c r="AX497" i="1"/>
  <c r="AT497" i="1"/>
  <c r="AX432" i="1"/>
  <c r="AT432" i="1"/>
  <c r="AX401" i="1"/>
  <c r="AT401" i="1"/>
  <c r="AX358" i="1"/>
  <c r="AT358" i="1"/>
  <c r="AX282" i="1"/>
  <c r="AT282" i="1"/>
  <c r="AX245" i="1"/>
  <c r="AT245" i="1"/>
  <c r="AX207" i="1"/>
  <c r="AT207" i="1"/>
  <c r="N726" i="1"/>
  <c r="AP726" i="1" s="1"/>
  <c r="AY726" i="1"/>
  <c r="S629" i="1"/>
  <c r="N629" i="1" s="1"/>
  <c r="AP629" i="1" s="1"/>
  <c r="AW629" i="1"/>
  <c r="AX569" i="1"/>
  <c r="AT569" i="1"/>
  <c r="AX533" i="1"/>
  <c r="AT533" i="1"/>
  <c r="AX486" i="1"/>
  <c r="AT486" i="1"/>
  <c r="AX423" i="1"/>
  <c r="AX395" i="1"/>
  <c r="AT395" i="1"/>
  <c r="AX355" i="1"/>
  <c r="AX307" i="1"/>
  <c r="AX246" i="1"/>
  <c r="AT246" i="1"/>
  <c r="AX694" i="1"/>
  <c r="AT694" i="1"/>
  <c r="N716" i="1"/>
  <c r="AP716" i="1" s="1"/>
  <c r="AY716" i="1"/>
  <c r="N737" i="1"/>
  <c r="AP737" i="1" s="1"/>
  <c r="AY737" i="1"/>
  <c r="AX460" i="1"/>
  <c r="AT460" i="1"/>
  <c r="AX552" i="1"/>
  <c r="AT552" i="1"/>
  <c r="T598" i="1"/>
  <c r="AX596" i="1"/>
  <c r="AT596" i="1"/>
  <c r="N411" i="1"/>
  <c r="AP411" i="1" s="1"/>
  <c r="AY411" i="1"/>
  <c r="N462" i="1"/>
  <c r="AP462" i="1" s="1"/>
  <c r="AY462" i="1"/>
  <c r="N319" i="1"/>
  <c r="AP319" i="1" s="1"/>
  <c r="AY319" i="1"/>
  <c r="N491" i="1"/>
  <c r="U491" i="1" s="1"/>
  <c r="AY491" i="1"/>
  <c r="V477" i="1"/>
  <c r="AX526" i="1"/>
  <c r="AT526" i="1"/>
  <c r="AX367" i="1"/>
  <c r="AT367" i="1"/>
  <c r="AX741" i="1"/>
  <c r="AT741" i="1"/>
  <c r="AX509" i="1"/>
  <c r="AT509" i="1"/>
  <c r="AX550" i="1"/>
  <c r="AT550" i="1"/>
  <c r="AX400" i="1"/>
  <c r="AT400" i="1"/>
  <c r="AX261" i="1"/>
  <c r="AT261" i="1"/>
  <c r="T175" i="1"/>
  <c r="N175" i="1" s="1"/>
  <c r="AP175" i="1" s="1"/>
  <c r="AT155" i="1"/>
  <c r="N639" i="1"/>
  <c r="AP639" i="1" s="1"/>
  <c r="AY639" i="1"/>
  <c r="N464" i="1"/>
  <c r="AP464" i="1" s="1"/>
  <c r="AY464" i="1"/>
  <c r="S353" i="1"/>
  <c r="AW336" i="1"/>
  <c r="AX717" i="1"/>
  <c r="AT717" i="1"/>
  <c r="AX280" i="1"/>
  <c r="AT280" i="1"/>
  <c r="AX738" i="1"/>
  <c r="AT738" i="1"/>
  <c r="AX662" i="1"/>
  <c r="AT662" i="1"/>
  <c r="T63" i="1"/>
  <c r="N63" i="1" s="1"/>
  <c r="AP63" i="1" s="1"/>
  <c r="AT43" i="1"/>
  <c r="AS312" i="1"/>
  <c r="N727" i="1"/>
  <c r="AP727" i="1" s="1"/>
  <c r="AY727" i="1"/>
  <c r="AX663" i="1"/>
  <c r="AT663" i="1"/>
  <c r="AX608" i="1"/>
  <c r="AT608" i="1"/>
  <c r="AX568" i="1"/>
  <c r="AT568" i="1"/>
  <c r="AX539" i="1"/>
  <c r="AT539" i="1"/>
  <c r="AX493" i="1"/>
  <c r="AX430" i="1"/>
  <c r="AT430" i="1"/>
  <c r="T410" i="1"/>
  <c r="AX399" i="1"/>
  <c r="AT399" i="1"/>
  <c r="AX341" i="1"/>
  <c r="AT341" i="1"/>
  <c r="AQ593" i="1"/>
  <c r="AW68" i="1"/>
  <c r="AX242" i="1"/>
  <c r="AT242" i="1"/>
  <c r="N93" i="1"/>
  <c r="AP93" i="1" s="1"/>
  <c r="AT93" i="1"/>
  <c r="T183" i="1"/>
  <c r="N183" i="1" s="1"/>
  <c r="AP183" i="1" s="1"/>
  <c r="AX722" i="1"/>
  <c r="AT722" i="1"/>
  <c r="AX623" i="1"/>
  <c r="AT623" i="1"/>
  <c r="AX565" i="1"/>
  <c r="AT565" i="1"/>
  <c r="AX531" i="1"/>
  <c r="AT531" i="1"/>
  <c r="AX484" i="1"/>
  <c r="AT484" i="1"/>
  <c r="AX421" i="1"/>
  <c r="AX379" i="1"/>
  <c r="AT379" i="1"/>
  <c r="AX240" i="1"/>
  <c r="AT240" i="1"/>
  <c r="N691" i="1"/>
  <c r="AP691" i="1" s="1"/>
  <c r="AY691" i="1"/>
  <c r="N706" i="1"/>
  <c r="AP706" i="1" s="1"/>
  <c r="AY706" i="1"/>
  <c r="N678" i="1"/>
  <c r="AP678" i="1" s="1"/>
  <c r="AY678" i="1"/>
  <c r="AX349" i="1"/>
  <c r="AT349" i="1"/>
  <c r="N671" i="1"/>
  <c r="AP671" i="1" s="1"/>
  <c r="AY671" i="1"/>
  <c r="N371" i="1"/>
  <c r="AP371" i="1" s="1"/>
  <c r="AY371" i="1"/>
  <c r="S313" i="1"/>
  <c r="N313" i="1" s="1"/>
  <c r="AP313" i="1" s="1"/>
  <c r="AW313" i="1"/>
  <c r="N311" i="1"/>
  <c r="AP311" i="1" s="1"/>
  <c r="AY311" i="1"/>
  <c r="N448" i="1"/>
  <c r="AP448" i="1" s="1"/>
  <c r="AY448" i="1"/>
  <c r="AP475" i="1"/>
  <c r="U475" i="1"/>
  <c r="V475" i="1"/>
  <c r="AP473" i="1"/>
  <c r="U473" i="1"/>
  <c r="V473" i="1"/>
  <c r="S613" i="1"/>
  <c r="N613" i="1" s="1"/>
  <c r="AP613" i="1" s="1"/>
  <c r="AW611" i="1"/>
  <c r="AX562" i="1"/>
  <c r="AT562" i="1"/>
  <c r="AX260" i="1"/>
  <c r="AT260" i="1"/>
  <c r="AX404" i="1"/>
  <c r="AT404" i="1"/>
  <c r="AX620" i="1"/>
  <c r="AT620" i="1"/>
  <c r="AX301" i="1"/>
  <c r="AT301" i="1"/>
  <c r="AX579" i="1"/>
  <c r="AT579" i="1"/>
  <c r="N528" i="1"/>
  <c r="AP528" i="1" s="1"/>
  <c r="AY528" i="1"/>
  <c r="AX703" i="1"/>
  <c r="AX732" i="1"/>
  <c r="AT732" i="1"/>
  <c r="AX621" i="1"/>
  <c r="AT621" i="1"/>
  <c r="N77" i="1"/>
  <c r="AP77" i="1" s="1"/>
  <c r="AT55" i="1"/>
  <c r="N725" i="1"/>
  <c r="AP725" i="1" s="1"/>
  <c r="AY725" i="1"/>
  <c r="AX606" i="1"/>
  <c r="AT606" i="1"/>
  <c r="AX566" i="1"/>
  <c r="AT566" i="1"/>
  <c r="AX535" i="1"/>
  <c r="AT535" i="1"/>
  <c r="AX424" i="1"/>
  <c r="AT424" i="1"/>
  <c r="AX393" i="1"/>
  <c r="AT393" i="1"/>
  <c r="AX264" i="1"/>
  <c r="AT264" i="1"/>
  <c r="AX239" i="1"/>
  <c r="AT239" i="1"/>
  <c r="AS322" i="1"/>
  <c r="S322" i="1" s="1"/>
  <c r="AT100" i="1"/>
  <c r="AX720" i="1"/>
  <c r="AX607" i="1"/>
  <c r="AT607" i="1"/>
  <c r="AX563" i="1"/>
  <c r="AT563" i="1"/>
  <c r="AX529" i="1"/>
  <c r="AT529" i="1"/>
  <c r="AX415" i="1"/>
  <c r="AT415" i="1"/>
  <c r="AX372" i="1"/>
  <c r="AT372" i="1"/>
  <c r="AX238" i="1"/>
  <c r="AX508" i="1"/>
  <c r="AT508" i="1"/>
  <c r="N660" i="1"/>
  <c r="AP660" i="1" s="1"/>
  <c r="AY660" i="1"/>
  <c r="N689" i="1"/>
  <c r="AP689" i="1" s="1"/>
  <c r="AY689" i="1"/>
  <c r="N571" i="1"/>
  <c r="AP571" i="1" s="1"/>
  <c r="AY571" i="1"/>
  <c r="AX373" i="1"/>
  <c r="AT373" i="1"/>
  <c r="N750" i="1"/>
  <c r="AP750" i="1" s="1"/>
  <c r="AY750" i="1"/>
  <c r="AX331" i="1"/>
  <c r="N461" i="1"/>
  <c r="AP461" i="1" s="1"/>
  <c r="AY461" i="1"/>
  <c r="AX252" i="1"/>
  <c r="AT252" i="1"/>
  <c r="N451" i="1"/>
  <c r="AP451" i="1" s="1"/>
  <c r="AY451" i="1"/>
  <c r="AP438" i="1"/>
  <c r="AX483" i="1"/>
  <c r="AT483" i="1"/>
  <c r="AX233" i="1"/>
  <c r="N553" i="1"/>
  <c r="AP553" i="1" s="1"/>
  <c r="AY553" i="1"/>
  <c r="N558" i="1"/>
  <c r="AP558" i="1" s="1"/>
  <c r="AU558" i="1"/>
  <c r="AX366" i="1"/>
  <c r="AT366" i="1"/>
  <c r="AX222" i="1"/>
  <c r="AT222" i="1"/>
  <c r="N730" i="1"/>
  <c r="AP730" i="1" s="1"/>
  <c r="AY730" i="1"/>
  <c r="AX429" i="1"/>
  <c r="AT429" i="1"/>
  <c r="N692" i="1"/>
  <c r="AP692" i="1" s="1"/>
  <c r="AY692" i="1"/>
  <c r="N640" i="1"/>
  <c r="AP640" i="1" s="1"/>
  <c r="AY640" i="1"/>
  <c r="AX359" i="1"/>
  <c r="AT359" i="1"/>
  <c r="AX747" i="1"/>
  <c r="AT747" i="1"/>
  <c r="AX673" i="1"/>
  <c r="AT673" i="1"/>
  <c r="AX702" i="1"/>
  <c r="AT702" i="1"/>
  <c r="AX721" i="1"/>
  <c r="AT721" i="1"/>
  <c r="AX630" i="1"/>
  <c r="AT630" i="1"/>
  <c r="AX604" i="1"/>
  <c r="AT604" i="1"/>
  <c r="AX564" i="1"/>
  <c r="AT564" i="1"/>
  <c r="AX530" i="1"/>
  <c r="AT530" i="1"/>
  <c r="T495" i="1"/>
  <c r="N495" i="1" s="1"/>
  <c r="AP495" i="1" s="1"/>
  <c r="AX485" i="1"/>
  <c r="AT485" i="1"/>
  <c r="AX420" i="1"/>
  <c r="AT420" i="1"/>
  <c r="AX377" i="1"/>
  <c r="AT377" i="1"/>
  <c r="AX111" i="1"/>
  <c r="AT111" i="1"/>
  <c r="AX262" i="1"/>
  <c r="AT262" i="1"/>
  <c r="AX237" i="1"/>
  <c r="AT237" i="1"/>
  <c r="AX718" i="1"/>
  <c r="AT718" i="1"/>
  <c r="AX605" i="1"/>
  <c r="N561" i="1"/>
  <c r="AP561" i="1" s="1"/>
  <c r="AU561" i="1"/>
  <c r="AX527" i="1"/>
  <c r="AX453" i="1"/>
  <c r="AT453" i="1"/>
  <c r="AX408" i="1"/>
  <c r="AT408" i="1"/>
  <c r="AX370" i="1"/>
  <c r="AT370" i="1"/>
  <c r="AX281" i="1"/>
  <c r="AT281" i="1"/>
  <c r="AX236" i="1"/>
  <c r="AT236" i="1"/>
  <c r="N655" i="1"/>
  <c r="AP655" i="1" s="1"/>
  <c r="AY655" i="1"/>
  <c r="N652" i="1"/>
  <c r="AP652" i="1" s="1"/>
  <c r="AY652" i="1"/>
  <c r="N687" i="1"/>
  <c r="AP687" i="1" s="1"/>
  <c r="AY687" i="1"/>
  <c r="AX674" i="1"/>
  <c r="AT674" i="1"/>
  <c r="N675" i="1"/>
  <c r="AP675" i="1" s="1"/>
  <c r="AU675" i="1"/>
  <c r="N258" i="1"/>
  <c r="AP258" i="1" s="1"/>
  <c r="AY258" i="1"/>
  <c r="N467" i="1"/>
  <c r="AP467" i="1" s="1"/>
  <c r="AY467" i="1"/>
  <c r="N422" i="1"/>
  <c r="AP422" i="1" s="1"/>
  <c r="AY422" i="1"/>
  <c r="T585" i="1"/>
  <c r="AU585" i="1"/>
  <c r="T592" i="1"/>
  <c r="AU590" i="1"/>
  <c r="AX638" i="1"/>
  <c r="AT638" i="1"/>
  <c r="N337" i="1"/>
  <c r="AP337" i="1" s="1"/>
  <c r="AY337" i="1"/>
  <c r="AX619" i="1"/>
  <c r="AT619" i="1"/>
  <c r="N296" i="1"/>
  <c r="AP296" i="1" s="1"/>
  <c r="AY296" i="1"/>
  <c r="N295" i="1"/>
  <c r="AP295" i="1" s="1"/>
  <c r="AY295" i="1"/>
  <c r="S97" i="1"/>
  <c r="T172" i="1"/>
  <c r="N172" i="1" s="1"/>
  <c r="AP172" i="1" s="1"/>
  <c r="T343" i="1"/>
  <c r="T615" i="1"/>
  <c r="AS339" i="1"/>
  <c r="S339" i="1" s="1"/>
  <c r="T135" i="1"/>
  <c r="N135" i="1" s="1"/>
  <c r="AP135" i="1" s="1"/>
  <c r="AS495" i="1"/>
  <c r="AT495" i="1" s="1"/>
  <c r="T276" i="1"/>
  <c r="AS693" i="1"/>
  <c r="S693" i="1" s="1"/>
  <c r="T392" i="1"/>
  <c r="T168" i="1"/>
  <c r="N168" i="1" s="1"/>
  <c r="AP168" i="1" s="1"/>
  <c r="T427" i="1"/>
  <c r="T406" i="1"/>
  <c r="T584" i="1"/>
  <c r="T383" i="1"/>
  <c r="AS736" i="1"/>
  <c r="S736" i="1" s="1"/>
  <c r="AS713" i="1"/>
  <c r="S713" i="1" s="1"/>
  <c r="S603" i="1"/>
  <c r="N603" i="1" s="1"/>
  <c r="AP603" i="1" s="1"/>
  <c r="S292" i="1"/>
  <c r="N74" i="1"/>
  <c r="AP74" i="1" s="1"/>
  <c r="T419" i="1"/>
  <c r="T374" i="1"/>
  <c r="P440" i="1"/>
  <c r="AU440" i="1" s="1"/>
  <c r="T466" i="1"/>
  <c r="T433" i="1"/>
  <c r="T299" i="1"/>
  <c r="T269" i="1"/>
  <c r="AS734" i="1"/>
  <c r="S734" i="1" s="1"/>
  <c r="S137" i="1"/>
  <c r="AS656" i="1"/>
  <c r="AT656" i="1" s="1"/>
  <c r="AQ656" i="1"/>
  <c r="S212" i="1"/>
  <c r="T426" i="1"/>
  <c r="T218" i="1"/>
  <c r="T284" i="1"/>
  <c r="T215" i="1"/>
  <c r="S114" i="1"/>
  <c r="AS709" i="1"/>
  <c r="S709" i="1" s="1"/>
  <c r="S73" i="1"/>
  <c r="AQ268" i="1"/>
  <c r="R268" i="1" s="1"/>
  <c r="AS478" i="1"/>
  <c r="AT478" i="1" s="1"/>
  <c r="T635" i="1"/>
  <c r="AY635" i="1" s="1"/>
  <c r="S306" i="1"/>
  <c r="T468" i="1"/>
  <c r="U173" i="1"/>
  <c r="V173" i="1"/>
  <c r="T442" i="1"/>
  <c r="P567" i="1"/>
  <c r="T265" i="1"/>
  <c r="AS712" i="1"/>
  <c r="S712" i="1" s="1"/>
  <c r="T340" i="1"/>
  <c r="T213" i="1"/>
  <c r="N243" i="1"/>
  <c r="AP243" i="1" s="1"/>
  <c r="T407" i="1"/>
  <c r="T217" i="1"/>
  <c r="T441" i="1"/>
  <c r="T391" i="1"/>
  <c r="AS710" i="1"/>
  <c r="S710" i="1" s="1"/>
  <c r="T153" i="1"/>
  <c r="T300" i="1"/>
  <c r="S334" i="1"/>
  <c r="T389" i="1"/>
  <c r="P449" i="1"/>
  <c r="AU449" i="1" s="1"/>
  <c r="S330" i="1"/>
  <c r="T161" i="1"/>
  <c r="T587" i="1"/>
  <c r="P506" i="1"/>
  <c r="T463" i="1"/>
  <c r="T231" i="1"/>
  <c r="T214" i="1"/>
  <c r="U540" i="1"/>
  <c r="N662" i="1"/>
  <c r="AP662" i="1" s="1"/>
  <c r="N570" i="1"/>
  <c r="AP570" i="1" s="1"/>
  <c r="N484" i="1"/>
  <c r="AP484" i="1" s="1"/>
  <c r="N261" i="1"/>
  <c r="AP261" i="1" s="1"/>
  <c r="N703" i="1"/>
  <c r="AP703" i="1" s="1"/>
  <c r="N732" i="1"/>
  <c r="AP732" i="1" s="1"/>
  <c r="N621" i="1"/>
  <c r="AP621" i="1" s="1"/>
  <c r="T659" i="1"/>
  <c r="N721" i="1"/>
  <c r="AP721" i="1" s="1"/>
  <c r="N606" i="1"/>
  <c r="AP606" i="1" s="1"/>
  <c r="N568" i="1"/>
  <c r="AP568" i="1" s="1"/>
  <c r="N539" i="1"/>
  <c r="AP539" i="1" s="1"/>
  <c r="N493" i="1"/>
  <c r="AP493" i="1" s="1"/>
  <c r="N432" i="1"/>
  <c r="AP432" i="1" s="1"/>
  <c r="N401" i="1"/>
  <c r="AP401" i="1" s="1"/>
  <c r="N298" i="1"/>
  <c r="AP298" i="1" s="1"/>
  <c r="N247" i="1"/>
  <c r="AP247" i="1" s="1"/>
  <c r="N220" i="1"/>
  <c r="AP220" i="1" s="1"/>
  <c r="T527" i="1"/>
  <c r="AY527" i="1" s="1"/>
  <c r="N415" i="1"/>
  <c r="AP415" i="1" s="1"/>
  <c r="N372" i="1"/>
  <c r="AP372" i="1" s="1"/>
  <c r="N674" i="1"/>
  <c r="N252" i="1"/>
  <c r="AP252" i="1" s="1"/>
  <c r="N608" i="1"/>
  <c r="AP608" i="1" s="1"/>
  <c r="N301" i="1"/>
  <c r="AP301" i="1" s="1"/>
  <c r="N605" i="1"/>
  <c r="AP605" i="1" s="1"/>
  <c r="N747" i="1"/>
  <c r="AP747" i="1" s="1"/>
  <c r="N702" i="1"/>
  <c r="AP702" i="1" s="1"/>
  <c r="N719" i="1"/>
  <c r="AP719" i="1" s="1"/>
  <c r="N630" i="1"/>
  <c r="AP630" i="1" s="1"/>
  <c r="N604" i="1"/>
  <c r="AP604" i="1" s="1"/>
  <c r="N566" i="1"/>
  <c r="AP566" i="1" s="1"/>
  <c r="N535" i="1"/>
  <c r="AP535" i="1" s="1"/>
  <c r="N430" i="1"/>
  <c r="AP430" i="1" s="1"/>
  <c r="N399" i="1"/>
  <c r="AP399" i="1" s="1"/>
  <c r="N358" i="1"/>
  <c r="AP358" i="1" s="1"/>
  <c r="N282" i="1"/>
  <c r="AP282" i="1" s="1"/>
  <c r="N245" i="1"/>
  <c r="AP245" i="1" s="1"/>
  <c r="N559" i="1"/>
  <c r="AP559" i="1" s="1"/>
  <c r="N453" i="1"/>
  <c r="AP453" i="1" s="1"/>
  <c r="N408" i="1"/>
  <c r="AP408" i="1" s="1"/>
  <c r="N370" i="1"/>
  <c r="AP370" i="1" s="1"/>
  <c r="N246" i="1"/>
  <c r="AP246" i="1" s="1"/>
  <c r="N508" i="1"/>
  <c r="AP508" i="1" s="1"/>
  <c r="P435" i="1"/>
  <c r="N356" i="1"/>
  <c r="AP356" i="1" s="1"/>
  <c r="N271" i="1"/>
  <c r="AP271" i="1" s="1"/>
  <c r="N280" i="1"/>
  <c r="AP280" i="1" s="1"/>
  <c r="N497" i="1"/>
  <c r="AP497" i="1" s="1"/>
  <c r="N251" i="1"/>
  <c r="AP251" i="1" s="1"/>
  <c r="N529" i="1"/>
  <c r="AP529" i="1" s="1"/>
  <c r="N219" i="1"/>
  <c r="AP219" i="1" s="1"/>
  <c r="N711" i="1"/>
  <c r="AP711" i="1" s="1"/>
  <c r="N628" i="1"/>
  <c r="AP628" i="1" s="1"/>
  <c r="N602" i="1"/>
  <c r="AP602" i="1" s="1"/>
  <c r="N564" i="1"/>
  <c r="AP564" i="1" s="1"/>
  <c r="N530" i="1"/>
  <c r="AP530" i="1" s="1"/>
  <c r="N485" i="1"/>
  <c r="AP485" i="1" s="1"/>
  <c r="N424" i="1"/>
  <c r="AP424" i="1" s="1"/>
  <c r="N393" i="1"/>
  <c r="AP393" i="1" s="1"/>
  <c r="N341" i="1"/>
  <c r="AP341" i="1" s="1"/>
  <c r="N242" i="1"/>
  <c r="AP242" i="1" s="1"/>
  <c r="T631" i="1"/>
  <c r="N599" i="1"/>
  <c r="AP599" i="1" s="1"/>
  <c r="N554" i="1"/>
  <c r="AP554" i="1" s="1"/>
  <c r="N521" i="1"/>
  <c r="AP521" i="1" s="1"/>
  <c r="N434" i="1"/>
  <c r="AP434" i="1" s="1"/>
  <c r="N404" i="1"/>
  <c r="AP404" i="1" s="1"/>
  <c r="N367" i="1"/>
  <c r="AP367" i="1" s="1"/>
  <c r="N240" i="1"/>
  <c r="AP240" i="1" s="1"/>
  <c r="P436" i="1"/>
  <c r="N211" i="1"/>
  <c r="AP211" i="1" s="1"/>
  <c r="N364" i="1"/>
  <c r="AP364" i="1" s="1"/>
  <c r="N651" i="1"/>
  <c r="AP651" i="1" s="1"/>
  <c r="N307" i="1"/>
  <c r="AP307" i="1" s="1"/>
  <c r="N745" i="1"/>
  <c r="AP745" i="1" s="1"/>
  <c r="N743" i="1"/>
  <c r="AP743" i="1" s="1"/>
  <c r="N697" i="1"/>
  <c r="AP697" i="1" s="1"/>
  <c r="N626" i="1"/>
  <c r="AP626" i="1" s="1"/>
  <c r="N562" i="1"/>
  <c r="AP562" i="1" s="1"/>
  <c r="N526" i="1"/>
  <c r="AP526" i="1" s="1"/>
  <c r="N483" i="1"/>
  <c r="AP483" i="1" s="1"/>
  <c r="N420" i="1"/>
  <c r="AP420" i="1" s="1"/>
  <c r="N377" i="1"/>
  <c r="AP377" i="1" s="1"/>
  <c r="N264" i="1"/>
  <c r="AP264" i="1" s="1"/>
  <c r="N239" i="1"/>
  <c r="AP239" i="1" s="1"/>
  <c r="N579" i="1"/>
  <c r="AP579" i="1" s="1"/>
  <c r="N550" i="1"/>
  <c r="AP550" i="1" s="1"/>
  <c r="N513" i="1"/>
  <c r="AP513" i="1" s="1"/>
  <c r="N431" i="1"/>
  <c r="AP431" i="1" s="1"/>
  <c r="N402" i="1"/>
  <c r="AP402" i="1" s="1"/>
  <c r="N365" i="1"/>
  <c r="AP365" i="1" s="1"/>
  <c r="N326" i="1"/>
  <c r="AP326" i="1" s="1"/>
  <c r="N238" i="1"/>
  <c r="AP238" i="1" s="1"/>
  <c r="P546" i="1"/>
  <c r="N456" i="1"/>
  <c r="AP456" i="1" s="1"/>
  <c r="N421" i="1"/>
  <c r="AP421" i="1" s="1"/>
  <c r="N741" i="1"/>
  <c r="AP741" i="1" s="1"/>
  <c r="N657" i="1"/>
  <c r="AP657" i="1" s="1"/>
  <c r="N670" i="1"/>
  <c r="AP670" i="1" s="1"/>
  <c r="N669" i="1"/>
  <c r="AP669" i="1" s="1"/>
  <c r="N620" i="1"/>
  <c r="AP620" i="1" s="1"/>
  <c r="N582" i="1"/>
  <c r="AP582" i="1" s="1"/>
  <c r="N512" i="1"/>
  <c r="AP512" i="1" s="1"/>
  <c r="N481" i="1"/>
  <c r="AP481" i="1" s="1"/>
  <c r="N416" i="1"/>
  <c r="AP416" i="1" s="1"/>
  <c r="N375" i="1"/>
  <c r="AP375" i="1" s="1"/>
  <c r="N111" i="1"/>
  <c r="AP111" i="1" s="1"/>
  <c r="N262" i="1"/>
  <c r="AP262" i="1" s="1"/>
  <c r="N237" i="1"/>
  <c r="AP237" i="1" s="1"/>
  <c r="N722" i="1"/>
  <c r="AP722" i="1" s="1"/>
  <c r="N623" i="1"/>
  <c r="AP623" i="1" s="1"/>
  <c r="N577" i="1"/>
  <c r="AP577" i="1" s="1"/>
  <c r="N548" i="1"/>
  <c r="AP548" i="1" s="1"/>
  <c r="N429" i="1"/>
  <c r="AP429" i="1" s="1"/>
  <c r="N400" i="1"/>
  <c r="AP400" i="1" s="1"/>
  <c r="N361" i="1"/>
  <c r="AP361" i="1" s="1"/>
  <c r="N321" i="1"/>
  <c r="AP321" i="1" s="1"/>
  <c r="N281" i="1"/>
  <c r="AP281" i="1" s="1"/>
  <c r="N236" i="1"/>
  <c r="AP236" i="1" s="1"/>
  <c r="N412" i="1"/>
  <c r="AP412" i="1" s="1"/>
  <c r="T552" i="1"/>
  <c r="P656" i="1"/>
  <c r="N331" i="1"/>
  <c r="AP331" i="1" s="1"/>
  <c r="N738" i="1"/>
  <c r="AP738" i="1" s="1"/>
  <c r="N403" i="1"/>
  <c r="AP403" i="1" s="1"/>
  <c r="N379" i="1"/>
  <c r="AP379" i="1" s="1"/>
  <c r="N694" i="1"/>
  <c r="AP694" i="1" s="1"/>
  <c r="N673" i="1"/>
  <c r="AP673" i="1" s="1"/>
  <c r="N739" i="1"/>
  <c r="AP739" i="1" s="1"/>
  <c r="N742" i="1"/>
  <c r="AP742" i="1" s="1"/>
  <c r="N618" i="1"/>
  <c r="AP618" i="1" s="1"/>
  <c r="N509" i="1"/>
  <c r="AP509" i="1" s="1"/>
  <c r="N409" i="1"/>
  <c r="AP409" i="1" s="1"/>
  <c r="N368" i="1"/>
  <c r="AP368" i="1" s="1"/>
  <c r="N260" i="1"/>
  <c r="AP260" i="1" s="1"/>
  <c r="N233" i="1"/>
  <c r="AP233" i="1" s="1"/>
  <c r="N720" i="1"/>
  <c r="AP720" i="1" s="1"/>
  <c r="N569" i="1"/>
  <c r="AP569" i="1" s="1"/>
  <c r="N533" i="1"/>
  <c r="AP533" i="1" s="1"/>
  <c r="N425" i="1"/>
  <c r="AP425" i="1" s="1"/>
  <c r="N397" i="1"/>
  <c r="AP397" i="1" s="1"/>
  <c r="N357" i="1"/>
  <c r="AP357" i="1" s="1"/>
  <c r="N227" i="1"/>
  <c r="AP227" i="1" s="1"/>
  <c r="P460" i="1"/>
  <c r="AU460" i="1" s="1"/>
  <c r="N349" i="1"/>
  <c r="AP349" i="1" s="1"/>
  <c r="N717" i="1"/>
  <c r="AP717" i="1" s="1"/>
  <c r="N543" i="1"/>
  <c r="AP543" i="1" s="1"/>
  <c r="N222" i="1"/>
  <c r="AP222" i="1" s="1"/>
  <c r="N563" i="1"/>
  <c r="AP563" i="1" s="1"/>
  <c r="N731" i="1"/>
  <c r="AP731" i="1" s="1"/>
  <c r="N740" i="1"/>
  <c r="AP740" i="1" s="1"/>
  <c r="N663" i="1"/>
  <c r="AP663" i="1" s="1"/>
  <c r="N545" i="1"/>
  <c r="AP545" i="1" s="1"/>
  <c r="N505" i="1"/>
  <c r="AP505" i="1" s="1"/>
  <c r="N458" i="1"/>
  <c r="AP458" i="1" s="1"/>
  <c r="N405" i="1"/>
  <c r="AP405" i="1" s="1"/>
  <c r="N366" i="1"/>
  <c r="AP366" i="1" s="1"/>
  <c r="N256" i="1"/>
  <c r="AP256" i="1" s="1"/>
  <c r="N228" i="1"/>
  <c r="AP228" i="1" s="1"/>
  <c r="N718" i="1"/>
  <c r="AP718" i="1" s="1"/>
  <c r="N607" i="1"/>
  <c r="AP607" i="1" s="1"/>
  <c r="N565" i="1"/>
  <c r="AP565" i="1" s="1"/>
  <c r="N531" i="1"/>
  <c r="AP531" i="1" s="1"/>
  <c r="N486" i="1"/>
  <c r="AP486" i="1" s="1"/>
  <c r="N423" i="1"/>
  <c r="AP423" i="1" s="1"/>
  <c r="N395" i="1"/>
  <c r="AP395" i="1" s="1"/>
  <c r="N355" i="1"/>
  <c r="AP355" i="1" s="1"/>
  <c r="N314" i="1"/>
  <c r="AP314" i="1" s="1"/>
  <c r="N263" i="1"/>
  <c r="AP263" i="1" s="1"/>
  <c r="N221" i="1"/>
  <c r="AP221" i="1" s="1"/>
  <c r="P695" i="1"/>
  <c r="N359" i="1"/>
  <c r="AP359" i="1" s="1"/>
  <c r="N21" i="1"/>
  <c r="AP21" i="1" s="1"/>
  <c r="N35" i="1"/>
  <c r="AP35" i="1" s="1"/>
  <c r="N157" i="1"/>
  <c r="AP157" i="1" s="1"/>
  <c r="N159" i="1"/>
  <c r="AP159" i="1" s="1"/>
  <c r="N149" i="1"/>
  <c r="AP149" i="1" s="1"/>
  <c r="N70" i="1"/>
  <c r="AP70" i="1" s="1"/>
  <c r="N130" i="1"/>
  <c r="AP130" i="1" s="1"/>
  <c r="N487" i="1"/>
  <c r="AP487" i="1" s="1"/>
  <c r="N207" i="1"/>
  <c r="AP207" i="1" s="1"/>
  <c r="AQ642" i="1"/>
  <c r="R642" i="1" s="1"/>
  <c r="N273" i="1"/>
  <c r="AP273" i="1" s="1"/>
  <c r="S336" i="1"/>
  <c r="AQ619" i="1"/>
  <c r="T373" i="1"/>
  <c r="T209" i="1"/>
  <c r="AY209" i="1" s="1"/>
  <c r="N288" i="1"/>
  <c r="AP288" i="1" s="1"/>
  <c r="U454" i="1"/>
  <c r="V454" i="1"/>
  <c r="U696" i="1"/>
  <c r="U452" i="1"/>
  <c r="V452" i="1"/>
  <c r="U457" i="1"/>
  <c r="V457" i="1"/>
  <c r="U646" i="1"/>
  <c r="U303" i="1"/>
  <c r="V303" i="1"/>
  <c r="U590" i="1"/>
  <c r="U638" i="1"/>
  <c r="AQ581" i="1"/>
  <c r="R581" i="1" s="1"/>
  <c r="AW581" i="1" s="1"/>
  <c r="T102" i="1"/>
  <c r="T49" i="1"/>
  <c r="AQ625" i="1"/>
  <c r="R625" i="1" s="1"/>
  <c r="AW625" i="1" s="1"/>
  <c r="S279" i="1"/>
  <c r="T43" i="1"/>
  <c r="S320" i="1"/>
  <c r="T98" i="1"/>
  <c r="T439" i="1"/>
  <c r="AQ650" i="1"/>
  <c r="R650" i="1" s="1"/>
  <c r="AW650" i="1" s="1"/>
  <c r="T52" i="1"/>
  <c r="T19" i="1"/>
  <c r="T190" i="1"/>
  <c r="T72" i="1"/>
  <c r="T122" i="1"/>
  <c r="T195" i="1"/>
  <c r="T82" i="1"/>
  <c r="T150" i="1"/>
  <c r="S335" i="1"/>
  <c r="T250" i="1"/>
  <c r="T193" i="1"/>
  <c r="S327" i="1"/>
  <c r="S332" i="1"/>
  <c r="T160" i="1"/>
  <c r="S68" i="1"/>
  <c r="T191" i="1"/>
  <c r="S287" i="1"/>
  <c r="T446" i="1"/>
  <c r="T619" i="1"/>
  <c r="AY619" i="1" s="1"/>
  <c r="T41" i="1"/>
  <c r="T308" i="1"/>
  <c r="T169" i="1"/>
  <c r="T103" i="1"/>
  <c r="T155" i="1"/>
  <c r="AQ518" i="1"/>
  <c r="R518" i="1" s="1"/>
  <c r="AW518" i="1" s="1"/>
  <c r="T152" i="1"/>
  <c r="T196" i="1"/>
  <c r="T24" i="1"/>
  <c r="AS659" i="1"/>
  <c r="AT659" i="1" s="1"/>
  <c r="T138" i="1"/>
  <c r="T83" i="1"/>
  <c r="T20" i="1"/>
  <c r="S188" i="1"/>
  <c r="AQ224" i="1"/>
  <c r="R224" i="1" s="1"/>
  <c r="AW224" i="1" s="1"/>
  <c r="T30" i="1"/>
  <c r="T154" i="1"/>
  <c r="T61" i="1"/>
  <c r="T118" i="1"/>
  <c r="T128" i="1"/>
  <c r="S145" i="1" s="1"/>
  <c r="T62" i="1"/>
  <c r="S182" i="1"/>
  <c r="AS594" i="1"/>
  <c r="S594" i="1" s="1"/>
  <c r="T84" i="1"/>
  <c r="T31" i="1"/>
  <c r="T86" i="1"/>
  <c r="S119" i="1"/>
  <c r="T156" i="1"/>
  <c r="T29" i="1"/>
  <c r="T89" i="1"/>
  <c r="S192" i="1"/>
  <c r="AW376" i="1"/>
  <c r="T171" i="1"/>
  <c r="T58" i="1"/>
  <c r="S80" i="1" s="1"/>
  <c r="T117" i="1"/>
  <c r="S369" i="1"/>
  <c r="T34" i="1"/>
  <c r="T39" i="1"/>
  <c r="T158" i="1"/>
  <c r="T194" i="1"/>
  <c r="T67" i="1"/>
  <c r="T123" i="1"/>
  <c r="T197" i="1"/>
  <c r="T27" i="1"/>
  <c r="T189" i="1"/>
  <c r="S136" i="1"/>
  <c r="T100" i="1"/>
  <c r="T124" i="1"/>
  <c r="T199" i="1"/>
  <c r="AS647" i="1"/>
  <c r="S647" i="1" s="1"/>
  <c r="T127" i="1"/>
  <c r="T198" i="1"/>
  <c r="T94" i="1"/>
  <c r="S112" i="1"/>
  <c r="T166" i="1"/>
  <c r="T60" i="1"/>
  <c r="T133" i="1"/>
  <c r="T66" i="1"/>
  <c r="S87" i="1" s="1"/>
  <c r="T201" i="1"/>
  <c r="T101" i="1"/>
  <c r="AS684" i="1"/>
  <c r="S684" i="1" s="1"/>
  <c r="T151" i="1"/>
  <c r="S316" i="1"/>
  <c r="AS707" i="1"/>
  <c r="S707" i="1" s="1"/>
  <c r="AQ223" i="1"/>
  <c r="S223" i="1" s="1"/>
  <c r="AT423" i="1"/>
  <c r="S681" i="1"/>
  <c r="AS683" i="1"/>
  <c r="AS256" i="1"/>
  <c r="AT256" i="1" s="1"/>
  <c r="AS711" i="1"/>
  <c r="AT711" i="1" s="1"/>
  <c r="AQ572" i="1"/>
  <c r="R572" i="1" s="1"/>
  <c r="AW572" i="1" s="1"/>
  <c r="AS525" i="1"/>
  <c r="S525" i="1" s="1"/>
  <c r="S445" i="1"/>
  <c r="AS437" i="1"/>
  <c r="S437" i="1" s="1"/>
  <c r="AS695" i="1"/>
  <c r="AT695" i="1" s="1"/>
  <c r="AS507" i="1"/>
  <c r="S507" i="1" s="1"/>
  <c r="S129" i="1"/>
  <c r="AS547" i="1"/>
  <c r="S547" i="1" s="1"/>
  <c r="AS537" i="1"/>
  <c r="S537" i="1" s="1"/>
  <c r="AS496" i="1"/>
  <c r="S496" i="1" s="1"/>
  <c r="AS307" i="1"/>
  <c r="AT307" i="1" s="1"/>
  <c r="AQ634" i="1"/>
  <c r="R634" i="1" s="1"/>
  <c r="AW634" i="1" s="1"/>
  <c r="AS490" i="1"/>
  <c r="S490" i="1" s="1"/>
  <c r="S648" i="1"/>
  <c r="S283" i="1"/>
  <c r="AS720" i="1"/>
  <c r="AT720" i="1" s="1"/>
  <c r="AS699" i="1"/>
  <c r="S699" i="1" s="1"/>
  <c r="AS331" i="1"/>
  <c r="AT331" i="1" s="1"/>
  <c r="AS715" i="1"/>
  <c r="AT715" i="1" s="1"/>
  <c r="AS705" i="1"/>
  <c r="AT705" i="1" s="1"/>
  <c r="AS605" i="1"/>
  <c r="AT605" i="1" s="1"/>
  <c r="S723" i="1"/>
  <c r="S235" i="1"/>
  <c r="S290" i="1"/>
  <c r="AS704" i="1"/>
  <c r="S704" i="1" s="1"/>
  <c r="AS703" i="1"/>
  <c r="AT703" i="1" s="1"/>
  <c r="AS700" i="1"/>
  <c r="S700" i="1" s="1"/>
  <c r="S187" i="1"/>
  <c r="AQ557" i="1"/>
  <c r="AS677" i="1"/>
  <c r="S677" i="1" s="1"/>
  <c r="T244" i="1"/>
  <c r="AS238" i="1"/>
  <c r="AT238" i="1" s="1"/>
  <c r="AS266" i="1"/>
  <c r="S266" i="1" s="1"/>
  <c r="S315" i="1"/>
  <c r="N668" i="1"/>
  <c r="AP668" i="1" s="1"/>
  <c r="N664" i="1"/>
  <c r="AP664" i="1" s="1"/>
  <c r="S278" i="1"/>
  <c r="N667" i="1"/>
  <c r="AP667" i="1" s="1"/>
  <c r="N617" i="1"/>
  <c r="AP617" i="1" s="1"/>
  <c r="N661" i="1"/>
  <c r="AP661" i="1" s="1"/>
  <c r="S482" i="1"/>
  <c r="S611" i="1"/>
  <c r="S342" i="1"/>
  <c r="N672" i="1"/>
  <c r="AP672" i="1" s="1"/>
  <c r="S609" i="1"/>
  <c r="S632" i="1"/>
  <c r="S744" i="1"/>
  <c r="S90" i="1"/>
  <c r="AS210" i="1"/>
  <c r="AT210" i="1" s="1"/>
  <c r="AQ426" i="1"/>
  <c r="R748" i="1"/>
  <c r="AW748" i="1" s="1"/>
  <c r="R749" i="1"/>
  <c r="S23" i="1"/>
  <c r="AQ494" i="1"/>
  <c r="R494" i="1" s="1"/>
  <c r="AW494" i="1" s="1"/>
  <c r="AQ230" i="1"/>
  <c r="R230" i="1" s="1"/>
  <c r="AW230" i="1" s="1"/>
  <c r="U17" i="10"/>
  <c r="U18" i="10"/>
  <c r="U19" i="10"/>
  <c r="U20" i="10"/>
  <c r="U21" i="10"/>
  <c r="U22" i="10"/>
  <c r="U23" i="10"/>
  <c r="U24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235" i="10"/>
  <c r="U40" i="10"/>
  <c r="U41" i="10"/>
  <c r="U42" i="10"/>
  <c r="U43" i="10"/>
  <c r="U44" i="10"/>
  <c r="U45" i="10"/>
  <c r="U46" i="10"/>
  <c r="U47" i="10"/>
  <c r="U49" i="10"/>
  <c r="U50" i="10"/>
  <c r="U244" i="10"/>
  <c r="U52" i="10"/>
  <c r="U55" i="10"/>
  <c r="U56" i="10"/>
  <c r="U58" i="10"/>
  <c r="U60" i="10"/>
  <c r="U61" i="10"/>
  <c r="U62" i="10"/>
  <c r="U63" i="10"/>
  <c r="U64" i="10"/>
  <c r="U66" i="10"/>
  <c r="U67" i="10"/>
  <c r="U69" i="10"/>
  <c r="U70" i="10"/>
  <c r="U71" i="10"/>
  <c r="U72" i="10"/>
  <c r="U73" i="10"/>
  <c r="U76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5" i="10"/>
  <c r="U97" i="10"/>
  <c r="U98" i="10"/>
  <c r="U99" i="10"/>
  <c r="U100" i="10"/>
  <c r="U101" i="10"/>
  <c r="U102" i="10"/>
  <c r="U103" i="10"/>
  <c r="U104" i="10"/>
  <c r="U106" i="10"/>
  <c r="U107" i="10"/>
  <c r="U109" i="10"/>
  <c r="U112" i="10"/>
  <c r="U113" i="10"/>
  <c r="U116" i="10"/>
  <c r="U117" i="10"/>
  <c r="U118" i="10"/>
  <c r="U119" i="10"/>
  <c r="U123" i="10"/>
  <c r="U124" i="10"/>
  <c r="U125" i="10"/>
  <c r="U127" i="10"/>
  <c r="U128" i="10"/>
  <c r="U131" i="10"/>
  <c r="U132" i="10"/>
  <c r="U133" i="10"/>
  <c r="U134" i="10"/>
  <c r="U136" i="10"/>
  <c r="U138" i="10"/>
  <c r="U369" i="10"/>
  <c r="U144" i="10"/>
  <c r="U145" i="10"/>
  <c r="U146" i="10"/>
  <c r="U147" i="10"/>
  <c r="U148" i="10"/>
  <c r="U149" i="10"/>
  <c r="U150" i="10"/>
  <c r="U151" i="10"/>
  <c r="U152" i="10"/>
  <c r="U154" i="10"/>
  <c r="U155" i="10"/>
  <c r="U156" i="10"/>
  <c r="U157" i="10"/>
  <c r="U158" i="10"/>
  <c r="U159" i="10"/>
  <c r="U160" i="10"/>
  <c r="U161" i="10"/>
  <c r="U163" i="10"/>
  <c r="U164" i="10"/>
  <c r="U165" i="10"/>
  <c r="U166" i="10"/>
  <c r="U169" i="10"/>
  <c r="U171" i="10"/>
  <c r="U175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2" i="10"/>
  <c r="U193" i="10"/>
  <c r="U194" i="10"/>
  <c r="U195" i="10"/>
  <c r="U196" i="10"/>
  <c r="U197" i="10"/>
  <c r="U198" i="10"/>
  <c r="U199" i="10"/>
  <c r="U200" i="10"/>
  <c r="U201" i="10"/>
  <c r="U207" i="10"/>
  <c r="U208" i="10"/>
  <c r="U209" i="10"/>
  <c r="U210" i="10"/>
  <c r="U211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7" i="10"/>
  <c r="U228" i="10"/>
  <c r="U230" i="10"/>
  <c r="U233" i="10"/>
  <c r="U236" i="10"/>
  <c r="U237" i="10"/>
  <c r="U238" i="10"/>
  <c r="U239" i="10"/>
  <c r="U240" i="10"/>
  <c r="U242" i="10"/>
  <c r="U243" i="10"/>
  <c r="U245" i="10"/>
  <c r="U246" i="10"/>
  <c r="U247" i="10"/>
  <c r="U250" i="10"/>
  <c r="U251" i="10"/>
  <c r="U252" i="10"/>
  <c r="U254" i="10"/>
  <c r="U255" i="10"/>
  <c r="U26" i="10"/>
  <c r="U256" i="10"/>
  <c r="U257" i="10"/>
  <c r="U258" i="10"/>
  <c r="U260" i="10"/>
  <c r="U261" i="10"/>
  <c r="U262" i="10"/>
  <c r="U263" i="10"/>
  <c r="U264" i="10"/>
  <c r="U54" i="10"/>
  <c r="U266" i="10"/>
  <c r="U268" i="10"/>
  <c r="U68" i="10"/>
  <c r="U271" i="10"/>
  <c r="U77" i="10"/>
  <c r="U278" i="10"/>
  <c r="U279" i="10"/>
  <c r="U280" i="10"/>
  <c r="U281" i="10"/>
  <c r="U282" i="10"/>
  <c r="U283" i="10"/>
  <c r="U284" i="10"/>
  <c r="U287" i="10"/>
  <c r="U288" i="10"/>
  <c r="U289" i="10"/>
  <c r="U290" i="10"/>
  <c r="U292" i="10"/>
  <c r="U295" i="10"/>
  <c r="U296" i="10"/>
  <c r="U94" i="10"/>
  <c r="U297" i="10"/>
  <c r="U298" i="10"/>
  <c r="U300" i="10"/>
  <c r="U301" i="10"/>
  <c r="U302" i="10"/>
  <c r="U303" i="10"/>
  <c r="U308" i="10"/>
  <c r="U307" i="10"/>
  <c r="U311" i="10"/>
  <c r="U312" i="10"/>
  <c r="U313" i="10"/>
  <c r="U314" i="10"/>
  <c r="U315" i="10"/>
  <c r="U316" i="10"/>
  <c r="U317" i="10"/>
  <c r="U318" i="10"/>
  <c r="U319" i="10"/>
  <c r="U108" i="10"/>
  <c r="U320" i="10"/>
  <c r="U321" i="10"/>
  <c r="U111" i="10"/>
  <c r="U324" i="10"/>
  <c r="U114" i="10"/>
  <c r="U115" i="10"/>
  <c r="U325" i="10"/>
  <c r="U326" i="10"/>
  <c r="U327" i="10"/>
  <c r="U329" i="10"/>
  <c r="U331" i="10"/>
  <c r="U332" i="10"/>
  <c r="U333" i="10"/>
  <c r="U335" i="10"/>
  <c r="U336" i="10"/>
  <c r="U337" i="10"/>
  <c r="U338" i="10"/>
  <c r="U339" i="10"/>
  <c r="U341" i="10"/>
  <c r="U342" i="10"/>
  <c r="U343" i="10"/>
  <c r="U129" i="10"/>
  <c r="U344" i="10"/>
  <c r="U349" i="10"/>
  <c r="U350" i="10"/>
  <c r="U351" i="10"/>
  <c r="U354" i="10"/>
  <c r="U353" i="10"/>
  <c r="U355" i="10"/>
  <c r="U356" i="10"/>
  <c r="U357" i="10"/>
  <c r="U358" i="10"/>
  <c r="U359" i="10"/>
  <c r="U360" i="10"/>
  <c r="U393" i="10"/>
  <c r="U394" i="10"/>
  <c r="U395" i="10"/>
  <c r="U396" i="10"/>
  <c r="U397" i="10"/>
  <c r="U398" i="10"/>
  <c r="U399" i="10"/>
  <c r="U400" i="10"/>
  <c r="U401" i="10"/>
  <c r="U402" i="10"/>
  <c r="U403" i="10"/>
  <c r="U404" i="10"/>
  <c r="U405" i="10"/>
  <c r="U406" i="10"/>
  <c r="U407" i="10"/>
  <c r="U408" i="10"/>
  <c r="U409" i="10"/>
  <c r="U410" i="10"/>
  <c r="U411" i="10"/>
  <c r="U412" i="10"/>
  <c r="U413" i="10"/>
  <c r="U414" i="10"/>
  <c r="U415" i="10"/>
  <c r="U416" i="10"/>
  <c r="U418" i="10"/>
  <c r="U419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4" i="10"/>
  <c r="U435" i="10"/>
  <c r="U436" i="10"/>
  <c r="U437" i="10"/>
  <c r="U439" i="10"/>
  <c r="U440" i="10"/>
  <c r="U441" i="10"/>
  <c r="U442" i="10"/>
  <c r="U444" i="10"/>
  <c r="U445" i="10"/>
  <c r="U446" i="10"/>
  <c r="U447" i="10"/>
  <c r="U448" i="10"/>
  <c r="U451" i="10"/>
  <c r="U452" i="10"/>
  <c r="U453" i="10"/>
  <c r="U454" i="10"/>
  <c r="U455" i="10"/>
  <c r="U456" i="10"/>
  <c r="U457" i="10"/>
  <c r="U458" i="10"/>
  <c r="U459" i="10"/>
  <c r="U460" i="10"/>
  <c r="U178" i="10"/>
  <c r="U461" i="10"/>
  <c r="U462" i="10"/>
  <c r="U463" i="10"/>
  <c r="U464" i="10"/>
  <c r="U465" i="10"/>
  <c r="U466" i="10"/>
  <c r="U467" i="10"/>
  <c r="U468" i="10"/>
  <c r="U191" i="10"/>
  <c r="U481" i="10"/>
  <c r="U482" i="10"/>
  <c r="U483" i="10"/>
  <c r="U484" i="10"/>
  <c r="U485" i="10"/>
  <c r="U486" i="10"/>
  <c r="U487" i="10"/>
  <c r="U488" i="10"/>
  <c r="U489" i="10"/>
  <c r="U490" i="10"/>
  <c r="U491" i="10"/>
  <c r="U492" i="10"/>
  <c r="U493" i="10"/>
  <c r="U494" i="10"/>
  <c r="U496" i="10"/>
  <c r="U497" i="10"/>
  <c r="U500" i="10"/>
  <c r="U505" i="10"/>
  <c r="U506" i="10"/>
  <c r="U507" i="10"/>
  <c r="U508" i="10"/>
  <c r="U509" i="10"/>
  <c r="U511" i="10"/>
  <c r="U512" i="10"/>
  <c r="U513" i="10"/>
  <c r="U514" i="10"/>
  <c r="U515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5" i="10"/>
  <c r="U536" i="10"/>
  <c r="U537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7" i="10"/>
  <c r="U578" i="10"/>
  <c r="U579" i="10"/>
  <c r="U580" i="10"/>
  <c r="U581" i="10"/>
  <c r="U582" i="10"/>
  <c r="U583" i="10"/>
  <c r="U584" i="10"/>
  <c r="U585" i="10"/>
  <c r="U586" i="10"/>
  <c r="U587" i="10"/>
  <c r="U588" i="10"/>
  <c r="U589" i="10"/>
  <c r="U590" i="10"/>
  <c r="U591" i="10"/>
  <c r="U592" i="10"/>
  <c r="U593" i="10"/>
  <c r="U594" i="10"/>
  <c r="U595" i="10"/>
  <c r="U596" i="10"/>
  <c r="U598" i="10"/>
  <c r="U599" i="10"/>
  <c r="U600" i="10"/>
  <c r="U601" i="10"/>
  <c r="U602" i="10"/>
  <c r="U603" i="10"/>
  <c r="U604" i="10"/>
  <c r="U605" i="10"/>
  <c r="U606" i="10"/>
  <c r="U607" i="10"/>
  <c r="U608" i="10"/>
  <c r="U609" i="10"/>
  <c r="U610" i="10"/>
  <c r="U611" i="10"/>
  <c r="U612" i="10"/>
  <c r="U613" i="10"/>
  <c r="U614" i="10"/>
  <c r="U615" i="10"/>
  <c r="U616" i="10"/>
  <c r="U617" i="10"/>
  <c r="U618" i="10"/>
  <c r="U619" i="10"/>
  <c r="U620" i="10"/>
  <c r="U621" i="10"/>
  <c r="U622" i="10"/>
  <c r="U623" i="10"/>
  <c r="U624" i="10"/>
  <c r="U625" i="10"/>
  <c r="U626" i="10"/>
  <c r="U627" i="10"/>
  <c r="U628" i="10"/>
  <c r="U629" i="10"/>
  <c r="U630" i="10"/>
  <c r="U631" i="10"/>
  <c r="U632" i="10"/>
  <c r="U633" i="10"/>
  <c r="U634" i="10"/>
  <c r="U635" i="10"/>
  <c r="U636" i="10"/>
  <c r="U638" i="10"/>
  <c r="U639" i="10"/>
  <c r="U640" i="10"/>
  <c r="U642" i="10"/>
  <c r="U643" i="10"/>
  <c r="U645" i="10"/>
  <c r="U646" i="10"/>
  <c r="U647" i="10"/>
  <c r="U648" i="10"/>
  <c r="U649" i="10"/>
  <c r="U650" i="10"/>
  <c r="U651" i="10"/>
  <c r="U130" i="10"/>
  <c r="U652" i="10"/>
  <c r="U653" i="10"/>
  <c r="U654" i="10"/>
  <c r="U655" i="10"/>
  <c r="U656" i="10"/>
  <c r="U657" i="10"/>
  <c r="U658" i="10"/>
  <c r="U659" i="10"/>
  <c r="U660" i="10"/>
  <c r="U661" i="10"/>
  <c r="U662" i="10"/>
  <c r="U663" i="10"/>
  <c r="U664" i="10"/>
  <c r="U665" i="10"/>
  <c r="U666" i="10"/>
  <c r="U667" i="10"/>
  <c r="U668" i="10"/>
  <c r="U669" i="10"/>
  <c r="U670" i="10"/>
  <c r="U671" i="10"/>
  <c r="U672" i="10"/>
  <c r="U673" i="10"/>
  <c r="U674" i="10"/>
  <c r="U675" i="10"/>
  <c r="U677" i="10"/>
  <c r="U678" i="10"/>
  <c r="U679" i="10"/>
  <c r="U680" i="10"/>
  <c r="U681" i="10"/>
  <c r="U682" i="10"/>
  <c r="U683" i="10"/>
  <c r="U684" i="10"/>
  <c r="U685" i="10"/>
  <c r="U686" i="10"/>
  <c r="U687" i="10"/>
  <c r="U688" i="10"/>
  <c r="U689" i="10"/>
  <c r="U690" i="10"/>
  <c r="U691" i="10"/>
  <c r="U692" i="10"/>
  <c r="U693" i="10"/>
  <c r="U694" i="10"/>
  <c r="U695" i="10"/>
  <c r="U697" i="10"/>
  <c r="U698" i="10"/>
  <c r="U699" i="10"/>
  <c r="U700" i="10"/>
  <c r="U701" i="10"/>
  <c r="U702" i="10"/>
  <c r="U703" i="10"/>
  <c r="U704" i="10"/>
  <c r="U705" i="10"/>
  <c r="U706" i="10"/>
  <c r="U707" i="10"/>
  <c r="U708" i="10"/>
  <c r="U709" i="10"/>
  <c r="U710" i="10"/>
  <c r="U711" i="10"/>
  <c r="U712" i="10"/>
  <c r="U713" i="10"/>
  <c r="U714" i="10"/>
  <c r="U715" i="10"/>
  <c r="U716" i="10"/>
  <c r="U717" i="10"/>
  <c r="U718" i="10"/>
  <c r="U719" i="10"/>
  <c r="U720" i="10"/>
  <c r="U721" i="10"/>
  <c r="U722" i="10"/>
  <c r="U723" i="10"/>
  <c r="U724" i="10"/>
  <c r="U725" i="10"/>
  <c r="U726" i="10"/>
  <c r="U727" i="10"/>
  <c r="U728" i="10"/>
  <c r="U729" i="10"/>
  <c r="U730" i="10"/>
  <c r="U731" i="10"/>
  <c r="U732" i="10"/>
  <c r="U733" i="10"/>
  <c r="U734" i="10"/>
  <c r="U735" i="10"/>
  <c r="U736" i="10"/>
  <c r="U737" i="10"/>
  <c r="U738" i="10"/>
  <c r="U739" i="10"/>
  <c r="U740" i="10"/>
  <c r="U741" i="10"/>
  <c r="U742" i="10"/>
  <c r="U743" i="10"/>
  <c r="U744" i="10"/>
  <c r="U745" i="10"/>
  <c r="U746" i="10"/>
  <c r="U747" i="10"/>
  <c r="U748" i="10"/>
  <c r="U749" i="10"/>
  <c r="U750" i="10"/>
  <c r="U751" i="10"/>
  <c r="AS259" i="1" l="1"/>
  <c r="AT259" i="1" s="1"/>
  <c r="AT51" i="1"/>
  <c r="T322" i="1"/>
  <c r="AY322" i="1" s="1"/>
  <c r="AT145" i="1"/>
  <c r="AS385" i="1"/>
  <c r="AT97" i="1"/>
  <c r="AS304" i="1"/>
  <c r="AT304" i="1" s="1"/>
  <c r="U286" i="1"/>
  <c r="AP286" i="1"/>
  <c r="V286" i="1"/>
  <c r="AQ276" i="1"/>
  <c r="AS276" i="1"/>
  <c r="AT276" i="1" s="1"/>
  <c r="U728" i="1"/>
  <c r="U639" i="1"/>
  <c r="U655" i="1"/>
  <c r="U729" i="1"/>
  <c r="U726" i="1"/>
  <c r="U254" i="1"/>
  <c r="U715" i="1"/>
  <c r="V254" i="1"/>
  <c r="U685" i="1"/>
  <c r="U686" i="1"/>
  <c r="U690" i="1"/>
  <c r="U495" i="1"/>
  <c r="U247" i="1"/>
  <c r="U558" i="1"/>
  <c r="U724" i="1"/>
  <c r="U660" i="1"/>
  <c r="U750" i="1"/>
  <c r="V430" i="1"/>
  <c r="U727" i="1"/>
  <c r="V216" i="1"/>
  <c r="U688" i="1"/>
  <c r="V371" i="1"/>
  <c r="U295" i="1"/>
  <c r="U675" i="1"/>
  <c r="U649" i="1"/>
  <c r="U411" i="1"/>
  <c r="U371" i="1"/>
  <c r="V411" i="1"/>
  <c r="U553" i="1"/>
  <c r="U678" i="1"/>
  <c r="V243" i="1"/>
  <c r="U730" i="1"/>
  <c r="U243" i="1"/>
  <c r="U311" i="1"/>
  <c r="U528" i="1"/>
  <c r="U317" i="1"/>
  <c r="V311" i="1"/>
  <c r="N444" i="1"/>
  <c r="AP444" i="1" s="1"/>
  <c r="U462" i="1"/>
  <c r="V317" i="1"/>
  <c r="U414" i="1"/>
  <c r="V462" i="1"/>
  <c r="V414" i="1"/>
  <c r="V495" i="1"/>
  <c r="U333" i="1"/>
  <c r="U216" i="1"/>
  <c r="U464" i="1"/>
  <c r="U258" i="1"/>
  <c r="V464" i="1"/>
  <c r="U488" i="1"/>
  <c r="V333" i="1"/>
  <c r="U448" i="1"/>
  <c r="V319" i="1"/>
  <c r="U422" i="1"/>
  <c r="V337" i="1"/>
  <c r="V461" i="1"/>
  <c r="U461" i="1"/>
  <c r="U706" i="1"/>
  <c r="V422" i="1"/>
  <c r="U337" i="1"/>
  <c r="U689" i="1"/>
  <c r="U416" i="1"/>
  <c r="U643" i="1"/>
  <c r="U737" i="1"/>
  <c r="U571" i="1"/>
  <c r="U561" i="1"/>
  <c r="AX445" i="1"/>
  <c r="AT445" i="1"/>
  <c r="AX710" i="1"/>
  <c r="AT710" i="1"/>
  <c r="AX712" i="1"/>
  <c r="AT712" i="1"/>
  <c r="U142" i="1"/>
  <c r="AX322" i="1"/>
  <c r="AT322" i="1"/>
  <c r="AX713" i="1"/>
  <c r="AT713" i="1"/>
  <c r="N751" i="1"/>
  <c r="AY751" i="1"/>
  <c r="U692" i="1"/>
  <c r="AX290" i="1"/>
  <c r="AT290" i="1"/>
  <c r="U560" i="1"/>
  <c r="U679" i="1"/>
  <c r="V296" i="1"/>
  <c r="AP532" i="1"/>
  <c r="V258" i="1"/>
  <c r="AX709" i="1"/>
  <c r="AT709" i="1"/>
  <c r="U652" i="1"/>
  <c r="AX734" i="1"/>
  <c r="AT734" i="1"/>
  <c r="T312" i="1"/>
  <c r="AX312" i="1"/>
  <c r="AT312" i="1"/>
  <c r="AX736" i="1"/>
  <c r="AT736" i="1"/>
  <c r="AX594" i="1"/>
  <c r="AT594" i="1"/>
  <c r="S268" i="1"/>
  <c r="N268" i="1" s="1"/>
  <c r="AP268" i="1" s="1"/>
  <c r="AW268" i="1"/>
  <c r="AX339" i="1"/>
  <c r="AT339" i="1"/>
  <c r="V142" i="1"/>
  <c r="AX507" i="1"/>
  <c r="AT507" i="1"/>
  <c r="U671" i="1"/>
  <c r="U296" i="1"/>
  <c r="U680" i="1"/>
  <c r="V451" i="1"/>
  <c r="U451" i="1"/>
  <c r="U428" i="1"/>
  <c r="U319" i="1"/>
  <c r="V428" i="1"/>
  <c r="AX744" i="1"/>
  <c r="AT744" i="1"/>
  <c r="N383" i="1"/>
  <c r="AP383" i="1" s="1"/>
  <c r="AY383" i="1"/>
  <c r="AX482" i="1"/>
  <c r="AT482" i="1"/>
  <c r="AX266" i="1"/>
  <c r="AT266" i="1"/>
  <c r="AX223" i="1"/>
  <c r="AT223" i="1"/>
  <c r="T119" i="1"/>
  <c r="N119" i="1" s="1"/>
  <c r="AP119" i="1" s="1"/>
  <c r="AT119" i="1"/>
  <c r="AX68" i="1"/>
  <c r="AT68" i="1"/>
  <c r="T546" i="1"/>
  <c r="AU546" i="1"/>
  <c r="N587" i="1"/>
  <c r="AY587" i="1"/>
  <c r="N213" i="1"/>
  <c r="AY213" i="1"/>
  <c r="T267" i="1"/>
  <c r="AY267" i="1" s="1"/>
  <c r="AU267" i="1"/>
  <c r="AS493" i="1"/>
  <c r="AT493" i="1" s="1"/>
  <c r="AX212" i="1"/>
  <c r="AT212" i="1"/>
  <c r="N433" i="1"/>
  <c r="AP433" i="1" s="1"/>
  <c r="AY433" i="1"/>
  <c r="AX693" i="1"/>
  <c r="AT693" i="1"/>
  <c r="N343" i="1"/>
  <c r="AY343" i="1"/>
  <c r="AX699" i="1"/>
  <c r="AT699" i="1"/>
  <c r="T114" i="1"/>
  <c r="N114" i="1" s="1"/>
  <c r="AP114" i="1" s="1"/>
  <c r="AT90" i="1"/>
  <c r="AX704" i="1"/>
  <c r="AT704" i="1"/>
  <c r="AX496" i="1"/>
  <c r="AT496" i="1"/>
  <c r="AX525" i="1"/>
  <c r="AT525" i="1"/>
  <c r="AX707" i="1"/>
  <c r="AT707" i="1"/>
  <c r="N80" i="1"/>
  <c r="AP80" i="1" s="1"/>
  <c r="AT80" i="1"/>
  <c r="N439" i="1"/>
  <c r="AP439" i="1" s="1"/>
  <c r="AY439" i="1"/>
  <c r="U725" i="1"/>
  <c r="U691" i="1"/>
  <c r="U682" i="1"/>
  <c r="T353" i="1"/>
  <c r="AX336" i="1"/>
  <c r="AT336" i="1"/>
  <c r="U325" i="1"/>
  <c r="U640" i="1"/>
  <c r="V325" i="1"/>
  <c r="N340" i="1"/>
  <c r="AP340" i="1" s="1"/>
  <c r="AY340" i="1"/>
  <c r="N466" i="1"/>
  <c r="AP466" i="1" s="1"/>
  <c r="AY466" i="1"/>
  <c r="AX329" i="1"/>
  <c r="AT329" i="1"/>
  <c r="AX600" i="1"/>
  <c r="AT600" i="1"/>
  <c r="AS518" i="1"/>
  <c r="AT235" i="1"/>
  <c r="T137" i="1"/>
  <c r="AX332" i="1"/>
  <c r="AT332" i="1"/>
  <c r="AX320" i="1"/>
  <c r="AT320" i="1"/>
  <c r="U586" i="1"/>
  <c r="V448" i="1"/>
  <c r="N631" i="1"/>
  <c r="AP631" i="1" s="1"/>
  <c r="AY631" i="1"/>
  <c r="N391" i="1"/>
  <c r="AP391" i="1" s="1"/>
  <c r="AY391" i="1"/>
  <c r="N265" i="1"/>
  <c r="AP265" i="1" s="1"/>
  <c r="AY265" i="1"/>
  <c r="AX306" i="1"/>
  <c r="AT306" i="1"/>
  <c r="T134" i="1"/>
  <c r="N134" i="1" s="1"/>
  <c r="AP134" i="1" s="1"/>
  <c r="AT114" i="1"/>
  <c r="AX137" i="1"/>
  <c r="AT137" i="1"/>
  <c r="N374" i="1"/>
  <c r="AP374" i="1" s="1"/>
  <c r="AY374" i="1"/>
  <c r="N584" i="1"/>
  <c r="AP584" i="1" s="1"/>
  <c r="AY584" i="1"/>
  <c r="N276" i="1"/>
  <c r="AP276" i="1" s="1"/>
  <c r="AY276" i="1"/>
  <c r="AX353" i="1"/>
  <c r="AT353" i="1"/>
  <c r="N598" i="1"/>
  <c r="AY598" i="1"/>
  <c r="N468" i="1"/>
  <c r="AP468" i="1" s="1"/>
  <c r="AY468" i="1"/>
  <c r="AX613" i="1"/>
  <c r="AT613" i="1"/>
  <c r="AX595" i="1"/>
  <c r="AT595" i="1"/>
  <c r="AX632" i="1"/>
  <c r="AT632" i="1"/>
  <c r="T23" i="1"/>
  <c r="N23" i="1" s="1"/>
  <c r="AP23" i="1" s="1"/>
  <c r="AT23" i="1"/>
  <c r="AX609" i="1"/>
  <c r="AT609" i="1"/>
  <c r="AX278" i="1"/>
  <c r="AT278" i="1"/>
  <c r="AX723" i="1"/>
  <c r="AT723" i="1"/>
  <c r="AX283" i="1"/>
  <c r="AT283" i="1"/>
  <c r="T129" i="1"/>
  <c r="AT129" i="1"/>
  <c r="AX684" i="1"/>
  <c r="AT684" i="1"/>
  <c r="T136" i="1"/>
  <c r="N136" i="1" s="1"/>
  <c r="AP136" i="1" s="1"/>
  <c r="AT136" i="1"/>
  <c r="T192" i="1"/>
  <c r="N192" i="1" s="1"/>
  <c r="AP192" i="1" s="1"/>
  <c r="AT192" i="1"/>
  <c r="AX327" i="1"/>
  <c r="AT327" i="1"/>
  <c r="U687" i="1"/>
  <c r="U523" i="1"/>
  <c r="U658" i="1"/>
  <c r="T656" i="1"/>
  <c r="AU656" i="1"/>
  <c r="N214" i="1"/>
  <c r="AP214" i="1" s="1"/>
  <c r="AY214" i="1"/>
  <c r="U51" i="1"/>
  <c r="N441" i="1"/>
  <c r="AP441" i="1" s="1"/>
  <c r="AY441" i="1"/>
  <c r="N215" i="1"/>
  <c r="AP215" i="1" s="1"/>
  <c r="AY215" i="1"/>
  <c r="T384" i="1"/>
  <c r="AY384" i="1" s="1"/>
  <c r="AU384" i="1"/>
  <c r="N419" i="1"/>
  <c r="AP419" i="1" s="1"/>
  <c r="AY419" i="1"/>
  <c r="N406" i="1"/>
  <c r="AY406" i="1"/>
  <c r="N592" i="1"/>
  <c r="AY592" i="1"/>
  <c r="AX328" i="1"/>
  <c r="AT328" i="1"/>
  <c r="AX677" i="1"/>
  <c r="AT677" i="1"/>
  <c r="AX547" i="1"/>
  <c r="AT547" i="1"/>
  <c r="AS653" i="1"/>
  <c r="AT112" i="1"/>
  <c r="S749" i="1"/>
  <c r="AW749" i="1"/>
  <c r="AX648" i="1"/>
  <c r="AT648" i="1"/>
  <c r="AX683" i="1"/>
  <c r="AT683" i="1"/>
  <c r="T208" i="1"/>
  <c r="N446" i="1"/>
  <c r="AP446" i="1" s="1"/>
  <c r="AY446" i="1"/>
  <c r="AX279" i="1"/>
  <c r="AT279" i="1"/>
  <c r="U633" i="1"/>
  <c r="N373" i="1"/>
  <c r="AP373" i="1" s="1"/>
  <c r="AY373" i="1"/>
  <c r="V295" i="1"/>
  <c r="N552" i="1"/>
  <c r="AP552" i="1" s="1"/>
  <c r="AY552" i="1"/>
  <c r="T435" i="1"/>
  <c r="AU435" i="1"/>
  <c r="N231" i="1"/>
  <c r="AP231" i="1" s="1"/>
  <c r="AY231" i="1"/>
  <c r="V51" i="1"/>
  <c r="N217" i="1"/>
  <c r="AP217" i="1" s="1"/>
  <c r="AY217" i="1"/>
  <c r="N284" i="1"/>
  <c r="AY284" i="1"/>
  <c r="N427" i="1"/>
  <c r="AY427" i="1"/>
  <c r="AP491" i="1"/>
  <c r="AX610" i="1"/>
  <c r="AT610" i="1"/>
  <c r="AX601" i="1"/>
  <c r="AT601" i="1"/>
  <c r="AX316" i="1"/>
  <c r="AT316" i="1"/>
  <c r="N328" i="1"/>
  <c r="AP328" i="1" s="1"/>
  <c r="AY328" i="1"/>
  <c r="AX342" i="1"/>
  <c r="AT342" i="1"/>
  <c r="AX490" i="1"/>
  <c r="AT490" i="1"/>
  <c r="AX681" i="1"/>
  <c r="AT681" i="1"/>
  <c r="AX287" i="1"/>
  <c r="AT287" i="1"/>
  <c r="U716" i="1"/>
  <c r="S642" i="1"/>
  <c r="N642" i="1" s="1"/>
  <c r="AP642" i="1" s="1"/>
  <c r="AW642" i="1"/>
  <c r="U467" i="1"/>
  <c r="N659" i="1"/>
  <c r="AP659" i="1" s="1"/>
  <c r="AY659" i="1"/>
  <c r="V467" i="1"/>
  <c r="N463" i="1"/>
  <c r="AP463" i="1" s="1"/>
  <c r="AY463" i="1"/>
  <c r="N389" i="1"/>
  <c r="AP389" i="1" s="1"/>
  <c r="AY389" i="1"/>
  <c r="N407" i="1"/>
  <c r="AY407" i="1"/>
  <c r="T567" i="1"/>
  <c r="AU567" i="1"/>
  <c r="N218" i="1"/>
  <c r="AP218" i="1" s="1"/>
  <c r="AY218" i="1"/>
  <c r="N269" i="1"/>
  <c r="AP269" i="1" s="1"/>
  <c r="AY269" i="1"/>
  <c r="AX292" i="1"/>
  <c r="AT292" i="1"/>
  <c r="N585" i="1"/>
  <c r="AY585" i="1"/>
  <c r="AX313" i="1"/>
  <c r="AT313" i="1"/>
  <c r="N413" i="1"/>
  <c r="AY413" i="1"/>
  <c r="AX360" i="1"/>
  <c r="AT360" i="1"/>
  <c r="AX537" i="1"/>
  <c r="AT537" i="1"/>
  <c r="T436" i="1"/>
  <c r="AY436" i="1" s="1"/>
  <c r="AU436" i="1"/>
  <c r="AS631" i="1"/>
  <c r="AT631" i="1" s="1"/>
  <c r="AX330" i="1"/>
  <c r="AT330" i="1"/>
  <c r="N666" i="1"/>
  <c r="AY666" i="1"/>
  <c r="AX611" i="1"/>
  <c r="AT611" i="1"/>
  <c r="AX315" i="1"/>
  <c r="AT315" i="1"/>
  <c r="AX700" i="1"/>
  <c r="AT700" i="1"/>
  <c r="AX437" i="1"/>
  <c r="AT437" i="1"/>
  <c r="AS598" i="1"/>
  <c r="AT598" i="1" s="1"/>
  <c r="AT87" i="1"/>
  <c r="AX647" i="1"/>
  <c r="AT647" i="1"/>
  <c r="T369" i="1"/>
  <c r="N369" i="1" s="1"/>
  <c r="AP369" i="1" s="1"/>
  <c r="AT369" i="1"/>
  <c r="AX335" i="1"/>
  <c r="AT335" i="1"/>
  <c r="N695" i="1"/>
  <c r="AP695" i="1" s="1"/>
  <c r="AU695" i="1"/>
  <c r="T506" i="1"/>
  <c r="AU506" i="1"/>
  <c r="AX334" i="1"/>
  <c r="AT334" i="1"/>
  <c r="N442" i="1"/>
  <c r="AP442" i="1" s="1"/>
  <c r="AY442" i="1"/>
  <c r="T73" i="1"/>
  <c r="N73" i="1" s="1"/>
  <c r="AP73" i="1" s="1"/>
  <c r="AT73" i="1"/>
  <c r="N426" i="1"/>
  <c r="U426" i="1" s="1"/>
  <c r="AY426" i="1"/>
  <c r="N299" i="1"/>
  <c r="AP299" i="1" s="1"/>
  <c r="AY299" i="1"/>
  <c r="AX603" i="1"/>
  <c r="AT603" i="1"/>
  <c r="N392" i="1"/>
  <c r="AP392" i="1" s="1"/>
  <c r="AY392" i="1"/>
  <c r="N615" i="1"/>
  <c r="AP615" i="1" s="1"/>
  <c r="AY615" i="1"/>
  <c r="N410" i="1"/>
  <c r="AY410" i="1"/>
  <c r="AX629" i="1"/>
  <c r="AT629" i="1"/>
  <c r="AX665" i="1"/>
  <c r="AT665" i="1"/>
  <c r="N300" i="1"/>
  <c r="AP300" i="1" s="1"/>
  <c r="AY300" i="1"/>
  <c r="N308" i="1"/>
  <c r="AP308" i="1" s="1"/>
  <c r="AY308" i="1"/>
  <c r="U703" i="1"/>
  <c r="T330" i="1"/>
  <c r="V408" i="1"/>
  <c r="V404" i="1"/>
  <c r="U674" i="1"/>
  <c r="AP674" i="1"/>
  <c r="N612" i="1"/>
  <c r="U612" i="1" s="1"/>
  <c r="T306" i="1"/>
  <c r="AY306" i="1" s="1"/>
  <c r="T334" i="1"/>
  <c r="T339" i="1"/>
  <c r="T44" i="1"/>
  <c r="AT64" i="1" s="1"/>
  <c r="T440" i="1"/>
  <c r="T450" i="1"/>
  <c r="T302" i="1"/>
  <c r="U172" i="1"/>
  <c r="V172" i="1"/>
  <c r="P455" i="1"/>
  <c r="T455" i="1" s="1"/>
  <c r="S518" i="1"/>
  <c r="S522" i="1"/>
  <c r="T344" i="1"/>
  <c r="T162" i="1"/>
  <c r="N162" i="1" s="1"/>
  <c r="AP162" i="1" s="1"/>
  <c r="P351" i="1"/>
  <c r="T338" i="1"/>
  <c r="N87" i="1"/>
  <c r="AP87" i="1" s="1"/>
  <c r="T109" i="1"/>
  <c r="N109" i="1" s="1"/>
  <c r="AP109" i="1" s="1"/>
  <c r="S390" i="1"/>
  <c r="S581" i="1"/>
  <c r="N581" i="1" s="1"/>
  <c r="AP581" i="1" s="1"/>
  <c r="T583" i="1"/>
  <c r="T460" i="1"/>
  <c r="T470" i="1"/>
  <c r="N449" i="1"/>
  <c r="AP449" i="1" s="1"/>
  <c r="T459" i="1"/>
  <c r="T139" i="1"/>
  <c r="N139" i="1" s="1"/>
  <c r="AP139" i="1" s="1"/>
  <c r="T713" i="1"/>
  <c r="U135" i="1"/>
  <c r="V135" i="1"/>
  <c r="T492" i="1"/>
  <c r="T549" i="1"/>
  <c r="S625" i="1"/>
  <c r="N625" i="1" s="1"/>
  <c r="AP625" i="1" s="1"/>
  <c r="T627" i="1"/>
  <c r="N153" i="1"/>
  <c r="AP153" i="1" s="1"/>
  <c r="T712" i="1"/>
  <c r="T212" i="1"/>
  <c r="T736" i="1"/>
  <c r="T309" i="1"/>
  <c r="N97" i="1"/>
  <c r="AP97" i="1" s="1"/>
  <c r="N121" i="1"/>
  <c r="AP121" i="1" s="1"/>
  <c r="S634" i="1"/>
  <c r="T132" i="1"/>
  <c r="N292" i="1"/>
  <c r="AP292" i="1" s="1"/>
  <c r="T350" i="1"/>
  <c r="T710" i="1"/>
  <c r="N635" i="1"/>
  <c r="AP635" i="1" s="1"/>
  <c r="N734" i="1"/>
  <c r="AP734" i="1" s="1"/>
  <c r="V168" i="1"/>
  <c r="U168" i="1"/>
  <c r="T297" i="1"/>
  <c r="N161" i="1"/>
  <c r="AP161" i="1" s="1"/>
  <c r="T709" i="1"/>
  <c r="T90" i="1"/>
  <c r="N90" i="1" s="1"/>
  <c r="AP90" i="1" s="1"/>
  <c r="N145" i="1"/>
  <c r="AP145" i="1" s="1"/>
  <c r="AS396" i="1"/>
  <c r="S396" i="1" s="1"/>
  <c r="T596" i="1"/>
  <c r="T614" i="1"/>
  <c r="V74" i="1"/>
  <c r="U74" i="1"/>
  <c r="U237" i="1"/>
  <c r="U618" i="1"/>
  <c r="U372" i="1"/>
  <c r="U732" i="1"/>
  <c r="U246" i="1"/>
  <c r="V237" i="1"/>
  <c r="U741" i="1"/>
  <c r="V416" i="1"/>
  <c r="V412" i="1"/>
  <c r="V251" i="1"/>
  <c r="U412" i="1"/>
  <c r="U559" i="1"/>
  <c r="U673" i="1"/>
  <c r="U251" i="1"/>
  <c r="U569" i="1"/>
  <c r="U566" i="1"/>
  <c r="V372" i="1"/>
  <c r="V247" i="1"/>
  <c r="V246" i="1"/>
  <c r="U702" i="1"/>
  <c r="U512" i="1"/>
  <c r="V233" i="1"/>
  <c r="U233" i="1"/>
  <c r="U539" i="1"/>
  <c r="U500" i="1"/>
  <c r="U550" i="1"/>
  <c r="U509" i="1"/>
  <c r="V429" i="1"/>
  <c r="U623" i="1"/>
  <c r="U670" i="1"/>
  <c r="U429" i="1"/>
  <c r="U697" i="1"/>
  <c r="U379" i="1"/>
  <c r="V379" i="1"/>
  <c r="U545" i="1"/>
  <c r="N527" i="1"/>
  <c r="AP527" i="1" s="1"/>
  <c r="U493" i="1"/>
  <c r="U721" i="1"/>
  <c r="V409" i="1"/>
  <c r="U513" i="1"/>
  <c r="U626" i="1"/>
  <c r="U430" i="1"/>
  <c r="U564" i="1"/>
  <c r="U404" i="1"/>
  <c r="U245" i="1"/>
  <c r="U256" i="1"/>
  <c r="V245" i="1"/>
  <c r="U393" i="1"/>
  <c r="V393" i="1"/>
  <c r="U533" i="1"/>
  <c r="U401" i="1"/>
  <c r="V401" i="1"/>
  <c r="V375" i="1"/>
  <c r="V377" i="1"/>
  <c r="U570" i="1"/>
  <c r="U375" i="1"/>
  <c r="U377" i="1"/>
  <c r="V321" i="1"/>
  <c r="U657" i="1"/>
  <c r="U402" i="1"/>
  <c r="U321" i="1"/>
  <c r="U722" i="1"/>
  <c r="U220" i="1"/>
  <c r="U739" i="1"/>
  <c r="V220" i="1"/>
  <c r="U610" i="1"/>
  <c r="U397" i="1"/>
  <c r="U543" i="1"/>
  <c r="V397" i="1"/>
  <c r="U331" i="1"/>
  <c r="U505" i="1"/>
  <c r="U530" i="1"/>
  <c r="V227" i="1"/>
  <c r="U395" i="1"/>
  <c r="V361" i="1"/>
  <c r="U399" i="1"/>
  <c r="V399" i="1"/>
  <c r="U453" i="1"/>
  <c r="V331" i="1"/>
  <c r="V367" i="1"/>
  <c r="U355" i="1"/>
  <c r="U367" i="1"/>
  <c r="V364" i="1"/>
  <c r="U356" i="1"/>
  <c r="U621" i="1"/>
  <c r="U364" i="1"/>
  <c r="V356" i="1"/>
  <c r="U531" i="1"/>
  <c r="V111" i="1"/>
  <c r="U111" i="1"/>
  <c r="V219" i="1"/>
  <c r="V456" i="1"/>
  <c r="V349" i="1"/>
  <c r="U219" i="1"/>
  <c r="U456" i="1"/>
  <c r="U603" i="1"/>
  <c r="V432" i="1"/>
  <c r="U432" i="1"/>
  <c r="U742" i="1"/>
  <c r="U548" i="1"/>
  <c r="V281" i="1"/>
  <c r="U620" i="1"/>
  <c r="V264" i="1"/>
  <c r="U281" i="1"/>
  <c r="U662" i="1"/>
  <c r="U264" i="1"/>
  <c r="U563" i="1"/>
  <c r="U607" i="1"/>
  <c r="U738" i="1"/>
  <c r="U408" i="1"/>
  <c r="U651" i="1"/>
  <c r="V271" i="1"/>
  <c r="U630" i="1"/>
  <c r="U271" i="1"/>
  <c r="U599" i="1"/>
  <c r="V358" i="1"/>
  <c r="U358" i="1"/>
  <c r="V395" i="1"/>
  <c r="U718" i="1"/>
  <c r="U240" i="1"/>
  <c r="V260" i="1"/>
  <c r="U260" i="1"/>
  <c r="U307" i="1"/>
  <c r="V307" i="1"/>
  <c r="U604" i="1"/>
  <c r="U554" i="1"/>
  <c r="V370" i="1"/>
  <c r="U370" i="1"/>
  <c r="U565" i="1"/>
  <c r="V425" i="1"/>
  <c r="V415" i="1"/>
  <c r="V424" i="1"/>
  <c r="U582" i="1"/>
  <c r="U415" i="1"/>
  <c r="U424" i="1"/>
  <c r="V403" i="1"/>
  <c r="V368" i="1"/>
  <c r="U403" i="1"/>
  <c r="V355" i="1"/>
  <c r="U409" i="1"/>
  <c r="V240" i="1"/>
  <c r="V365" i="1"/>
  <c r="V402" i="1"/>
  <c r="V314" i="1"/>
  <c r="U731" i="1"/>
  <c r="U314" i="1"/>
  <c r="V458" i="1"/>
  <c r="U562" i="1"/>
  <c r="U458" i="1"/>
  <c r="U239" i="1"/>
  <c r="U608" i="1"/>
  <c r="V239" i="1"/>
  <c r="V280" i="1"/>
  <c r="U526" i="1"/>
  <c r="U280" i="1"/>
  <c r="U365" i="1"/>
  <c r="V360" i="1"/>
  <c r="U745" i="1"/>
  <c r="U360" i="1"/>
  <c r="U405" i="1"/>
  <c r="U606" i="1"/>
  <c r="V263" i="1"/>
  <c r="V405" i="1"/>
  <c r="U425" i="1"/>
  <c r="U665" i="1"/>
  <c r="U711" i="1"/>
  <c r="U740" i="1"/>
  <c r="U484" i="1"/>
  <c r="U368" i="1"/>
  <c r="V326" i="1"/>
  <c r="U326" i="1"/>
  <c r="U663" i="1"/>
  <c r="U605" i="1"/>
  <c r="U568" i="1"/>
  <c r="U497" i="1"/>
  <c r="V261" i="1"/>
  <c r="U261" i="1"/>
  <c r="U717" i="1"/>
  <c r="U743" i="1"/>
  <c r="U579" i="1"/>
  <c r="V298" i="1"/>
  <c r="U483" i="1"/>
  <c r="U298" i="1"/>
  <c r="V221" i="1"/>
  <c r="U694" i="1"/>
  <c r="V341" i="1"/>
  <c r="U341" i="1"/>
  <c r="U602" i="1"/>
  <c r="U601" i="1"/>
  <c r="U357" i="1"/>
  <c r="U535" i="1"/>
  <c r="V357" i="1"/>
  <c r="U613" i="1"/>
  <c r="V434" i="1"/>
  <c r="U434" i="1"/>
  <c r="U747" i="1"/>
  <c r="U263" i="1"/>
  <c r="V366" i="1"/>
  <c r="V256" i="1"/>
  <c r="U361" i="1"/>
  <c r="U366" i="1"/>
  <c r="U720" i="1"/>
  <c r="U222" i="1"/>
  <c r="U486" i="1"/>
  <c r="V222" i="1"/>
  <c r="V359" i="1"/>
  <c r="U221" i="1"/>
  <c r="U423" i="1"/>
  <c r="V228" i="1"/>
  <c r="U359" i="1"/>
  <c r="V423" i="1"/>
  <c r="U228" i="1"/>
  <c r="U227" i="1"/>
  <c r="U349" i="1"/>
  <c r="N223" i="1"/>
  <c r="AP223" i="1" s="1"/>
  <c r="T210" i="1"/>
  <c r="N611" i="1"/>
  <c r="AP611" i="1" s="1"/>
  <c r="N315" i="1"/>
  <c r="AP315" i="1" s="1"/>
  <c r="T647" i="1"/>
  <c r="N335" i="1"/>
  <c r="AP335" i="1" s="1"/>
  <c r="N279" i="1"/>
  <c r="AP279" i="1" s="1"/>
  <c r="U600" i="1"/>
  <c r="U508" i="1"/>
  <c r="V453" i="1"/>
  <c r="V236" i="1"/>
  <c r="V400" i="1"/>
  <c r="N316" i="1"/>
  <c r="AP316" i="1" s="1"/>
  <c r="N68" i="1"/>
  <c r="AP68" i="1" s="1"/>
  <c r="U577" i="1"/>
  <c r="U521" i="1"/>
  <c r="U236" i="1"/>
  <c r="U400" i="1"/>
  <c r="N342" i="1"/>
  <c r="AP342" i="1" s="1"/>
  <c r="N287" i="1"/>
  <c r="AP287" i="1" s="1"/>
  <c r="V238" i="1"/>
  <c r="V282" i="1"/>
  <c r="U628" i="1"/>
  <c r="V420" i="1"/>
  <c r="N336" i="1"/>
  <c r="AP336" i="1" s="1"/>
  <c r="T266" i="1"/>
  <c r="N744" i="1"/>
  <c r="AP744" i="1" s="1"/>
  <c r="T507" i="1"/>
  <c r="U529" i="1"/>
  <c r="U485" i="1"/>
  <c r="V262" i="1"/>
  <c r="U421" i="1"/>
  <c r="U238" i="1"/>
  <c r="U282" i="1"/>
  <c r="U669" i="1"/>
  <c r="U420" i="1"/>
  <c r="V301" i="1"/>
  <c r="U252" i="1"/>
  <c r="V252" i="1"/>
  <c r="V211" i="1"/>
  <c r="U211" i="1"/>
  <c r="N632" i="1"/>
  <c r="AP632" i="1" s="1"/>
  <c r="T683" i="1"/>
  <c r="T684" i="1"/>
  <c r="N332" i="1"/>
  <c r="AP332" i="1" s="1"/>
  <c r="U262" i="1"/>
  <c r="V421" i="1"/>
  <c r="U329" i="1"/>
  <c r="U301" i="1"/>
  <c r="N609" i="1"/>
  <c r="AP609" i="1" s="1"/>
  <c r="N278" i="1"/>
  <c r="AP278" i="1" s="1"/>
  <c r="N283" i="1"/>
  <c r="AP283" i="1" s="1"/>
  <c r="P437" i="1"/>
  <c r="AU437" i="1" s="1"/>
  <c r="T681" i="1"/>
  <c r="N327" i="1"/>
  <c r="AP327" i="1" s="1"/>
  <c r="U719" i="1"/>
  <c r="V242" i="1"/>
  <c r="U629" i="1"/>
  <c r="V329" i="1"/>
  <c r="V431" i="1"/>
  <c r="T693" i="1"/>
  <c r="N482" i="1"/>
  <c r="AP482" i="1" s="1"/>
  <c r="AS593" i="1"/>
  <c r="S593" i="1" s="1"/>
  <c r="T648" i="1"/>
  <c r="N320" i="1"/>
  <c r="AP320" i="1" s="1"/>
  <c r="U242" i="1"/>
  <c r="U431" i="1"/>
  <c r="N150" i="1"/>
  <c r="AP150" i="1" s="1"/>
  <c r="N89" i="1"/>
  <c r="AP89" i="1" s="1"/>
  <c r="N201" i="1"/>
  <c r="AP201" i="1" s="1"/>
  <c r="N29" i="1"/>
  <c r="AP29" i="1" s="1"/>
  <c r="N154" i="1"/>
  <c r="AP154" i="1" s="1"/>
  <c r="N43" i="1"/>
  <c r="AP43" i="1" s="1"/>
  <c r="N156" i="1"/>
  <c r="AP156" i="1" s="1"/>
  <c r="N133" i="1"/>
  <c r="AP133" i="1" s="1"/>
  <c r="N100" i="1"/>
  <c r="AP100" i="1" s="1"/>
  <c r="N158" i="1"/>
  <c r="AP158" i="1" s="1"/>
  <c r="N30" i="1"/>
  <c r="AP30" i="1" s="1"/>
  <c r="N196" i="1"/>
  <c r="AP196" i="1" s="1"/>
  <c r="N118" i="1"/>
  <c r="AP118" i="1" s="1"/>
  <c r="N82" i="1"/>
  <c r="AP82" i="1" s="1"/>
  <c r="N191" i="1"/>
  <c r="AP191" i="1" s="1"/>
  <c r="N60" i="1"/>
  <c r="AP60" i="1" s="1"/>
  <c r="N39" i="1"/>
  <c r="AP39" i="1" s="1"/>
  <c r="N86" i="1"/>
  <c r="AP86" i="1" s="1"/>
  <c r="N152" i="1"/>
  <c r="AP152" i="1" s="1"/>
  <c r="N160" i="1"/>
  <c r="AP160" i="1" s="1"/>
  <c r="N98" i="1"/>
  <c r="AP98" i="1" s="1"/>
  <c r="N166" i="1"/>
  <c r="AP166" i="1" s="1"/>
  <c r="N31" i="1"/>
  <c r="AP31" i="1" s="1"/>
  <c r="N72" i="1"/>
  <c r="AP72" i="1" s="1"/>
  <c r="N101" i="1"/>
  <c r="AP101" i="1" s="1"/>
  <c r="N189" i="1"/>
  <c r="AP189" i="1" s="1"/>
  <c r="N155" i="1"/>
  <c r="AP155" i="1" s="1"/>
  <c r="N190" i="1"/>
  <c r="AP190" i="1" s="1"/>
  <c r="N49" i="1"/>
  <c r="AP49" i="1" s="1"/>
  <c r="N61" i="1"/>
  <c r="AP61" i="1" s="1"/>
  <c r="N66" i="1"/>
  <c r="AP66" i="1" s="1"/>
  <c r="N195" i="1"/>
  <c r="AP195" i="1" s="1"/>
  <c r="N94" i="1"/>
  <c r="AP94" i="1" s="1"/>
  <c r="N27" i="1"/>
  <c r="AP27" i="1" s="1"/>
  <c r="N103" i="1"/>
  <c r="AP103" i="1" s="1"/>
  <c r="N102" i="1"/>
  <c r="AP102" i="1" s="1"/>
  <c r="U130" i="1"/>
  <c r="N138" i="1"/>
  <c r="AP138" i="1" s="1"/>
  <c r="N67" i="1"/>
  <c r="AP67" i="1" s="1"/>
  <c r="N124" i="1"/>
  <c r="AP124" i="1" s="1"/>
  <c r="N198" i="1"/>
  <c r="AP198" i="1" s="1"/>
  <c r="N58" i="1"/>
  <c r="AP58" i="1" s="1"/>
  <c r="N20" i="1"/>
  <c r="AP20" i="1" s="1"/>
  <c r="N169" i="1"/>
  <c r="AP169" i="1" s="1"/>
  <c r="N193" i="1"/>
  <c r="AP193" i="1" s="1"/>
  <c r="N52" i="1"/>
  <c r="AP52" i="1" s="1"/>
  <c r="N199" i="1"/>
  <c r="AP199" i="1" s="1"/>
  <c r="N194" i="1"/>
  <c r="AP194" i="1" s="1"/>
  <c r="N151" i="1"/>
  <c r="AP151" i="1" s="1"/>
  <c r="N127" i="1"/>
  <c r="AP127" i="1" s="1"/>
  <c r="N197" i="1"/>
  <c r="AP197" i="1" s="1"/>
  <c r="N171" i="1"/>
  <c r="AP171" i="1" s="1"/>
  <c r="N250" i="1"/>
  <c r="AP250" i="1" s="1"/>
  <c r="N24" i="1"/>
  <c r="AP24" i="1" s="1"/>
  <c r="N244" i="1"/>
  <c r="AP244" i="1" s="1"/>
  <c r="N123" i="1"/>
  <c r="AP123" i="1" s="1"/>
  <c r="N128" i="1"/>
  <c r="AP128" i="1" s="1"/>
  <c r="N83" i="1"/>
  <c r="AP83" i="1" s="1"/>
  <c r="N41" i="1"/>
  <c r="AP41" i="1" s="1"/>
  <c r="N19" i="1"/>
  <c r="AP19" i="1" s="1"/>
  <c r="V207" i="1"/>
  <c r="U207" i="1"/>
  <c r="U487" i="1"/>
  <c r="V313" i="1"/>
  <c r="U313" i="1"/>
  <c r="N209" i="1"/>
  <c r="AP209" i="1" s="1"/>
  <c r="AS642" i="1"/>
  <c r="V273" i="1"/>
  <c r="U273" i="1"/>
  <c r="U288" i="1"/>
  <c r="V288" i="1"/>
  <c r="U668" i="1"/>
  <c r="U661" i="1"/>
  <c r="U667" i="1"/>
  <c r="AS644" i="1"/>
  <c r="AT644" i="1" s="1"/>
  <c r="U672" i="1"/>
  <c r="U664" i="1"/>
  <c r="U617" i="1"/>
  <c r="AS634" i="1"/>
  <c r="N122" i="1"/>
  <c r="AP122" i="1" s="1"/>
  <c r="N619" i="1"/>
  <c r="AP619" i="1" s="1"/>
  <c r="T290" i="1"/>
  <c r="T594" i="1"/>
  <c r="T445" i="1"/>
  <c r="T182" i="1"/>
  <c r="S224" i="1"/>
  <c r="T700" i="1"/>
  <c r="T525" i="1"/>
  <c r="N34" i="1"/>
  <c r="AP34" i="1" s="1"/>
  <c r="T572" i="1"/>
  <c r="N117" i="1"/>
  <c r="AP117" i="1" s="1"/>
  <c r="T704" i="1"/>
  <c r="T705" i="1"/>
  <c r="T699" i="1"/>
  <c r="T496" i="1"/>
  <c r="T188" i="1"/>
  <c r="T537" i="1"/>
  <c r="T707" i="1"/>
  <c r="T547" i="1"/>
  <c r="N84" i="1"/>
  <c r="AP84" i="1" s="1"/>
  <c r="N62" i="1"/>
  <c r="AP62" i="1" s="1"/>
  <c r="T235" i="1"/>
  <c r="T112" i="1"/>
  <c r="T187" i="1"/>
  <c r="AS650" i="1"/>
  <c r="S650" i="1" s="1"/>
  <c r="T723" i="1"/>
  <c r="T677" i="1"/>
  <c r="AY677" i="1" s="1"/>
  <c r="T622" i="1"/>
  <c r="S748" i="1"/>
  <c r="S494" i="1"/>
  <c r="S230" i="1"/>
  <c r="U205" i="10"/>
  <c r="K480" i="1"/>
  <c r="K205" i="1" s="1"/>
  <c r="L480" i="1"/>
  <c r="L205" i="1" s="1"/>
  <c r="M480" i="1"/>
  <c r="M205" i="1" s="1"/>
  <c r="O480" i="1"/>
  <c r="O205" i="1" s="1"/>
  <c r="O14" i="1" s="1"/>
  <c r="Q480" i="1"/>
  <c r="Q205" i="1" s="1"/>
  <c r="J480" i="1"/>
  <c r="J205" i="1"/>
  <c r="Z592" i="1"/>
  <c r="N322" i="1" l="1"/>
  <c r="S385" i="1"/>
  <c r="V292" i="1"/>
  <c r="V276" i="1"/>
  <c r="V444" i="1"/>
  <c r="U444" i="1"/>
  <c r="V268" i="1"/>
  <c r="V433" i="1"/>
  <c r="U631" i="1"/>
  <c r="U328" i="1"/>
  <c r="U340" i="1"/>
  <c r="V328" i="1"/>
  <c r="V441" i="1"/>
  <c r="V391" i="1"/>
  <c r="U441" i="1"/>
  <c r="U391" i="1"/>
  <c r="U231" i="1"/>
  <c r="V231" i="1"/>
  <c r="U299" i="1"/>
  <c r="U468" i="1"/>
  <c r="V299" i="1"/>
  <c r="U214" i="1"/>
  <c r="V214" i="1"/>
  <c r="V340" i="1"/>
  <c r="V383" i="1"/>
  <c r="U433" i="1"/>
  <c r="U383" i="1"/>
  <c r="U442" i="1"/>
  <c r="U419" i="1"/>
  <c r="N129" i="1"/>
  <c r="AP129" i="1" s="1"/>
  <c r="U268" i="1"/>
  <c r="V442" i="1"/>
  <c r="U466" i="1"/>
  <c r="V419" i="1"/>
  <c r="V466" i="1"/>
  <c r="AX268" i="1"/>
  <c r="U659" i="1"/>
  <c r="U276" i="1"/>
  <c r="V217" i="1"/>
  <c r="V446" i="1"/>
  <c r="U584" i="1"/>
  <c r="V269" i="1"/>
  <c r="U446" i="1"/>
  <c r="U389" i="1"/>
  <c r="U269" i="1"/>
  <c r="U615" i="1"/>
  <c r="V389" i="1"/>
  <c r="U217" i="1"/>
  <c r="U300" i="1"/>
  <c r="N384" i="1"/>
  <c r="V468" i="1"/>
  <c r="U552" i="1"/>
  <c r="V300" i="1"/>
  <c r="U374" i="1"/>
  <c r="AP751" i="1"/>
  <c r="U751" i="1"/>
  <c r="AX593" i="1"/>
  <c r="AT593" i="1"/>
  <c r="N436" i="1"/>
  <c r="AP436" i="1" s="1"/>
  <c r="AY312" i="1"/>
  <c r="N312" i="1"/>
  <c r="U218" i="1"/>
  <c r="V392" i="1"/>
  <c r="V218" i="1"/>
  <c r="N455" i="1"/>
  <c r="AP455" i="1" s="1"/>
  <c r="AY455" i="1"/>
  <c r="N693" i="1"/>
  <c r="AP693" i="1" s="1"/>
  <c r="AY693" i="1"/>
  <c r="AP592" i="1"/>
  <c r="U592" i="1"/>
  <c r="N723" i="1"/>
  <c r="AP723" i="1" s="1"/>
  <c r="AY723" i="1"/>
  <c r="N492" i="1"/>
  <c r="AP492" i="1" s="1"/>
  <c r="AY492" i="1"/>
  <c r="AX748" i="1"/>
  <c r="AT748" i="1"/>
  <c r="N572" i="1"/>
  <c r="AP572" i="1" s="1"/>
  <c r="AY572" i="1"/>
  <c r="N445" i="1"/>
  <c r="AP445" i="1" s="1"/>
  <c r="AY445" i="1"/>
  <c r="V439" i="1"/>
  <c r="U373" i="1"/>
  <c r="N614" i="1"/>
  <c r="AP614" i="1" s="1"/>
  <c r="AY614" i="1"/>
  <c r="U265" i="1"/>
  <c r="T636" i="1"/>
  <c r="N636" i="1" s="1"/>
  <c r="AX634" i="1"/>
  <c r="AT634" i="1"/>
  <c r="N627" i="1"/>
  <c r="AP627" i="1" s="1"/>
  <c r="AY627" i="1"/>
  <c r="AP426" i="1"/>
  <c r="V426" i="1"/>
  <c r="N506" i="1"/>
  <c r="AY506" i="1"/>
  <c r="AX749" i="1"/>
  <c r="AT749" i="1"/>
  <c r="N699" i="1"/>
  <c r="AP699" i="1" s="1"/>
  <c r="AY699" i="1"/>
  <c r="N212" i="1"/>
  <c r="AP212" i="1" s="1"/>
  <c r="AY212" i="1"/>
  <c r="N518" i="1"/>
  <c r="AP518" i="1" s="1"/>
  <c r="AX518" i="1"/>
  <c r="AT518" i="1"/>
  <c r="N208" i="1"/>
  <c r="AY208" i="1"/>
  <c r="AP343" i="1"/>
  <c r="V343" i="1"/>
  <c r="U343" i="1"/>
  <c r="N583" i="1"/>
  <c r="AP583" i="1" s="1"/>
  <c r="AY583" i="1"/>
  <c r="AX230" i="1"/>
  <c r="AT230" i="1"/>
  <c r="AX224" i="1"/>
  <c r="AT224" i="1"/>
  <c r="N622" i="1"/>
  <c r="AP622" i="1" s="1"/>
  <c r="AY622" i="1"/>
  <c r="N496" i="1"/>
  <c r="AP496" i="1" s="1"/>
  <c r="AY496" i="1"/>
  <c r="AX376" i="1"/>
  <c r="AT376" i="1"/>
  <c r="N210" i="1"/>
  <c r="AP210" i="1" s="1"/>
  <c r="AY210" i="1"/>
  <c r="N596" i="1"/>
  <c r="AY596" i="1"/>
  <c r="N297" i="1"/>
  <c r="AP297" i="1" s="1"/>
  <c r="AY297" i="1"/>
  <c r="N710" i="1"/>
  <c r="AP710" i="1" s="1"/>
  <c r="AY710" i="1"/>
  <c r="AX625" i="1"/>
  <c r="N470" i="1"/>
  <c r="AP470" i="1" s="1"/>
  <c r="AY470" i="1"/>
  <c r="N351" i="1"/>
  <c r="AP351" i="1" s="1"/>
  <c r="AU351" i="1"/>
  <c r="AX522" i="1"/>
  <c r="AT522" i="1"/>
  <c r="N302" i="1"/>
  <c r="AP302" i="1" s="1"/>
  <c r="AY302" i="1"/>
  <c r="N334" i="1"/>
  <c r="AP334" i="1" s="1"/>
  <c r="AY334" i="1"/>
  <c r="N330" i="1"/>
  <c r="AY330" i="1"/>
  <c r="AX642" i="1"/>
  <c r="AT642" i="1"/>
  <c r="N656" i="1"/>
  <c r="AY656" i="1"/>
  <c r="N546" i="1"/>
  <c r="AY546" i="1"/>
  <c r="N350" i="1"/>
  <c r="AP350" i="1" s="1"/>
  <c r="AY350" i="1"/>
  <c r="AX653" i="1"/>
  <c r="AT653" i="1"/>
  <c r="N705" i="1"/>
  <c r="AP705" i="1" s="1"/>
  <c r="AY705" i="1"/>
  <c r="AX650" i="1"/>
  <c r="AT650" i="1"/>
  <c r="N547" i="1"/>
  <c r="AP547" i="1" s="1"/>
  <c r="AY547" i="1"/>
  <c r="N704" i="1"/>
  <c r="AP704" i="1" s="1"/>
  <c r="AY704" i="1"/>
  <c r="N525" i="1"/>
  <c r="AP525" i="1" s="1"/>
  <c r="AY525" i="1"/>
  <c r="N290" i="1"/>
  <c r="AP290" i="1" s="1"/>
  <c r="AY290" i="1"/>
  <c r="N309" i="1"/>
  <c r="AP309" i="1" s="1"/>
  <c r="AY309" i="1"/>
  <c r="AX581" i="1"/>
  <c r="AT581" i="1"/>
  <c r="N306" i="1"/>
  <c r="AP306" i="1" s="1"/>
  <c r="N450" i="1"/>
  <c r="AP450" i="1" s="1"/>
  <c r="AY450" i="1"/>
  <c r="AP666" i="1"/>
  <c r="U666" i="1"/>
  <c r="AP406" i="1"/>
  <c r="U406" i="1"/>
  <c r="V406" i="1"/>
  <c r="N681" i="1"/>
  <c r="AP681" i="1" s="1"/>
  <c r="AY681" i="1"/>
  <c r="N594" i="1"/>
  <c r="AP594" i="1" s="1"/>
  <c r="AY594" i="1"/>
  <c r="N707" i="1"/>
  <c r="AP707" i="1" s="1"/>
  <c r="AY707" i="1"/>
  <c r="N700" i="1"/>
  <c r="AP700" i="1" s="1"/>
  <c r="AY700" i="1"/>
  <c r="N684" i="1"/>
  <c r="AP684" i="1" s="1"/>
  <c r="AY684" i="1"/>
  <c r="N507" i="1"/>
  <c r="AP507" i="1" s="1"/>
  <c r="AY507" i="1"/>
  <c r="N267" i="1"/>
  <c r="AP267" i="1" s="1"/>
  <c r="N712" i="1"/>
  <c r="AP712" i="1" s="1"/>
  <c r="AY712" i="1"/>
  <c r="AX390" i="1"/>
  <c r="AT390" i="1"/>
  <c r="N440" i="1"/>
  <c r="AP440" i="1" s="1"/>
  <c r="AY440" i="1"/>
  <c r="V215" i="1"/>
  <c r="U463" i="1"/>
  <c r="N567" i="1"/>
  <c r="AY567" i="1"/>
  <c r="AP427" i="1"/>
  <c r="V427" i="1"/>
  <c r="U427" i="1"/>
  <c r="N137" i="1"/>
  <c r="AY137" i="1"/>
  <c r="N353" i="1"/>
  <c r="AP353" i="1" s="1"/>
  <c r="AY353" i="1"/>
  <c r="AP213" i="1"/>
  <c r="V213" i="1"/>
  <c r="U213" i="1"/>
  <c r="N460" i="1"/>
  <c r="AY460" i="1"/>
  <c r="T396" i="1"/>
  <c r="N396" i="1" s="1"/>
  <c r="AX396" i="1"/>
  <c r="AT396" i="1"/>
  <c r="U392" i="1"/>
  <c r="N537" i="1"/>
  <c r="AP537" i="1" s="1"/>
  <c r="AY537" i="1"/>
  <c r="N683" i="1"/>
  <c r="AP683" i="1" s="1"/>
  <c r="AY683" i="1"/>
  <c r="N647" i="1"/>
  <c r="AP647" i="1" s="1"/>
  <c r="AY647" i="1"/>
  <c r="N713" i="1"/>
  <c r="AP713" i="1" s="1"/>
  <c r="AY713" i="1"/>
  <c r="N459" i="1"/>
  <c r="AP459" i="1" s="1"/>
  <c r="AY459" i="1"/>
  <c r="N339" i="1"/>
  <c r="AP339" i="1" s="1"/>
  <c r="AY339" i="1"/>
  <c r="AP410" i="1"/>
  <c r="U410" i="1"/>
  <c r="V410" i="1"/>
  <c r="N435" i="1"/>
  <c r="AY435" i="1"/>
  <c r="N146" i="1"/>
  <c r="AP146" i="1" s="1"/>
  <c r="AT146" i="1"/>
  <c r="N549" i="1"/>
  <c r="AP549" i="1" s="1"/>
  <c r="AY549" i="1"/>
  <c r="AP598" i="1"/>
  <c r="U598" i="1"/>
  <c r="T465" i="1"/>
  <c r="AU455" i="1"/>
  <c r="U215" i="1"/>
  <c r="V374" i="1"/>
  <c r="AP585" i="1"/>
  <c r="U585" i="1"/>
  <c r="AX494" i="1"/>
  <c r="AT494" i="1"/>
  <c r="U439" i="1"/>
  <c r="V373" i="1"/>
  <c r="N648" i="1"/>
  <c r="AP648" i="1" s="1"/>
  <c r="AY648" i="1"/>
  <c r="N266" i="1"/>
  <c r="AP266" i="1" s="1"/>
  <c r="AY266" i="1"/>
  <c r="U695" i="1"/>
  <c r="N709" i="1"/>
  <c r="AP709" i="1" s="1"/>
  <c r="AY709" i="1"/>
  <c r="V265" i="1"/>
  <c r="N736" i="1"/>
  <c r="AP736" i="1" s="1"/>
  <c r="AY736" i="1"/>
  <c r="N344" i="1"/>
  <c r="AP344" i="1" s="1"/>
  <c r="AY344" i="1"/>
  <c r="V463" i="1"/>
  <c r="AP413" i="1"/>
  <c r="U413" i="1"/>
  <c r="V413" i="1"/>
  <c r="AP407" i="1"/>
  <c r="V407" i="1"/>
  <c r="U407" i="1"/>
  <c r="AP284" i="1"/>
  <c r="U284" i="1"/>
  <c r="V284" i="1"/>
  <c r="AP587" i="1"/>
  <c r="U587" i="1"/>
  <c r="N338" i="1"/>
  <c r="AP338" i="1" s="1"/>
  <c r="AY338" i="1"/>
  <c r="T390" i="1"/>
  <c r="AP612" i="1"/>
  <c r="U292" i="1"/>
  <c r="N634" i="1"/>
  <c r="AP634" i="1" s="1"/>
  <c r="N44" i="1"/>
  <c r="AP44" i="1" s="1"/>
  <c r="T318" i="1"/>
  <c r="AS625" i="1"/>
  <c r="AT625" i="1" s="1"/>
  <c r="N132" i="1"/>
  <c r="AP132" i="1" s="1"/>
  <c r="U449" i="1"/>
  <c r="V449" i="1"/>
  <c r="N59" i="1"/>
  <c r="AP59" i="1" s="1"/>
  <c r="T81" i="1"/>
  <c r="N81" i="1" s="1"/>
  <c r="AP81" i="1" s="1"/>
  <c r="AS701" i="1"/>
  <c r="S701" i="1" s="1"/>
  <c r="T595" i="1"/>
  <c r="U734" i="1"/>
  <c r="V139" i="1"/>
  <c r="U139" i="1"/>
  <c r="N522" i="1"/>
  <c r="AP522" i="1" s="1"/>
  <c r="AD121" i="1"/>
  <c r="AA121" i="1"/>
  <c r="AS273" i="1"/>
  <c r="AT273" i="1" s="1"/>
  <c r="N64" i="1"/>
  <c r="AP64" i="1" s="1"/>
  <c r="AS271" i="1"/>
  <c r="AT271" i="1" s="1"/>
  <c r="T437" i="1"/>
  <c r="T447" i="1"/>
  <c r="N163" i="1"/>
  <c r="AP163" i="1" s="1"/>
  <c r="V350" i="1"/>
  <c r="V153" i="1"/>
  <c r="U153" i="1"/>
  <c r="U635" i="1"/>
  <c r="U162" i="1"/>
  <c r="V162" i="1"/>
  <c r="U527" i="1"/>
  <c r="V315" i="1"/>
  <c r="U581" i="1"/>
  <c r="U315" i="1"/>
  <c r="V336" i="1"/>
  <c r="U625" i="1"/>
  <c r="U632" i="1"/>
  <c r="V332" i="1"/>
  <c r="U611" i="1"/>
  <c r="U482" i="1"/>
  <c r="V327" i="1"/>
  <c r="U327" i="1"/>
  <c r="U332" i="1"/>
  <c r="U316" i="1"/>
  <c r="V316" i="1"/>
  <c r="U283" i="1"/>
  <c r="V283" i="1"/>
  <c r="V335" i="1"/>
  <c r="U335" i="1"/>
  <c r="V287" i="1"/>
  <c r="U287" i="1"/>
  <c r="U744" i="1"/>
  <c r="U609" i="1"/>
  <c r="U279" i="1"/>
  <c r="V279" i="1"/>
  <c r="V223" i="1"/>
  <c r="U223" i="1"/>
  <c r="U320" i="1"/>
  <c r="V320" i="1"/>
  <c r="V278" i="1"/>
  <c r="U278" i="1"/>
  <c r="U342" i="1"/>
  <c r="U336" i="1"/>
  <c r="V342" i="1"/>
  <c r="N376" i="1"/>
  <c r="AP376" i="1" s="1"/>
  <c r="N230" i="1"/>
  <c r="AP230" i="1" s="1"/>
  <c r="N494" i="1"/>
  <c r="AP494" i="1" s="1"/>
  <c r="V68" i="1"/>
  <c r="U642" i="1"/>
  <c r="N748" i="1"/>
  <c r="U68" i="1"/>
  <c r="N235" i="1"/>
  <c r="AP235" i="1" s="1"/>
  <c r="N187" i="1"/>
  <c r="AP187" i="1" s="1"/>
  <c r="N112" i="1"/>
  <c r="AP112" i="1" s="1"/>
  <c r="N182" i="1"/>
  <c r="AP182" i="1" s="1"/>
  <c r="V209" i="1"/>
  <c r="U209" i="1"/>
  <c r="N224" i="1"/>
  <c r="AP224" i="1" s="1"/>
  <c r="U619" i="1"/>
  <c r="T593" i="1"/>
  <c r="AY593" i="1" s="1"/>
  <c r="T650" i="1"/>
  <c r="N188" i="1"/>
  <c r="AP188" i="1" s="1"/>
  <c r="N677" i="1"/>
  <c r="AP677" i="1" s="1"/>
  <c r="O13" i="1"/>
  <c r="Q13" i="1"/>
  <c r="X592" i="1"/>
  <c r="AP322" i="1" l="1"/>
  <c r="V322" i="1"/>
  <c r="U322" i="1"/>
  <c r="T385" i="1"/>
  <c r="AY385" i="1" s="1"/>
  <c r="AX385" i="1"/>
  <c r="AT385" i="1"/>
  <c r="U339" i="1"/>
  <c r="V455" i="1"/>
  <c r="U492" i="1"/>
  <c r="U710" i="1"/>
  <c r="U344" i="1"/>
  <c r="U455" i="1"/>
  <c r="U700" i="1"/>
  <c r="U699" i="1"/>
  <c r="U627" i="1"/>
  <c r="AY396" i="1"/>
  <c r="U647" i="1"/>
  <c r="U693" i="1"/>
  <c r="U525" i="1"/>
  <c r="V306" i="1"/>
  <c r="U212" i="1"/>
  <c r="V436" i="1"/>
  <c r="U736" i="1"/>
  <c r="U614" i="1"/>
  <c r="U684" i="1"/>
  <c r="U705" i="1"/>
  <c r="U712" i="1"/>
  <c r="U210" i="1"/>
  <c r="V212" i="1"/>
  <c r="U622" i="1"/>
  <c r="U436" i="1"/>
  <c r="V210" i="1"/>
  <c r="U681" i="1"/>
  <c r="U306" i="1"/>
  <c r="U267" i="1"/>
  <c r="V267" i="1"/>
  <c r="V302" i="1"/>
  <c r="U302" i="1"/>
  <c r="U713" i="1"/>
  <c r="U683" i="1"/>
  <c r="U309" i="1"/>
  <c r="V339" i="1"/>
  <c r="V445" i="1"/>
  <c r="U266" i="1"/>
  <c r="V297" i="1"/>
  <c r="V309" i="1"/>
  <c r="V266" i="1"/>
  <c r="U297" i="1"/>
  <c r="V338" i="1"/>
  <c r="U707" i="1"/>
  <c r="U549" i="1"/>
  <c r="U338" i="1"/>
  <c r="V440" i="1"/>
  <c r="U445" i="1"/>
  <c r="U704" i="1"/>
  <c r="U723" i="1"/>
  <c r="V344" i="1"/>
  <c r="U440" i="1"/>
  <c r="U350" i="1"/>
  <c r="U709" i="1"/>
  <c r="U648" i="1"/>
  <c r="V351" i="1"/>
  <c r="U547" i="1"/>
  <c r="U351" i="1"/>
  <c r="AP384" i="1"/>
  <c r="V384" i="1"/>
  <c r="U384" i="1"/>
  <c r="U334" i="1"/>
  <c r="U450" i="1"/>
  <c r="U594" i="1"/>
  <c r="V450" i="1"/>
  <c r="AP312" i="1"/>
  <c r="U312" i="1"/>
  <c r="V312" i="1"/>
  <c r="AP636" i="1"/>
  <c r="U636" i="1"/>
  <c r="N465" i="1"/>
  <c r="AY465" i="1"/>
  <c r="AP506" i="1"/>
  <c r="U506" i="1"/>
  <c r="U583" i="1"/>
  <c r="N390" i="1"/>
  <c r="AY390" i="1"/>
  <c r="AY636" i="1"/>
  <c r="AP460" i="1"/>
  <c r="V460" i="1"/>
  <c r="U460" i="1"/>
  <c r="AP208" i="1"/>
  <c r="U208" i="1"/>
  <c r="V208" i="1"/>
  <c r="U572" i="1"/>
  <c r="U518" i="1"/>
  <c r="N653" i="1"/>
  <c r="AY653" i="1"/>
  <c r="AP330" i="1"/>
  <c r="V330" i="1"/>
  <c r="U330" i="1"/>
  <c r="U537" i="1"/>
  <c r="U459" i="1"/>
  <c r="V470" i="1"/>
  <c r="U567" i="1"/>
  <c r="AP567" i="1"/>
  <c r="AP596" i="1"/>
  <c r="U596" i="1"/>
  <c r="V459" i="1"/>
  <c r="U470" i="1"/>
  <c r="N595" i="1"/>
  <c r="AP595" i="1" s="1"/>
  <c r="AY595" i="1"/>
  <c r="N318" i="1"/>
  <c r="AP318" i="1" s="1"/>
  <c r="AY318" i="1"/>
  <c r="AP656" i="1"/>
  <c r="U656" i="1"/>
  <c r="N650" i="1"/>
  <c r="AP650" i="1" s="1"/>
  <c r="AY650" i="1"/>
  <c r="U496" i="1"/>
  <c r="V290" i="1"/>
  <c r="U507" i="1"/>
  <c r="N447" i="1"/>
  <c r="AP447" i="1" s="1"/>
  <c r="AY447" i="1"/>
  <c r="AX701" i="1"/>
  <c r="AT701" i="1"/>
  <c r="AP435" i="1"/>
  <c r="V435" i="1"/>
  <c r="U435" i="1"/>
  <c r="AP546" i="1"/>
  <c r="U546" i="1"/>
  <c r="U290" i="1"/>
  <c r="N437" i="1"/>
  <c r="AP437" i="1" s="1"/>
  <c r="AY437" i="1"/>
  <c r="V334" i="1"/>
  <c r="AP137" i="1"/>
  <c r="U137" i="1"/>
  <c r="V137" i="1"/>
  <c r="AP396" i="1"/>
  <c r="V396" i="1"/>
  <c r="U396" i="1"/>
  <c r="U748" i="1"/>
  <c r="AP748" i="1"/>
  <c r="U634" i="1"/>
  <c r="U59" i="1"/>
  <c r="V59" i="1"/>
  <c r="T701" i="1"/>
  <c r="U522" i="1"/>
  <c r="U494" i="1"/>
  <c r="U376" i="1"/>
  <c r="V376" i="1"/>
  <c r="U230" i="1"/>
  <c r="V230" i="1"/>
  <c r="V224" i="1"/>
  <c r="U224" i="1"/>
  <c r="U677" i="1"/>
  <c r="N593" i="1"/>
  <c r="AP593" i="1" s="1"/>
  <c r="G480" i="10"/>
  <c r="H480" i="10"/>
  <c r="I480" i="10"/>
  <c r="J480" i="10"/>
  <c r="K480" i="10"/>
  <c r="L480" i="10"/>
  <c r="N480" i="10"/>
  <c r="O480" i="10"/>
  <c r="P480" i="10"/>
  <c r="Q480" i="10"/>
  <c r="S480" i="10"/>
  <c r="T480" i="10"/>
  <c r="F480" i="10"/>
  <c r="N385" i="1" l="1"/>
  <c r="AP385" i="1" s="1"/>
  <c r="V447" i="1"/>
  <c r="V318" i="1"/>
  <c r="U318" i="1"/>
  <c r="U650" i="1"/>
  <c r="U595" i="1"/>
  <c r="V437" i="1"/>
  <c r="AP390" i="1"/>
  <c r="V390" i="1"/>
  <c r="U437" i="1"/>
  <c r="U447" i="1"/>
  <c r="AP653" i="1"/>
  <c r="U653" i="1"/>
  <c r="AP465" i="1"/>
  <c r="U465" i="1"/>
  <c r="V465" i="1"/>
  <c r="N701" i="1"/>
  <c r="AP701" i="1" s="1"/>
  <c r="AY701" i="1"/>
  <c r="U390" i="1"/>
  <c r="U593" i="1"/>
  <c r="M510" i="10"/>
  <c r="M503" i="10"/>
  <c r="M597" i="10"/>
  <c r="U385" i="1" l="1"/>
  <c r="V385" i="1"/>
  <c r="U701" i="1"/>
  <c r="E597" i="10"/>
  <c r="U597" i="10"/>
  <c r="E510" i="10"/>
  <c r="U510" i="10"/>
  <c r="E503" i="10"/>
  <c r="U503" i="10"/>
  <c r="Y589" i="1"/>
  <c r="AD589" i="1"/>
  <c r="Z594" i="1"/>
  <c r="Z482" i="1"/>
  <c r="Z528" i="1"/>
  <c r="M517" i="10"/>
  <c r="M516" i="10"/>
  <c r="Z517" i="1"/>
  <c r="Z516" i="1"/>
  <c r="Z560" i="1"/>
  <c r="Z558" i="1"/>
  <c r="Y750" i="1"/>
  <c r="AA750" i="1"/>
  <c r="Y747" i="1"/>
  <c r="AD747" i="1"/>
  <c r="Z733" i="1"/>
  <c r="X733" i="1"/>
  <c r="Z736" i="1"/>
  <c r="X736" i="1"/>
  <c r="Z735" i="1"/>
  <c r="X735" i="1"/>
  <c r="Z737" i="1"/>
  <c r="X737" i="1"/>
  <c r="Z734" i="1"/>
  <c r="X734" i="1"/>
  <c r="Y732" i="1"/>
  <c r="AD732" i="1"/>
  <c r="Y731" i="1"/>
  <c r="AA731" i="1"/>
  <c r="Y730" i="1"/>
  <c r="AD730" i="1"/>
  <c r="Y729" i="1"/>
  <c r="AD729" i="1"/>
  <c r="Y728" i="1"/>
  <c r="AD728" i="1"/>
  <c r="Y727" i="1"/>
  <c r="AA727" i="1"/>
  <c r="Y726" i="1"/>
  <c r="AD726" i="1"/>
  <c r="Y725" i="1"/>
  <c r="AA725" i="1"/>
  <c r="Y721" i="1"/>
  <c r="AA721" i="1"/>
  <c r="Y695" i="1"/>
  <c r="AD695" i="1"/>
  <c r="Y643" i="1"/>
  <c r="AD643" i="1"/>
  <c r="Y640" i="1"/>
  <c r="AD640" i="1"/>
  <c r="Y639" i="1"/>
  <c r="AA639" i="1"/>
  <c r="Y638" i="1"/>
  <c r="AA638" i="1"/>
  <c r="Y636" i="1"/>
  <c r="AA636" i="1"/>
  <c r="Y635" i="1"/>
  <c r="AD635" i="1"/>
  <c r="Y633" i="1"/>
  <c r="AD633" i="1"/>
  <c r="Y632" i="1"/>
  <c r="AD632" i="1"/>
  <c r="Z619" i="1"/>
  <c r="S597" i="1" l="1"/>
  <c r="S503" i="1"/>
  <c r="S510" i="1"/>
  <c r="E516" i="10"/>
  <c r="P516" i="1" s="1"/>
  <c r="AU516" i="1" s="1"/>
  <c r="U516" i="10"/>
  <c r="E517" i="10"/>
  <c r="T517" i="1" s="1"/>
  <c r="AY517" i="1" s="1"/>
  <c r="U517" i="10"/>
  <c r="X594" i="1"/>
  <c r="M480" i="10"/>
  <c r="M758" i="10"/>
  <c r="E758" i="10" s="1"/>
  <c r="E759" i="10" s="1"/>
  <c r="AA632" i="1"/>
  <c r="AA635" i="1"/>
  <c r="AA640" i="1"/>
  <c r="AA695" i="1"/>
  <c r="AA726" i="1"/>
  <c r="AA729" i="1"/>
  <c r="AA732" i="1"/>
  <c r="AA747" i="1"/>
  <c r="AA589" i="1"/>
  <c r="X528" i="1"/>
  <c r="X560" i="1"/>
  <c r="X558" i="1"/>
  <c r="AD750" i="1"/>
  <c r="AD731" i="1"/>
  <c r="AA728" i="1"/>
  <c r="AA730" i="1"/>
  <c r="AD727" i="1"/>
  <c r="AD725" i="1"/>
  <c r="AD721" i="1"/>
  <c r="AA643" i="1"/>
  <c r="AD639" i="1"/>
  <c r="AD638" i="1"/>
  <c r="AD636" i="1"/>
  <c r="AA633" i="1"/>
  <c r="X619" i="1"/>
  <c r="AX510" i="1" l="1"/>
  <c r="AT510" i="1"/>
  <c r="AX503" i="1"/>
  <c r="AT503" i="1"/>
  <c r="AX597" i="1"/>
  <c r="AT597" i="1"/>
  <c r="N503" i="1"/>
  <c r="AP503" i="1" s="1"/>
  <c r="P514" i="1"/>
  <c r="AU514" i="1" s="1"/>
  <c r="N510" i="1"/>
  <c r="AP510" i="1" s="1"/>
  <c r="N597" i="1"/>
  <c r="AP597" i="1" s="1"/>
  <c r="N516" i="1"/>
  <c r="AP516" i="1" s="1"/>
  <c r="U480" i="10"/>
  <c r="N517" i="1"/>
  <c r="AP517" i="1" s="1"/>
  <c r="Y618" i="1"/>
  <c r="AD618" i="1"/>
  <c r="Y617" i="1"/>
  <c r="AA617" i="1"/>
  <c r="Y611" i="1"/>
  <c r="AD611" i="1"/>
  <c r="Y610" i="1"/>
  <c r="AA610" i="1"/>
  <c r="Y609" i="1"/>
  <c r="AD609" i="1"/>
  <c r="U503" i="1" l="1"/>
  <c r="T514" i="1"/>
  <c r="U510" i="1"/>
  <c r="U597" i="1"/>
  <c r="U516" i="1"/>
  <c r="U517" i="1"/>
  <c r="X516" i="1"/>
  <c r="AA609" i="1"/>
  <c r="AA611" i="1"/>
  <c r="AD617" i="1"/>
  <c r="AA618" i="1"/>
  <c r="AD610" i="1"/>
  <c r="N514" i="1" l="1"/>
  <c r="AP514" i="1" s="1"/>
  <c r="AY514" i="1"/>
  <c r="X517" i="1"/>
  <c r="Y587" i="1"/>
  <c r="AD587" i="1"/>
  <c r="Y586" i="1"/>
  <c r="AD586" i="1"/>
  <c r="Y580" i="1"/>
  <c r="Y569" i="1"/>
  <c r="AD569" i="1"/>
  <c r="Y570" i="1"/>
  <c r="AA570" i="1"/>
  <c r="Y568" i="1"/>
  <c r="AD568" i="1"/>
  <c r="Y561" i="1"/>
  <c r="AD561" i="1"/>
  <c r="U514" i="1" l="1"/>
  <c r="AA587" i="1"/>
  <c r="AA561" i="1"/>
  <c r="AD570" i="1"/>
  <c r="AA586" i="1"/>
  <c r="AA569" i="1"/>
  <c r="AA568" i="1"/>
  <c r="Y488" i="1" l="1"/>
  <c r="AD488" i="1"/>
  <c r="Y487" i="1"/>
  <c r="AA487" i="1"/>
  <c r="Y481" i="1"/>
  <c r="AD481" i="1"/>
  <c r="B481" i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481" i="10"/>
  <c r="U481" i="1" l="1"/>
  <c r="AA488" i="1"/>
  <c r="AD487" i="1"/>
  <c r="AA481" i="1"/>
  <c r="B482" i="10" l="1"/>
  <c r="B483" i="10" s="1"/>
  <c r="B484" i="10" s="1"/>
  <c r="B485" i="10" s="1"/>
  <c r="B486" i="10" s="1"/>
  <c r="B487" i="10" s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E557" i="10" l="1"/>
  <c r="E556" i="10"/>
  <c r="E542" i="10"/>
  <c r="T542" i="1" s="1"/>
  <c r="E541" i="10"/>
  <c r="T541" i="1" s="1"/>
  <c r="N541" i="1" l="1"/>
  <c r="AP541" i="1" s="1"/>
  <c r="AY541" i="1"/>
  <c r="N542" i="1"/>
  <c r="AP542" i="1" s="1"/>
  <c r="AY542" i="1"/>
  <c r="P557" i="1"/>
  <c r="S556" i="1"/>
  <c r="Y342" i="1"/>
  <c r="AD342" i="1"/>
  <c r="Y341" i="1"/>
  <c r="AA341" i="1"/>
  <c r="Y339" i="1"/>
  <c r="AD339" i="1"/>
  <c r="Y338" i="1"/>
  <c r="AA338" i="1"/>
  <c r="Y337" i="1"/>
  <c r="AD337" i="1"/>
  <c r="Y343" i="1"/>
  <c r="AD343" i="1"/>
  <c r="U542" i="1" l="1"/>
  <c r="U541" i="1"/>
  <c r="N557" i="1"/>
  <c r="AP557" i="1" s="1"/>
  <c r="AU557" i="1"/>
  <c r="AX556" i="1"/>
  <c r="AT556" i="1"/>
  <c r="N556" i="1"/>
  <c r="AP556" i="1" s="1"/>
  <c r="AA343" i="1"/>
  <c r="AA337" i="1"/>
  <c r="AA339" i="1"/>
  <c r="AA342" i="1"/>
  <c r="AD338" i="1"/>
  <c r="AD341" i="1"/>
  <c r="U557" i="1" l="1"/>
  <c r="U556" i="1"/>
  <c r="E398" i="10"/>
  <c r="E394" i="10"/>
  <c r="T394" i="1" l="1"/>
  <c r="AY394" i="1" s="1"/>
  <c r="S398" i="1"/>
  <c r="Y218" i="1"/>
  <c r="AD218" i="1"/>
  <c r="Y217" i="1"/>
  <c r="AA217" i="1"/>
  <c r="Y216" i="1"/>
  <c r="AD216" i="1"/>
  <c r="Y215" i="1"/>
  <c r="AD215" i="1"/>
  <c r="Y214" i="1"/>
  <c r="AA214" i="1"/>
  <c r="Y213" i="1"/>
  <c r="AD213" i="1"/>
  <c r="Y333" i="1"/>
  <c r="AD333" i="1"/>
  <c r="Y251" i="1"/>
  <c r="AD251" i="1"/>
  <c r="Y282" i="1"/>
  <c r="AD282" i="1"/>
  <c r="Y281" i="1"/>
  <c r="AD281" i="1"/>
  <c r="Y297" i="1"/>
  <c r="AD297" i="1"/>
  <c r="Y311" i="1"/>
  <c r="AD311" i="1"/>
  <c r="Y325" i="1"/>
  <c r="AD325" i="1"/>
  <c r="AX398" i="1" l="1"/>
  <c r="AT398" i="1"/>
  <c r="AS708" i="1"/>
  <c r="S708" i="1" s="1"/>
  <c r="N398" i="1"/>
  <c r="AP398" i="1" s="1"/>
  <c r="N394" i="1"/>
  <c r="AP394" i="1" s="1"/>
  <c r="AA215" i="1"/>
  <c r="AA216" i="1"/>
  <c r="AA311" i="1"/>
  <c r="AA297" i="1"/>
  <c r="AA281" i="1"/>
  <c r="AA251" i="1"/>
  <c r="AA333" i="1"/>
  <c r="AA213" i="1"/>
  <c r="AA218" i="1"/>
  <c r="AD217" i="1"/>
  <c r="AD214" i="1"/>
  <c r="AA282" i="1"/>
  <c r="AA325" i="1"/>
  <c r="AX708" i="1" l="1"/>
  <c r="AT708" i="1"/>
  <c r="T708" i="1"/>
  <c r="V398" i="1"/>
  <c r="U398" i="1"/>
  <c r="U394" i="1"/>
  <c r="V394" i="1"/>
  <c r="Y210" i="1"/>
  <c r="AD210" i="1"/>
  <c r="Y209" i="1"/>
  <c r="AD209" i="1"/>
  <c r="Y208" i="1"/>
  <c r="AD208" i="1"/>
  <c r="Y207" i="1"/>
  <c r="AD207" i="1"/>
  <c r="Y186" i="1"/>
  <c r="Y185" i="1"/>
  <c r="Y184" i="1"/>
  <c r="Y183" i="1"/>
  <c r="Y181" i="1"/>
  <c r="Y180" i="1"/>
  <c r="Y156" i="1"/>
  <c r="Y155" i="1"/>
  <c r="Y154" i="1"/>
  <c r="Y86" i="1"/>
  <c r="Y67" i="1"/>
  <c r="Y66" i="1"/>
  <c r="N708" i="1" l="1"/>
  <c r="AP708" i="1" s="1"/>
  <c r="AY708" i="1"/>
  <c r="AA207" i="1"/>
  <c r="AA209" i="1"/>
  <c r="AA208" i="1"/>
  <c r="AA210" i="1"/>
  <c r="U86" i="1"/>
  <c r="U154" i="1"/>
  <c r="U155" i="1"/>
  <c r="U156" i="1"/>
  <c r="U66" i="1"/>
  <c r="U67" i="1"/>
  <c r="U708" i="1" l="1"/>
  <c r="AD181" i="1"/>
  <c r="AA181" i="1"/>
  <c r="AD183" i="1"/>
  <c r="AA183" i="1"/>
  <c r="AD185" i="1"/>
  <c r="AA185" i="1"/>
  <c r="AD86" i="1"/>
  <c r="AA86" i="1"/>
  <c r="AD66" i="1"/>
  <c r="AA66" i="1"/>
  <c r="AD180" i="1"/>
  <c r="AA180" i="1"/>
  <c r="AD184" i="1"/>
  <c r="AA184" i="1"/>
  <c r="AD186" i="1"/>
  <c r="AA186" i="1"/>
  <c r="AD67" i="1"/>
  <c r="AA67" i="1"/>
  <c r="AD155" i="1" l="1"/>
  <c r="AA155" i="1"/>
  <c r="AA154" i="1"/>
  <c r="AD154" i="1"/>
  <c r="AA156" i="1"/>
  <c r="AD156" i="1"/>
  <c r="Z40" i="1" l="1"/>
  <c r="Z53" i="1"/>
  <c r="Z42" i="1"/>
  <c r="Z32" i="1"/>
  <c r="X32" i="1" l="1"/>
  <c r="X40" i="1"/>
  <c r="U53" i="1"/>
  <c r="V53" i="1"/>
  <c r="X53" i="1"/>
  <c r="U42" i="1"/>
  <c r="V42" i="1"/>
  <c r="X42" i="1"/>
  <c r="V32" i="1"/>
  <c r="U32" i="1"/>
  <c r="Z28" i="1" l="1"/>
  <c r="U28" i="1" l="1"/>
  <c r="V28" i="1"/>
  <c r="X28" i="1"/>
  <c r="K14" i="1" l="1"/>
  <c r="L14" i="1"/>
  <c r="M14" i="1"/>
  <c r="J14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18" i="10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A18" i="10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G13" i="10"/>
  <c r="H13" i="10"/>
  <c r="I13" i="10"/>
  <c r="J13" i="10"/>
  <c r="K13" i="10"/>
  <c r="L13" i="10"/>
  <c r="M13" i="10"/>
  <c r="N13" i="10"/>
  <c r="O13" i="10"/>
  <c r="P13" i="10"/>
  <c r="Q13" i="10"/>
  <c r="S13" i="10"/>
  <c r="Z444" i="1"/>
  <c r="Z445" i="1"/>
  <c r="Z446" i="1"/>
  <c r="X446" i="1"/>
  <c r="Z439" i="1"/>
  <c r="Z437" i="1"/>
  <c r="Z435" i="1"/>
  <c r="Z430" i="1"/>
  <c r="Z429" i="1"/>
  <c r="Z427" i="1"/>
  <c r="Z425" i="1"/>
  <c r="Z424" i="1"/>
  <c r="Z423" i="1"/>
  <c r="A163" i="10" l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B163" i="10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F13" i="10"/>
  <c r="X444" i="1"/>
  <c r="X445" i="1"/>
  <c r="X423" i="1"/>
  <c r="X437" i="1"/>
  <c r="X439" i="1"/>
  <c r="X424" i="1"/>
  <c r="X427" i="1"/>
  <c r="X435" i="1"/>
  <c r="Z426" i="1"/>
  <c r="Z331" i="1"/>
  <c r="Z307" i="1"/>
  <c r="X307" i="1"/>
  <c r="Z271" i="1"/>
  <c r="X271" i="1"/>
  <c r="Z324" i="1"/>
  <c r="Z312" i="1"/>
  <c r="X312" i="1"/>
  <c r="Z268" i="1"/>
  <c r="Z266" i="1"/>
  <c r="X268" i="1"/>
  <c r="X266" i="1"/>
  <c r="Z326" i="1"/>
  <c r="Z290" i="1"/>
  <c r="Z288" i="1"/>
  <c r="X290" i="1"/>
  <c r="Z256" i="1"/>
  <c r="Z238" i="1"/>
  <c r="Z233" i="1"/>
  <c r="Z230" i="1"/>
  <c r="X230" i="1"/>
  <c r="Z224" i="1"/>
  <c r="Z223" i="1"/>
  <c r="Z720" i="1"/>
  <c r="Z714" i="1"/>
  <c r="Z713" i="1"/>
  <c r="Z712" i="1"/>
  <c r="Z711" i="1"/>
  <c r="Z710" i="1"/>
  <c r="Z709" i="1"/>
  <c r="Z708" i="1"/>
  <c r="Z707" i="1"/>
  <c r="Z705" i="1"/>
  <c r="Z704" i="1"/>
  <c r="Z703" i="1"/>
  <c r="Z701" i="1"/>
  <c r="Z700" i="1"/>
  <c r="Z699" i="1"/>
  <c r="Z698" i="1"/>
  <c r="Z723" i="1"/>
  <c r="Z715" i="1"/>
  <c r="Z693" i="1"/>
  <c r="Z684" i="1"/>
  <c r="Z683" i="1"/>
  <c r="Z681" i="1"/>
  <c r="Z677" i="1"/>
  <c r="Z659" i="1"/>
  <c r="Z655" i="1"/>
  <c r="Z656" i="1"/>
  <c r="X426" i="1" l="1"/>
  <c r="X326" i="1"/>
  <c r="X288" i="1"/>
  <c r="X256" i="1"/>
  <c r="X238" i="1"/>
  <c r="X223" i="1"/>
  <c r="X224" i="1"/>
  <c r="X714" i="1"/>
  <c r="X709" i="1"/>
  <c r="X710" i="1"/>
  <c r="X711" i="1"/>
  <c r="X713" i="1"/>
  <c r="X700" i="1"/>
  <c r="X701" i="1"/>
  <c r="X684" i="1"/>
  <c r="X683" i="1"/>
  <c r="X681" i="1"/>
  <c r="X655" i="1"/>
  <c r="Z622" i="1"/>
  <c r="Z572" i="1"/>
  <c r="Z130" i="1"/>
  <c r="Z646" i="1"/>
  <c r="Z627" i="1"/>
  <c r="Z598" i="1"/>
  <c r="Z595" i="1"/>
  <c r="Z574" i="1"/>
  <c r="Z653" i="1"/>
  <c r="Z648" i="1"/>
  <c r="Z647" i="1"/>
  <c r="Z634" i="1"/>
  <c r="X634" i="1"/>
  <c r="Z631" i="1"/>
  <c r="Z625" i="1"/>
  <c r="Z605" i="1"/>
  <c r="Z593" i="1"/>
  <c r="X593" i="1"/>
  <c r="Z584" i="1"/>
  <c r="Z581" i="1"/>
  <c r="Z579" i="1"/>
  <c r="Z650" i="1"/>
  <c r="X650" i="1"/>
  <c r="Z642" i="1"/>
  <c r="Z511" i="1"/>
  <c r="Z547" i="1"/>
  <c r="Z525" i="1"/>
  <c r="Z518" i="1"/>
  <c r="Z507" i="1"/>
  <c r="X507" i="1"/>
  <c r="Z496" i="1"/>
  <c r="Z494" i="1"/>
  <c r="X715" i="1"/>
  <c r="X693" i="1"/>
  <c r="X677" i="1"/>
  <c r="X233" i="1" l="1"/>
  <c r="X723" i="1"/>
  <c r="X699" i="1"/>
  <c r="X703" i="1"/>
  <c r="X704" i="1"/>
  <c r="X705" i="1"/>
  <c r="X712" i="1"/>
  <c r="X130" i="1"/>
  <c r="X646" i="1"/>
  <c r="X627" i="1"/>
  <c r="X653" i="1"/>
  <c r="X648" i="1"/>
  <c r="X631" i="1"/>
  <c r="X625" i="1"/>
  <c r="X584" i="1"/>
  <c r="X581" i="1"/>
  <c r="X579" i="1"/>
  <c r="X642" i="1"/>
  <c r="X511" i="1"/>
  <c r="X518" i="1"/>
  <c r="X496" i="1"/>
  <c r="X494" i="1"/>
  <c r="X708" i="1" l="1"/>
  <c r="X656" i="1"/>
  <c r="X707" i="1"/>
  <c r="X659" i="1"/>
  <c r="X430" i="1" l="1"/>
  <c r="X425" i="1" l="1"/>
  <c r="X429" i="1"/>
  <c r="X331" i="1"/>
  <c r="X324" i="1"/>
  <c r="X720" i="1"/>
  <c r="X547" i="1"/>
  <c r="X572" i="1"/>
  <c r="X525" i="1"/>
  <c r="X595" i="1"/>
  <c r="X598" i="1"/>
  <c r="T14" i="10"/>
  <c r="E14" i="10" s="1"/>
  <c r="E92" i="10" l="1"/>
  <c r="T13" i="10"/>
  <c r="T116" i="1" l="1"/>
  <c r="N116" i="1" s="1"/>
  <c r="AP116" i="1" s="1"/>
  <c r="X698" i="1"/>
  <c r="X574" i="1" l="1"/>
  <c r="E536" i="10" l="1"/>
  <c r="E47" i="10"/>
  <c r="E46" i="10"/>
  <c r="E45" i="10"/>
  <c r="S45" i="1" s="1"/>
  <c r="T65" i="1" l="1"/>
  <c r="N65" i="1" s="1"/>
  <c r="AP65" i="1" s="1"/>
  <c r="AT45" i="1"/>
  <c r="T536" i="1"/>
  <c r="AY536" i="1" s="1"/>
  <c r="V65" i="1" l="1"/>
  <c r="U65" i="1"/>
  <c r="N536" i="1"/>
  <c r="AP536" i="1" s="1"/>
  <c r="T45" i="1"/>
  <c r="T46" i="1"/>
  <c r="N46" i="1" l="1"/>
  <c r="AP46" i="1" s="1"/>
  <c r="N45" i="1"/>
  <c r="AP45" i="1" s="1"/>
  <c r="U536" i="1"/>
  <c r="E520" i="10"/>
  <c r="R480" i="10"/>
  <c r="E480" i="10" s="1"/>
  <c r="E257" i="10"/>
  <c r="E26" i="10" l="1"/>
  <c r="S257" i="1"/>
  <c r="S520" i="1"/>
  <c r="AX257" i="1" l="1"/>
  <c r="AT257" i="1"/>
  <c r="AX520" i="1"/>
  <c r="AT520" i="1"/>
  <c r="N520" i="1"/>
  <c r="AP520" i="1" s="1"/>
  <c r="N257" i="1"/>
  <c r="AP257" i="1" s="1"/>
  <c r="S26" i="1"/>
  <c r="AT26" i="1" s="1"/>
  <c r="E205" i="10"/>
  <c r="R13" i="10"/>
  <c r="AS527" i="1" l="1"/>
  <c r="AT527" i="1" s="1"/>
  <c r="T47" i="1"/>
  <c r="N47" i="1" s="1"/>
  <c r="AP47" i="1" s="1"/>
  <c r="U520" i="1"/>
  <c r="U257" i="1"/>
  <c r="V257" i="1"/>
  <c r="T26" i="1"/>
  <c r="E13" i="10"/>
  <c r="AQ209" i="1" l="1"/>
  <c r="N26" i="1"/>
  <c r="AP26" i="1" s="1"/>
  <c r="X622" i="1"/>
  <c r="T38" i="1" l="1"/>
  <c r="U14" i="10"/>
  <c r="U13" i="10" s="1"/>
  <c r="N38" i="1" l="1"/>
  <c r="AP38" i="1" s="1"/>
  <c r="Z724" i="1"/>
  <c r="X724" i="1" l="1"/>
  <c r="X647" i="1"/>
  <c r="Z751" i="1" l="1"/>
  <c r="Z201" i="1"/>
  <c r="Z199" i="1"/>
  <c r="Z198" i="1"/>
  <c r="Z194" i="1"/>
  <c r="Z749" i="1"/>
  <c r="Z748" i="1"/>
  <c r="Z746" i="1"/>
  <c r="Z466" i="1"/>
  <c r="Z464" i="1"/>
  <c r="Z461" i="1"/>
  <c r="Z176" i="1"/>
  <c r="Z454" i="1"/>
  <c r="Z453" i="1"/>
  <c r="Z452" i="1"/>
  <c r="Z451" i="1"/>
  <c r="Z442" i="1"/>
  <c r="Z441" i="1"/>
  <c r="Z440" i="1"/>
  <c r="Z436" i="1"/>
  <c r="Z434" i="1"/>
  <c r="Z431" i="1"/>
  <c r="Z719" i="1"/>
  <c r="Z718" i="1"/>
  <c r="Z422" i="1"/>
  <c r="Z161" i="1"/>
  <c r="Z416" i="1"/>
  <c r="Z415" i="1"/>
  <c r="Z414" i="1"/>
  <c r="Z413" i="1"/>
  <c r="Z412" i="1"/>
  <c r="Z411" i="1"/>
  <c r="Z410" i="1"/>
  <c r="Z409" i="1"/>
  <c r="Z408" i="1"/>
  <c r="Z407" i="1"/>
  <c r="Z406" i="1"/>
  <c r="Z706" i="1"/>
  <c r="Z405" i="1"/>
  <c r="Z404" i="1"/>
  <c r="Z403" i="1"/>
  <c r="Z402" i="1"/>
  <c r="Z401" i="1"/>
  <c r="Z400" i="1"/>
  <c r="Z399" i="1"/>
  <c r="Z398" i="1"/>
  <c r="Z397" i="1"/>
  <c r="Z395" i="1"/>
  <c r="Z697" i="1"/>
  <c r="Z394" i="1"/>
  <c r="Z393" i="1"/>
  <c r="Z691" i="1"/>
  <c r="Z690" i="1"/>
  <c r="Z689" i="1"/>
  <c r="Z688" i="1"/>
  <c r="Z687" i="1"/>
  <c r="Z686" i="1"/>
  <c r="Z145" i="1"/>
  <c r="Z369" i="1"/>
  <c r="Z354" i="1"/>
  <c r="Z351" i="1"/>
  <c r="Z350" i="1"/>
  <c r="Z133" i="1"/>
  <c r="Z124" i="1"/>
  <c r="Z123" i="1"/>
  <c r="Z118" i="1"/>
  <c r="Z629" i="1"/>
  <c r="Z111" i="1"/>
  <c r="Z318" i="1"/>
  <c r="Z317" i="1"/>
  <c r="Z104" i="1"/>
  <c r="Z103" i="1"/>
  <c r="Z99" i="1"/>
  <c r="Z98" i="1"/>
  <c r="Z97" i="1"/>
  <c r="Z604" i="1"/>
  <c r="Z89" i="1"/>
  <c r="Z88" i="1"/>
  <c r="Z590" i="1"/>
  <c r="Z70" i="1"/>
  <c r="Z69" i="1"/>
  <c r="Z68" i="1"/>
  <c r="Z571" i="1"/>
  <c r="Z559" i="1"/>
  <c r="Z554" i="1"/>
  <c r="Z50" i="1"/>
  <c r="Z263" i="1"/>
  <c r="Z47" i="1"/>
  <c r="Z46" i="1"/>
  <c r="Z45" i="1"/>
  <c r="Z262" i="1"/>
  <c r="Z261" i="1"/>
  <c r="Z260" i="1"/>
  <c r="Z44" i="1"/>
  <c r="Z258" i="1"/>
  <c r="Z33" i="1"/>
  <c r="Z257" i="1"/>
  <c r="Z514" i="1"/>
  <c r="Z27" i="1"/>
  <c r="Z26" i="1"/>
  <c r="Z492" i="1"/>
  <c r="Z491" i="1"/>
  <c r="Z24" i="1"/>
  <c r="Z489" i="1"/>
  <c r="Z255" i="1"/>
  <c r="Z254" i="1"/>
  <c r="Z196" i="1"/>
  <c r="Z195" i="1"/>
  <c r="Z200" i="1"/>
  <c r="Z192" i="1"/>
  <c r="Z189" i="1"/>
  <c r="Z187" i="1"/>
  <c r="Z179" i="1"/>
  <c r="Z468" i="1"/>
  <c r="Z463" i="1"/>
  <c r="Z467" i="1"/>
  <c r="Z178" i="1"/>
  <c r="Z460" i="1"/>
  <c r="Z459" i="1"/>
  <c r="Z175" i="1"/>
  <c r="Z457" i="1"/>
  <c r="Z456" i="1"/>
  <c r="Z455" i="1"/>
  <c r="Z448" i="1"/>
  <c r="Z171" i="1"/>
  <c r="Z169" i="1"/>
  <c r="Z722" i="1"/>
  <c r="Z165" i="1"/>
  <c r="Z419" i="1"/>
  <c r="Z159" i="1"/>
  <c r="Z418" i="1"/>
  <c r="Z157" i="1"/>
  <c r="Z396" i="1"/>
  <c r="Z685" i="1"/>
  <c r="Z151" i="1"/>
  <c r="Z150" i="1"/>
  <c r="Z682" i="1"/>
  <c r="Z680" i="1"/>
  <c r="Z679" i="1"/>
  <c r="Z678" i="1"/>
  <c r="Z149" i="1"/>
  <c r="Z676" i="1"/>
  <c r="Z675" i="1"/>
  <c r="Z674" i="1"/>
  <c r="Z379" i="1"/>
  <c r="Z375" i="1"/>
  <c r="Z374" i="1"/>
  <c r="Z373" i="1"/>
  <c r="Z372" i="1"/>
  <c r="Z371" i="1"/>
  <c r="Z370" i="1"/>
  <c r="Z368" i="1"/>
  <c r="Z367" i="1"/>
  <c r="Z366" i="1"/>
  <c r="Z365" i="1"/>
  <c r="Z364" i="1"/>
  <c r="Z353" i="1"/>
  <c r="Z672" i="1"/>
  <c r="Z671" i="1"/>
  <c r="Z670" i="1"/>
  <c r="Z349" i="1"/>
  <c r="Z131" i="1"/>
  <c r="Z652" i="1"/>
  <c r="Z344" i="1"/>
  <c r="Z651" i="1"/>
  <c r="Z649" i="1"/>
  <c r="Z122" i="1"/>
  <c r="Z120" i="1"/>
  <c r="Z329" i="1"/>
  <c r="Z630" i="1"/>
  <c r="Z117" i="1"/>
  <c r="Z115" i="1"/>
  <c r="Z114" i="1"/>
  <c r="Z113" i="1"/>
  <c r="Z112" i="1"/>
  <c r="Z626" i="1"/>
  <c r="Z108" i="1"/>
  <c r="Z319" i="1"/>
  <c r="Z107" i="1"/>
  <c r="Z624" i="1"/>
  <c r="Z623" i="1"/>
  <c r="Z106" i="1"/>
  <c r="Z621" i="1"/>
  <c r="Z620" i="1"/>
  <c r="Z102" i="1"/>
  <c r="Z101" i="1"/>
  <c r="Z100" i="1"/>
  <c r="Z308" i="1"/>
  <c r="Z616" i="1"/>
  <c r="Z614" i="1"/>
  <c r="Z613" i="1"/>
  <c r="Z303" i="1"/>
  <c r="Z95" i="1"/>
  <c r="Z301" i="1"/>
  <c r="Z300" i="1"/>
  <c r="Z607" i="1"/>
  <c r="Z606" i="1"/>
  <c r="Z92" i="1"/>
  <c r="Z91" i="1"/>
  <c r="Z90" i="1"/>
  <c r="Z603" i="1"/>
  <c r="Z602" i="1"/>
  <c r="Z601" i="1"/>
  <c r="Z600" i="1"/>
  <c r="Z87" i="1"/>
  <c r="Z292" i="1"/>
  <c r="Z85" i="1"/>
  <c r="Z84" i="1"/>
  <c r="Z289" i="1"/>
  <c r="Z83" i="1"/>
  <c r="Z82" i="1"/>
  <c r="Z81" i="1"/>
  <c r="Z80" i="1"/>
  <c r="Z79" i="1"/>
  <c r="Z591" i="1"/>
  <c r="Z77" i="1"/>
  <c r="Z583" i="1"/>
  <c r="Z575" i="1"/>
  <c r="Z72" i="1"/>
  <c r="Z563" i="1"/>
  <c r="Z60" i="1"/>
  <c r="Z64" i="1"/>
  <c r="Z63" i="1"/>
  <c r="Z58" i="1"/>
  <c r="Z56" i="1"/>
  <c r="Z55" i="1"/>
  <c r="Z54" i="1"/>
  <c r="Z252" i="1"/>
  <c r="Z250" i="1"/>
  <c r="Z52" i="1"/>
  <c r="Z556" i="1"/>
  <c r="Z244" i="1"/>
  <c r="Z553" i="1"/>
  <c r="Z552" i="1"/>
  <c r="Z247" i="1"/>
  <c r="Z551" i="1"/>
  <c r="Z246" i="1"/>
  <c r="Z245" i="1"/>
  <c r="Z243" i="1"/>
  <c r="Z549" i="1"/>
  <c r="Z242" i="1"/>
  <c r="Z543" i="1"/>
  <c r="Z542" i="1"/>
  <c r="Z541" i="1"/>
  <c r="Z540" i="1"/>
  <c r="Z539" i="1"/>
  <c r="Z536" i="1"/>
  <c r="Z240" i="1"/>
  <c r="Z239" i="1"/>
  <c r="Z49" i="1"/>
  <c r="Z237" i="1"/>
  <c r="Z524" i="1"/>
  <c r="Z521" i="1"/>
  <c r="Z520" i="1"/>
  <c r="Z519" i="1"/>
  <c r="Z236" i="1"/>
  <c r="Z235" i="1"/>
  <c r="Z39" i="1"/>
  <c r="Z38" i="1"/>
  <c r="Z37" i="1"/>
  <c r="Z36" i="1"/>
  <c r="Z35" i="1"/>
  <c r="Z34" i="1"/>
  <c r="Z512" i="1"/>
  <c r="Z509" i="1"/>
  <c r="Z508" i="1"/>
  <c r="Z31" i="1"/>
  <c r="Z506" i="1"/>
  <c r="Z505" i="1"/>
  <c r="Z30" i="1"/>
  <c r="Z29" i="1"/>
  <c r="Z221" i="1"/>
  <c r="Z220" i="1"/>
  <c r="Z493" i="1"/>
  <c r="Z490" i="1"/>
  <c r="Z22" i="1"/>
  <c r="Z21" i="1"/>
  <c r="Z20" i="1"/>
  <c r="Z197" i="1"/>
  <c r="Z745" i="1"/>
  <c r="Z743" i="1"/>
  <c r="Z742" i="1"/>
  <c r="Z193" i="1"/>
  <c r="Z740" i="1"/>
  <c r="Z739" i="1"/>
  <c r="Z738" i="1"/>
  <c r="Z191" i="1"/>
  <c r="Z190" i="1"/>
  <c r="Z188" i="1"/>
  <c r="Z182" i="1"/>
  <c r="Z458" i="1"/>
  <c r="Z447" i="1"/>
  <c r="Z166" i="1"/>
  <c r="Z717" i="1"/>
  <c r="Z164" i="1"/>
  <c r="Z428" i="1"/>
  <c r="Z163" i="1"/>
  <c r="Z716" i="1"/>
  <c r="Z421" i="1"/>
  <c r="Z696" i="1"/>
  <c r="Z692" i="1"/>
  <c r="Z152" i="1"/>
  <c r="Z146" i="1"/>
  <c r="Z144" i="1"/>
  <c r="Z377" i="1"/>
  <c r="Z376" i="1"/>
  <c r="Z361" i="1"/>
  <c r="Z669" i="1"/>
  <c r="Z668" i="1"/>
  <c r="Z667" i="1"/>
  <c r="Z666" i="1"/>
  <c r="Z360" i="1"/>
  <c r="Z359" i="1"/>
  <c r="Z358" i="1"/>
  <c r="Z357" i="1"/>
  <c r="Z356" i="1"/>
  <c r="Z355" i="1"/>
  <c r="Z665" i="1"/>
  <c r="Z664" i="1"/>
  <c r="Z663" i="1"/>
  <c r="Z662" i="1"/>
  <c r="Z661" i="1"/>
  <c r="Z660" i="1"/>
  <c r="Z138" i="1"/>
  <c r="Z658" i="1"/>
  <c r="Z657" i="1"/>
  <c r="Z134" i="1"/>
  <c r="Z654" i="1"/>
  <c r="Z132" i="1"/>
  <c r="Z128" i="1"/>
  <c r="Z127" i="1"/>
  <c r="Z125" i="1"/>
  <c r="Z645" i="1"/>
  <c r="Z335" i="1"/>
  <c r="Z332" i="1"/>
  <c r="Z119" i="1"/>
  <c r="Z327" i="1"/>
  <c r="Z628" i="1"/>
  <c r="Z116" i="1"/>
  <c r="Z321" i="1"/>
  <c r="Z320" i="1"/>
  <c r="Z109" i="1"/>
  <c r="Z316" i="1"/>
  <c r="Z315" i="1"/>
  <c r="Z314" i="1"/>
  <c r="Z313" i="1"/>
  <c r="Z612" i="1"/>
  <c r="Z302" i="1"/>
  <c r="Z298" i="1"/>
  <c r="Z94" i="1"/>
  <c r="Z93" i="1"/>
  <c r="Z599" i="1"/>
  <c r="Z287" i="1"/>
  <c r="Z588" i="1"/>
  <c r="Z76" i="1"/>
  <c r="Z582" i="1"/>
  <c r="Z284" i="1"/>
  <c r="Z283" i="1"/>
  <c r="Z280" i="1"/>
  <c r="Z578" i="1"/>
  <c r="Z279" i="1"/>
  <c r="Z278" i="1"/>
  <c r="Z566" i="1"/>
  <c r="Z565" i="1"/>
  <c r="Z564" i="1"/>
  <c r="Z62" i="1"/>
  <c r="Z61" i="1"/>
  <c r="Z264" i="1"/>
  <c r="Z555" i="1"/>
  <c r="Z550" i="1"/>
  <c r="Z548" i="1"/>
  <c r="Z546" i="1"/>
  <c r="Z545" i="1"/>
  <c r="Z544" i="1"/>
  <c r="Z535" i="1"/>
  <c r="Z533" i="1"/>
  <c r="Z532" i="1"/>
  <c r="Z531" i="1"/>
  <c r="Z530" i="1"/>
  <c r="Z529" i="1"/>
  <c r="Z43" i="1"/>
  <c r="Z526" i="1"/>
  <c r="Z41" i="1"/>
  <c r="Z522" i="1"/>
  <c r="Z515" i="1"/>
  <c r="Z513" i="1"/>
  <c r="Z228" i="1"/>
  <c r="Z227" i="1"/>
  <c r="Z500" i="1"/>
  <c r="Z497" i="1"/>
  <c r="Z222" i="1"/>
  <c r="Z219" i="1"/>
  <c r="Z211" i="1"/>
  <c r="Z23" i="1"/>
  <c r="Z19" i="1"/>
  <c r="Z18" i="1"/>
  <c r="Z17" i="1"/>
  <c r="Z744" i="1"/>
  <c r="Z741" i="1"/>
  <c r="Z465" i="1"/>
  <c r="Z462" i="1"/>
  <c r="Z432" i="1"/>
  <c r="Z420" i="1"/>
  <c r="Z160" i="1"/>
  <c r="Z158" i="1"/>
  <c r="Z673" i="1"/>
  <c r="Z136" i="1"/>
  <c r="Z129" i="1"/>
  <c r="Z336" i="1"/>
  <c r="Z615" i="1"/>
  <c r="Z596" i="1"/>
  <c r="Z585" i="1"/>
  <c r="Z577" i="1"/>
  <c r="Z576" i="1"/>
  <c r="Z573" i="1"/>
  <c r="Z567" i="1"/>
  <c r="Z562" i="1"/>
  <c r="Z557" i="1"/>
  <c r="Z537" i="1"/>
  <c r="Z527" i="1"/>
  <c r="Z486" i="1"/>
  <c r="Z485" i="1"/>
  <c r="Z484" i="1"/>
  <c r="Z483" i="1"/>
  <c r="Z148" i="1"/>
  <c r="Z147" i="1"/>
  <c r="Z71" i="1"/>
  <c r="Z73" i="1"/>
  <c r="AL14" i="1" l="1"/>
  <c r="AJ14" i="1"/>
  <c r="AH14" i="1"/>
  <c r="AD14" i="1"/>
  <c r="AB14" i="1"/>
  <c r="AK14" i="1"/>
  <c r="AI14" i="1"/>
  <c r="AG14" i="1"/>
  <c r="AE14" i="1"/>
  <c r="AC14" i="1"/>
  <c r="AA14" i="1"/>
  <c r="AF14" i="1"/>
  <c r="AO14" i="1" l="1"/>
  <c r="AM14" i="1"/>
  <c r="AN14" i="1" l="1"/>
  <c r="Z14" i="1"/>
  <c r="X71" i="1" l="1"/>
  <c r="Y14" i="1" l="1"/>
  <c r="X483" i="1" l="1"/>
  <c r="X485" i="1"/>
  <c r="X486" i="1"/>
  <c r="X527" i="1"/>
  <c r="X537" i="1"/>
  <c r="X557" i="1"/>
  <c r="X562" i="1"/>
  <c r="X573" i="1"/>
  <c r="X576" i="1"/>
  <c r="X577" i="1"/>
  <c r="X585" i="1"/>
  <c r="X615" i="1"/>
  <c r="X336" i="1"/>
  <c r="X129" i="1"/>
  <c r="X136" i="1"/>
  <c r="X673" i="1"/>
  <c r="X158" i="1"/>
  <c r="X160" i="1"/>
  <c r="X420" i="1"/>
  <c r="X432" i="1"/>
  <c r="X462" i="1"/>
  <c r="X465" i="1"/>
  <c r="X741" i="1"/>
  <c r="X744" i="1"/>
  <c r="X18" i="1"/>
  <c r="X23" i="1"/>
  <c r="X211" i="1"/>
  <c r="X219" i="1"/>
  <c r="X222" i="1"/>
  <c r="X497" i="1"/>
  <c r="X500" i="1"/>
  <c r="X227" i="1"/>
  <c r="X228" i="1"/>
  <c r="X513" i="1"/>
  <c r="X522" i="1"/>
  <c r="X526" i="1"/>
  <c r="X43" i="1"/>
  <c r="X530" i="1"/>
  <c r="X531" i="1"/>
  <c r="X532" i="1"/>
  <c r="X533" i="1"/>
  <c r="X535" i="1"/>
  <c r="X544" i="1"/>
  <c r="X545" i="1"/>
  <c r="X546" i="1"/>
  <c r="X548" i="1"/>
  <c r="X550" i="1"/>
  <c r="X555" i="1"/>
  <c r="X264" i="1"/>
  <c r="X61" i="1"/>
  <c r="X62" i="1"/>
  <c r="X564" i="1"/>
  <c r="X565" i="1"/>
  <c r="X566" i="1"/>
  <c r="X278" i="1"/>
  <c r="X279" i="1"/>
  <c r="X578" i="1"/>
  <c r="X280" i="1"/>
  <c r="X283" i="1"/>
  <c r="X76" i="1"/>
  <c r="X588" i="1"/>
  <c r="X287" i="1"/>
  <c r="X599" i="1"/>
  <c r="X302" i="1"/>
  <c r="X313" i="1"/>
  <c r="X314" i="1"/>
  <c r="X316" i="1"/>
  <c r="X109" i="1"/>
  <c r="X116" i="1"/>
  <c r="X628" i="1"/>
  <c r="X327" i="1"/>
  <c r="X119" i="1"/>
  <c r="X332" i="1"/>
  <c r="X335" i="1"/>
  <c r="X645" i="1"/>
  <c r="X125" i="1"/>
  <c r="X127" i="1"/>
  <c r="X128" i="1"/>
  <c r="X132" i="1"/>
  <c r="X654" i="1"/>
  <c r="X134" i="1"/>
  <c r="X657" i="1"/>
  <c r="X658" i="1"/>
  <c r="X138" i="1"/>
  <c r="X660" i="1"/>
  <c r="X661" i="1"/>
  <c r="X662" i="1"/>
  <c r="X664" i="1"/>
  <c r="X355" i="1"/>
  <c r="X356" i="1"/>
  <c r="X357" i="1"/>
  <c r="X358" i="1"/>
  <c r="X359" i="1"/>
  <c r="X360" i="1"/>
  <c r="X666" i="1"/>
  <c r="X667" i="1"/>
  <c r="X668" i="1"/>
  <c r="X361" i="1"/>
  <c r="X144" i="1"/>
  <c r="X146" i="1"/>
  <c r="X152" i="1"/>
  <c r="X692" i="1"/>
  <c r="X696" i="1"/>
  <c r="X421" i="1"/>
  <c r="X716" i="1"/>
  <c r="X163" i="1"/>
  <c r="X428" i="1"/>
  <c r="X164" i="1"/>
  <c r="X717" i="1"/>
  <c r="X166" i="1"/>
  <c r="X458" i="1"/>
  <c r="X182" i="1"/>
  <c r="X188" i="1"/>
  <c r="X190" i="1"/>
  <c r="X191" i="1"/>
  <c r="X739" i="1"/>
  <c r="X740" i="1"/>
  <c r="X193" i="1"/>
  <c r="X742" i="1"/>
  <c r="X743" i="1"/>
  <c r="X745" i="1"/>
  <c r="X197" i="1"/>
  <c r="X20" i="1"/>
  <c r="X21" i="1"/>
  <c r="X22" i="1"/>
  <c r="X490" i="1"/>
  <c r="X493" i="1"/>
  <c r="X220" i="1"/>
  <c r="X221" i="1"/>
  <c r="X505" i="1"/>
  <c r="X31" i="1"/>
  <c r="X508" i="1"/>
  <c r="X509" i="1"/>
  <c r="X512" i="1"/>
  <c r="X34" i="1"/>
  <c r="X36" i="1"/>
  <c r="X37" i="1"/>
  <c r="X39" i="1"/>
  <c r="X235" i="1"/>
  <c r="X236" i="1"/>
  <c r="X519" i="1"/>
  <c r="X520" i="1"/>
  <c r="X521" i="1"/>
  <c r="X524" i="1"/>
  <c r="X237" i="1"/>
  <c r="X49" i="1"/>
  <c r="X240" i="1"/>
  <c r="X536" i="1"/>
  <c r="X539" i="1"/>
  <c r="X540" i="1"/>
  <c r="X541" i="1"/>
  <c r="X542" i="1"/>
  <c r="X543" i="1"/>
  <c r="X242" i="1"/>
  <c r="X549" i="1"/>
  <c r="X243" i="1"/>
  <c r="X245" i="1"/>
  <c r="X246" i="1"/>
  <c r="X551" i="1"/>
  <c r="X247" i="1"/>
  <c r="X552" i="1"/>
  <c r="X553" i="1"/>
  <c r="X52" i="1"/>
  <c r="X250" i="1"/>
  <c r="X252" i="1"/>
  <c r="X54" i="1"/>
  <c r="X55" i="1"/>
  <c r="X56" i="1"/>
  <c r="X58" i="1"/>
  <c r="X63" i="1"/>
  <c r="X64" i="1"/>
  <c r="X60" i="1"/>
  <c r="X563" i="1"/>
  <c r="X72" i="1"/>
  <c r="X575" i="1"/>
  <c r="X583" i="1"/>
  <c r="X77" i="1"/>
  <c r="X591" i="1"/>
  <c r="X79" i="1"/>
  <c r="X80" i="1"/>
  <c r="X81" i="1"/>
  <c r="X82" i="1"/>
  <c r="X83" i="1"/>
  <c r="X289" i="1"/>
  <c r="X84" i="1"/>
  <c r="X85" i="1"/>
  <c r="X292" i="1"/>
  <c r="X87" i="1"/>
  <c r="X600" i="1"/>
  <c r="X601" i="1"/>
  <c r="X602" i="1"/>
  <c r="X603" i="1"/>
  <c r="X90" i="1"/>
  <c r="X91" i="1"/>
  <c r="X92" i="1"/>
  <c r="X606" i="1"/>
  <c r="X607" i="1"/>
  <c r="X300" i="1"/>
  <c r="X301" i="1"/>
  <c r="X613" i="1"/>
  <c r="X614" i="1"/>
  <c r="X616" i="1"/>
  <c r="X308" i="1"/>
  <c r="X100" i="1"/>
  <c r="X101" i="1"/>
  <c r="X102" i="1"/>
  <c r="X620" i="1"/>
  <c r="X621" i="1"/>
  <c r="X106" i="1"/>
  <c r="X623" i="1"/>
  <c r="X624" i="1"/>
  <c r="X107" i="1"/>
  <c r="X319" i="1"/>
  <c r="X108" i="1"/>
  <c r="X626" i="1"/>
  <c r="X112" i="1"/>
  <c r="X113" i="1"/>
  <c r="X114" i="1"/>
  <c r="X115" i="1"/>
  <c r="X117" i="1"/>
  <c r="X630" i="1"/>
  <c r="X329" i="1"/>
  <c r="X120" i="1"/>
  <c r="X122" i="1"/>
  <c r="X649" i="1"/>
  <c r="X651" i="1"/>
  <c r="X344" i="1"/>
  <c r="X652" i="1"/>
  <c r="X131" i="1"/>
  <c r="X349" i="1"/>
  <c r="X670" i="1"/>
  <c r="X671" i="1"/>
  <c r="X672" i="1"/>
  <c r="X353" i="1"/>
  <c r="X674" i="1"/>
  <c r="X675" i="1"/>
  <c r="X676" i="1"/>
  <c r="X149" i="1"/>
  <c r="X678" i="1"/>
  <c r="X679" i="1"/>
  <c r="X680" i="1"/>
  <c r="X682" i="1"/>
  <c r="X150" i="1"/>
  <c r="X151" i="1"/>
  <c r="X685" i="1"/>
  <c r="X396" i="1"/>
  <c r="X157" i="1"/>
  <c r="X418" i="1"/>
  <c r="X159" i="1"/>
  <c r="X419" i="1"/>
  <c r="X165" i="1"/>
  <c r="X722" i="1"/>
  <c r="X169" i="1"/>
  <c r="X448" i="1"/>
  <c r="X455" i="1"/>
  <c r="X456" i="1"/>
  <c r="X457" i="1"/>
  <c r="X175" i="1"/>
  <c r="X459" i="1"/>
  <c r="X460" i="1"/>
  <c r="X178" i="1"/>
  <c r="X467" i="1"/>
  <c r="X463" i="1"/>
  <c r="X468" i="1"/>
  <c r="X179" i="1"/>
  <c r="X187" i="1"/>
  <c r="X189" i="1"/>
  <c r="X192" i="1"/>
  <c r="X200" i="1"/>
  <c r="X195" i="1"/>
  <c r="X196" i="1"/>
  <c r="X254" i="1"/>
  <c r="X255" i="1"/>
  <c r="X489" i="1"/>
  <c r="X24" i="1"/>
  <c r="X491" i="1"/>
  <c r="X492" i="1"/>
  <c r="X26" i="1"/>
  <c r="X257" i="1"/>
  <c r="X33" i="1"/>
  <c r="X44" i="1"/>
  <c r="X261" i="1"/>
  <c r="X262" i="1"/>
  <c r="X45" i="1"/>
  <c r="X46" i="1"/>
  <c r="X47" i="1"/>
  <c r="X263" i="1"/>
  <c r="X50" i="1"/>
  <c r="X554" i="1"/>
  <c r="X559" i="1"/>
  <c r="X571" i="1"/>
  <c r="X68" i="1"/>
  <c r="X69" i="1"/>
  <c r="X70" i="1"/>
  <c r="X590" i="1"/>
  <c r="X88" i="1"/>
  <c r="X89" i="1"/>
  <c r="X604" i="1"/>
  <c r="X97" i="1"/>
  <c r="X99" i="1"/>
  <c r="X103" i="1"/>
  <c r="X317" i="1"/>
  <c r="X318" i="1"/>
  <c r="X629" i="1"/>
  <c r="X118" i="1"/>
  <c r="X123" i="1"/>
  <c r="X124" i="1"/>
  <c r="X350" i="1"/>
  <c r="X351" i="1"/>
  <c r="X369" i="1"/>
  <c r="X145" i="1"/>
  <c r="X686" i="1"/>
  <c r="X687" i="1"/>
  <c r="X688" i="1"/>
  <c r="X689" i="1"/>
  <c r="X690" i="1"/>
  <c r="X691" i="1"/>
  <c r="X393" i="1"/>
  <c r="X394" i="1"/>
  <c r="X697" i="1"/>
  <c r="X395" i="1"/>
  <c r="X397" i="1"/>
  <c r="X398" i="1"/>
  <c r="X399" i="1"/>
  <c r="X400" i="1"/>
  <c r="X401" i="1"/>
  <c r="X402" i="1"/>
  <c r="X403" i="1"/>
  <c r="X404" i="1"/>
  <c r="X406" i="1"/>
  <c r="X407" i="1"/>
  <c r="X408" i="1"/>
  <c r="X409" i="1"/>
  <c r="X410" i="1"/>
  <c r="X411" i="1"/>
  <c r="X412" i="1"/>
  <c r="X413" i="1"/>
  <c r="X414" i="1"/>
  <c r="X415" i="1"/>
  <c r="X416" i="1"/>
  <c r="X161" i="1"/>
  <c r="X422" i="1"/>
  <c r="X718" i="1"/>
  <c r="X719" i="1"/>
  <c r="X431" i="1"/>
  <c r="X434" i="1"/>
  <c r="X436" i="1"/>
  <c r="X440" i="1"/>
  <c r="X441" i="1"/>
  <c r="X442" i="1"/>
  <c r="X451" i="1"/>
  <c r="X452" i="1"/>
  <c r="X453" i="1"/>
  <c r="X454" i="1"/>
  <c r="X176" i="1"/>
  <c r="X461" i="1"/>
  <c r="X464" i="1"/>
  <c r="X466" i="1"/>
  <c r="X746" i="1"/>
  <c r="X748" i="1"/>
  <c r="X749" i="1"/>
  <c r="X198" i="1"/>
  <c r="X199" i="1"/>
  <c r="X201" i="1"/>
  <c r="X751" i="1"/>
  <c r="X147" i="1"/>
  <c r="X148" i="1"/>
  <c r="X98" i="1" l="1"/>
  <c r="X104" i="1"/>
  <c r="X133" i="1"/>
  <c r="X194" i="1"/>
  <c r="X27" i="1" l="1"/>
  <c r="X405" i="1"/>
  <c r="X354" i="1"/>
  <c r="X612" i="1"/>
  <c r="X556" i="1" l="1"/>
  <c r="X19" i="1" l="1"/>
  <c r="X258" i="1" l="1"/>
  <c r="X284" i="1"/>
  <c r="U369" i="1" l="1"/>
  <c r="V369" i="1"/>
  <c r="U144" i="1" l="1"/>
  <c r="V144" i="1"/>
  <c r="U197" i="1" l="1"/>
  <c r="U191" i="1"/>
  <c r="U190" i="1"/>
  <c r="U182" i="1"/>
  <c r="V164" i="1"/>
  <c r="V134" i="1"/>
  <c r="V132" i="1"/>
  <c r="V128" i="1"/>
  <c r="U125" i="1"/>
  <c r="V197" i="1"/>
  <c r="V193" i="1"/>
  <c r="U188" i="1"/>
  <c r="V182" i="1"/>
  <c r="V125" i="1" l="1"/>
  <c r="U134" i="1"/>
  <c r="U128" i="1"/>
  <c r="U132" i="1"/>
  <c r="V138" i="1"/>
  <c r="U164" i="1"/>
  <c r="V188" i="1"/>
  <c r="U193" i="1"/>
  <c r="U138" i="1"/>
  <c r="V190" i="1"/>
  <c r="V191" i="1"/>
  <c r="U178" i="1" l="1"/>
  <c r="V169" i="1"/>
  <c r="V353" i="1"/>
  <c r="V117" i="1"/>
  <c r="V112" i="1"/>
  <c r="V52" i="1"/>
  <c r="V49" i="1"/>
  <c r="V235" i="1"/>
  <c r="U21" i="1"/>
  <c r="V20" i="1"/>
  <c r="V54" i="1" l="1"/>
  <c r="V58" i="1"/>
  <c r="V64" i="1"/>
  <c r="V60" i="1"/>
  <c r="V72" i="1"/>
  <c r="V80" i="1"/>
  <c r="V83" i="1"/>
  <c r="V84" i="1"/>
  <c r="V85" i="1"/>
  <c r="V87" i="1"/>
  <c r="V308" i="1"/>
  <c r="V100" i="1"/>
  <c r="V102" i="1"/>
  <c r="V106" i="1"/>
  <c r="V114" i="1"/>
  <c r="V120" i="1"/>
  <c r="V149" i="1"/>
  <c r="V150" i="1"/>
  <c r="V151" i="1"/>
  <c r="U175" i="1"/>
  <c r="V179" i="1"/>
  <c r="U169" i="1"/>
  <c r="U20" i="1"/>
  <c r="U235" i="1"/>
  <c r="U58" i="1"/>
  <c r="U85" i="1"/>
  <c r="U87" i="1"/>
  <c r="U120" i="1"/>
  <c r="U353" i="1"/>
  <c r="U151" i="1"/>
  <c r="V79" i="1"/>
  <c r="U79" i="1"/>
  <c r="V289" i="1"/>
  <c r="U289" i="1"/>
  <c r="V90" i="1"/>
  <c r="U90" i="1"/>
  <c r="V165" i="1"/>
  <c r="U165" i="1"/>
  <c r="V34" i="1"/>
  <c r="U34" i="1"/>
  <c r="V63" i="1"/>
  <c r="U63" i="1"/>
  <c r="V77" i="1"/>
  <c r="U77" i="1"/>
  <c r="V82" i="1"/>
  <c r="U82" i="1"/>
  <c r="V101" i="1"/>
  <c r="U101" i="1"/>
  <c r="V122" i="1"/>
  <c r="U122" i="1"/>
  <c r="V159" i="1"/>
  <c r="U159" i="1"/>
  <c r="V187" i="1"/>
  <c r="U187" i="1"/>
  <c r="V189" i="1"/>
  <c r="U189" i="1"/>
  <c r="V21" i="1"/>
  <c r="U49" i="1"/>
  <c r="U52" i="1"/>
  <c r="U54" i="1"/>
  <c r="U64" i="1"/>
  <c r="U60" i="1"/>
  <c r="U72" i="1"/>
  <c r="U80" i="1"/>
  <c r="U83" i="1"/>
  <c r="U84" i="1"/>
  <c r="U308" i="1"/>
  <c r="U100" i="1"/>
  <c r="U102" i="1"/>
  <c r="U106" i="1"/>
  <c r="U112" i="1"/>
  <c r="U114" i="1"/>
  <c r="U117" i="1"/>
  <c r="U149" i="1"/>
  <c r="U150" i="1"/>
  <c r="V175" i="1"/>
  <c r="V178" i="1"/>
  <c r="U179" i="1"/>
  <c r="U192" i="1" l="1"/>
  <c r="V31" i="1"/>
  <c r="U250" i="1"/>
  <c r="V39" i="1"/>
  <c r="V195" i="1"/>
  <c r="V250" i="1"/>
  <c r="U31" i="1"/>
  <c r="V163" i="1"/>
  <c r="V127" i="1"/>
  <c r="V81" i="1"/>
  <c r="V196" i="1"/>
  <c r="V200" i="1"/>
  <c r="V166" i="1"/>
  <c r="U152" i="1"/>
  <c r="U146" i="1"/>
  <c r="V192" i="1"/>
  <c r="U195" i="1"/>
  <c r="U200" i="1"/>
  <c r="U22" i="1"/>
  <c r="U196" i="1"/>
  <c r="U81" i="1"/>
  <c r="U39" i="1"/>
  <c r="V22" i="1"/>
  <c r="V152" i="1"/>
  <c r="U166" i="1"/>
  <c r="U127" i="1"/>
  <c r="U163" i="1"/>
  <c r="V146" i="1"/>
  <c r="V160" i="1" l="1"/>
  <c r="U160" i="1"/>
  <c r="U119" i="1" l="1"/>
  <c r="V119" i="1"/>
  <c r="U116" i="1"/>
  <c r="V116" i="1"/>
  <c r="U109" i="1"/>
  <c r="V109" i="1"/>
  <c r="U76" i="1"/>
  <c r="V76" i="1"/>
  <c r="V62" i="1"/>
  <c r="U62" i="1"/>
  <c r="V23" i="1"/>
  <c r="U23" i="1"/>
  <c r="V18" i="1"/>
  <c r="U18" i="1"/>
  <c r="V158" i="1"/>
  <c r="U158" i="1"/>
  <c r="V136" i="1"/>
  <c r="U136" i="1"/>
  <c r="V147" i="1"/>
  <c r="U147" i="1"/>
  <c r="U61" i="1"/>
  <c r="V61" i="1"/>
  <c r="U43" i="1"/>
  <c r="V43" i="1"/>
  <c r="U19" i="1"/>
  <c r="V19" i="1"/>
  <c r="V129" i="1"/>
  <c r="U129" i="1"/>
  <c r="V148" i="1"/>
  <c r="U148" i="1"/>
  <c r="V89" i="1" l="1"/>
  <c r="U89" i="1"/>
  <c r="U27" i="1" l="1"/>
  <c r="V27" i="1"/>
  <c r="U46" i="1"/>
  <c r="V46" i="1"/>
  <c r="U69" i="1"/>
  <c r="V69" i="1"/>
  <c r="V123" i="1"/>
  <c r="U123" i="1"/>
  <c r="V194" i="1"/>
  <c r="U194" i="1"/>
  <c r="V199" i="1"/>
  <c r="U199" i="1"/>
  <c r="V97" i="1"/>
  <c r="U97" i="1"/>
  <c r="V103" i="1"/>
  <c r="U103" i="1"/>
  <c r="V161" i="1"/>
  <c r="U161" i="1"/>
  <c r="V176" i="1"/>
  <c r="U176" i="1"/>
  <c r="V198" i="1"/>
  <c r="U198" i="1"/>
  <c r="V201" i="1"/>
  <c r="U201" i="1"/>
  <c r="V133" i="1" l="1"/>
  <c r="U133" i="1"/>
  <c r="V118" i="1"/>
  <c r="U118" i="1"/>
  <c r="U50" i="1"/>
  <c r="V50" i="1"/>
  <c r="U47" i="1"/>
  <c r="V47" i="1"/>
  <c r="U44" i="1"/>
  <c r="V44" i="1"/>
  <c r="U24" i="1"/>
  <c r="V24" i="1"/>
  <c r="U73" i="1"/>
  <c r="V73" i="1"/>
  <c r="U70" i="1"/>
  <c r="V70" i="1"/>
  <c r="V124" i="1"/>
  <c r="U124" i="1"/>
  <c r="V104" i="1"/>
  <c r="U104" i="1"/>
  <c r="V98" i="1"/>
  <c r="U98" i="1"/>
  <c r="U45" i="1"/>
  <c r="V45" i="1"/>
  <c r="U26" i="1"/>
  <c r="V26" i="1"/>
  <c r="V145" i="1" l="1"/>
  <c r="U145" i="1"/>
  <c r="X567" i="1" l="1"/>
  <c r="X17" i="1" l="1"/>
  <c r="V17" i="1" l="1"/>
  <c r="U17" i="1"/>
  <c r="X29" i="1" l="1"/>
  <c r="U29" i="1"/>
  <c r="V29" i="1" l="1"/>
  <c r="U35" i="1" l="1"/>
  <c r="V35" i="1"/>
  <c r="X35" i="1" l="1"/>
  <c r="X239" i="1"/>
  <c r="X93" i="1" l="1"/>
  <c r="V93" i="1" l="1"/>
  <c r="U93" i="1"/>
  <c r="X30" i="1" l="1"/>
  <c r="V30" i="1" l="1"/>
  <c r="U30" i="1"/>
  <c r="X260" i="1"/>
  <c r="X596" i="1" l="1"/>
  <c r="X368" i="1" l="1"/>
  <c r="X364" i="1"/>
  <c r="X365" i="1"/>
  <c r="X374" i="1"/>
  <c r="X371" i="1"/>
  <c r="X379" i="1"/>
  <c r="X373" i="1"/>
  <c r="X367" i="1"/>
  <c r="X372" i="1"/>
  <c r="X375" i="1"/>
  <c r="X366" i="1"/>
  <c r="X377" i="1"/>
  <c r="X370" i="1"/>
  <c r="X376" i="1"/>
  <c r="X303" i="1" l="1"/>
  <c r="X171" i="1" l="1"/>
  <c r="U171" i="1" l="1"/>
  <c r="V171" i="1"/>
  <c r="X298" i="1" l="1"/>
  <c r="X447" i="1" l="1"/>
  <c r="X506" i="1" l="1"/>
  <c r="X514" i="1" l="1"/>
  <c r="X515" i="1" l="1"/>
  <c r="X244" i="1" l="1"/>
  <c r="U244" i="1"/>
  <c r="V244" i="1" l="1"/>
  <c r="X706" i="1" l="1"/>
  <c r="X14" i="1" l="1"/>
  <c r="X315" i="1" l="1"/>
  <c r="X94" i="1"/>
  <c r="U94" i="1" l="1"/>
  <c r="V94" i="1"/>
  <c r="X605" i="1"/>
  <c r="X320" i="1" l="1"/>
  <c r="X321" i="1" l="1"/>
  <c r="X111" i="1" l="1"/>
  <c r="X529" i="1" l="1"/>
  <c r="X669" i="1" l="1"/>
  <c r="X663" i="1" l="1"/>
  <c r="X582" i="1" l="1"/>
  <c r="X484" i="1" l="1"/>
  <c r="X738" i="1"/>
  <c r="X665" i="1" l="1"/>
  <c r="X38" i="1"/>
  <c r="V38" i="1" l="1"/>
  <c r="AS233" i="1"/>
  <c r="AT233" i="1" s="1"/>
  <c r="U38" i="1" l="1"/>
  <c r="X95" i="1" l="1"/>
  <c r="U95" i="1" l="1"/>
  <c r="V95" i="1"/>
  <c r="X41" i="1"/>
  <c r="V41" i="1" l="1"/>
  <c r="U41" i="1"/>
  <c r="U157" i="1" l="1"/>
  <c r="V157" i="1"/>
  <c r="U107" i="1" l="1"/>
  <c r="V107" i="1"/>
  <c r="N88" i="1" l="1"/>
  <c r="AP88" i="1" s="1"/>
  <c r="U88" i="1" l="1"/>
  <c r="V88" i="1"/>
  <c r="P749" i="1" l="1"/>
  <c r="AU749" i="1" s="1"/>
  <c r="N749" i="1" l="1"/>
  <c r="AP749" i="1" s="1"/>
  <c r="U749" i="1" l="1"/>
  <c r="S91" i="1" l="1"/>
  <c r="AT91" i="1" s="1"/>
  <c r="R576" i="1"/>
  <c r="AW576" i="1" s="1"/>
  <c r="N576" i="1" l="1"/>
  <c r="AP576" i="1" s="1"/>
  <c r="S578" i="1"/>
  <c r="T91" i="1"/>
  <c r="N91" i="1" s="1"/>
  <c r="AP91" i="1" s="1"/>
  <c r="T115" i="1"/>
  <c r="N115" i="1" s="1"/>
  <c r="AP115" i="1" s="1"/>
  <c r="AX578" i="1" l="1"/>
  <c r="AT578" i="1"/>
  <c r="V115" i="1"/>
  <c r="U115" i="1"/>
  <c r="N578" i="1"/>
  <c r="AP578" i="1" s="1"/>
  <c r="P580" i="1"/>
  <c r="AU580" i="1" s="1"/>
  <c r="U91" i="1"/>
  <c r="V91" i="1"/>
  <c r="U576" i="1"/>
  <c r="N580" i="1" l="1"/>
  <c r="AP580" i="1" s="1"/>
  <c r="P480" i="1"/>
  <c r="U578" i="1"/>
  <c r="U580" i="1" l="1"/>
  <c r="AD580" i="1"/>
  <c r="AA580" i="1"/>
  <c r="A206" i="10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l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T323" i="1"/>
  <c r="AY323" i="1" s="1"/>
  <c r="T354" i="1" l="1"/>
  <c r="N323" i="1"/>
  <c r="AP323" i="1" s="1"/>
  <c r="N354" i="1" l="1"/>
  <c r="AP354" i="1" s="1"/>
  <c r="AY354" i="1"/>
  <c r="V323" i="1"/>
  <c r="U323" i="1"/>
  <c r="V354" i="1" l="1"/>
  <c r="U354" i="1"/>
  <c r="AS511" i="1" l="1"/>
  <c r="AQ208" i="1"/>
  <c r="T490" i="1"/>
  <c r="AY490" i="1" s="1"/>
  <c r="AS208" i="1"/>
  <c r="AT208" i="1" s="1"/>
  <c r="T515" i="1"/>
  <c r="AS255" i="1"/>
  <c r="S255" i="1" s="1"/>
  <c r="T274" i="1"/>
  <c r="S56" i="1"/>
  <c r="T78" i="1"/>
  <c r="T55" i="1"/>
  <c r="N538" i="1"/>
  <c r="T33" i="1"/>
  <c r="AS698" i="1"/>
  <c r="S698" i="1" s="1"/>
  <c r="AT36" i="1"/>
  <c r="R37" i="1"/>
  <c r="R14" i="1" s="1"/>
  <c r="AQ511" i="1"/>
  <c r="R511" i="1" s="1"/>
  <c r="R205" i="1"/>
  <c r="S225" i="1"/>
  <c r="S511" i="1" l="1"/>
  <c r="AW511" i="1"/>
  <c r="AX255" i="1"/>
  <c r="AT255" i="1"/>
  <c r="AX698" i="1"/>
  <c r="AT698" i="1"/>
  <c r="N515" i="1"/>
  <c r="AP515" i="1" s="1"/>
  <c r="AY515" i="1"/>
  <c r="AS268" i="1"/>
  <c r="AT268" i="1" s="1"/>
  <c r="AT56" i="1"/>
  <c r="AX225" i="1"/>
  <c r="AT225" i="1"/>
  <c r="N274" i="1"/>
  <c r="AP274" i="1" s="1"/>
  <c r="AY274" i="1"/>
  <c r="N78" i="1"/>
  <c r="U78" i="1" s="1"/>
  <c r="U538" i="1"/>
  <c r="AP538" i="1"/>
  <c r="N33" i="1"/>
  <c r="AP33" i="1" s="1"/>
  <c r="T37" i="1"/>
  <c r="T255" i="1"/>
  <c r="T698" i="1"/>
  <c r="N490" i="1"/>
  <c r="AP490" i="1" s="1"/>
  <c r="T225" i="1"/>
  <c r="AY225" i="1" s="1"/>
  <c r="N55" i="1"/>
  <c r="AP55" i="1" s="1"/>
  <c r="T56" i="1"/>
  <c r="N56" i="1" s="1"/>
  <c r="AP56" i="1" s="1"/>
  <c r="N37" i="1" l="1"/>
  <c r="AP37" i="1" s="1"/>
  <c r="A481" i="10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U515" i="1"/>
  <c r="AX511" i="1"/>
  <c r="AT511" i="1"/>
  <c r="N511" i="1"/>
  <c r="AP511" i="1" s="1"/>
  <c r="V274" i="1"/>
  <c r="N698" i="1"/>
  <c r="AP698" i="1" s="1"/>
  <c r="AY698" i="1"/>
  <c r="N255" i="1"/>
  <c r="AP255" i="1" s="1"/>
  <c r="AY255" i="1"/>
  <c r="U274" i="1"/>
  <c r="U33" i="1"/>
  <c r="V33" i="1"/>
  <c r="V78" i="1"/>
  <c r="AP78" i="1"/>
  <c r="U37" i="1"/>
  <c r="V56" i="1"/>
  <c r="U56" i="1"/>
  <c r="U490" i="1"/>
  <c r="N36" i="1"/>
  <c r="AP36" i="1" s="1"/>
  <c r="V55" i="1"/>
  <c r="U55" i="1"/>
  <c r="N225" i="1"/>
  <c r="AP225" i="1" s="1"/>
  <c r="V37" i="1" l="1"/>
  <c r="U255" i="1"/>
  <c r="V255" i="1"/>
  <c r="U511" i="1"/>
  <c r="U698" i="1"/>
  <c r="U36" i="1"/>
  <c r="V36" i="1"/>
  <c r="V225" i="1"/>
  <c r="U225" i="1"/>
  <c r="AT386" i="1" l="1"/>
  <c r="T386" i="1" l="1"/>
  <c r="N386" i="1" l="1"/>
  <c r="AA386" i="1" l="1"/>
  <c r="U386" i="1"/>
  <c r="V386" i="1"/>
  <c r="AP386" i="1"/>
  <c r="AD386" i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l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T57" i="1"/>
  <c r="N57" i="1"/>
  <c r="V57" i="1" s="1"/>
  <c r="U57" i="1" l="1"/>
  <c r="AP57" i="1"/>
  <c r="S108" i="1" l="1"/>
  <c r="AT108" i="1" l="1"/>
  <c r="AS323" i="1"/>
  <c r="AT323" i="1" s="1"/>
  <c r="N108" i="1"/>
  <c r="A481" i="1" l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U108" i="1"/>
  <c r="V108" i="1"/>
  <c r="AP108" i="1"/>
  <c r="AT113" i="1" l="1"/>
  <c r="AS324" i="1"/>
  <c r="N113" i="1"/>
  <c r="U113" i="1" l="1"/>
  <c r="AP113" i="1"/>
  <c r="V113" i="1"/>
  <c r="AX324" i="1"/>
  <c r="T324" i="1"/>
  <c r="N324" i="1" s="1"/>
  <c r="AT324" i="1"/>
  <c r="AP324" i="1" l="1"/>
  <c r="U324" i="1"/>
  <c r="V324" i="1"/>
  <c r="T205" i="1"/>
  <c r="AY324" i="1"/>
  <c r="AT71" i="1" l="1"/>
  <c r="AS574" i="1"/>
  <c r="S574" i="1" s="1"/>
  <c r="AT574" i="1" s="1"/>
  <c r="T71" i="1"/>
  <c r="AQ574" i="1"/>
  <c r="R574" i="1" s="1"/>
  <c r="N71" i="1" l="1"/>
  <c r="AP71" i="1" s="1"/>
  <c r="AW574" i="1"/>
  <c r="R480" i="1"/>
  <c r="T574" i="1"/>
  <c r="AX574" i="1"/>
  <c r="S480" i="1"/>
  <c r="U71" i="1" l="1"/>
  <c r="V71" i="1"/>
  <c r="AY574" i="1"/>
  <c r="T480" i="1"/>
  <c r="N574" i="1"/>
  <c r="AT480" i="1"/>
  <c r="R13" i="1"/>
  <c r="N480" i="1" l="1"/>
  <c r="AP480" i="1" s="1"/>
  <c r="U574" i="1"/>
  <c r="AP574" i="1"/>
  <c r="T99" i="1" l="1"/>
  <c r="N99" i="1" s="1"/>
  <c r="AT99" i="1"/>
  <c r="V99" i="1" l="1"/>
  <c r="AP99" i="1"/>
  <c r="U99" i="1"/>
  <c r="AT131" i="1"/>
  <c r="AS345" i="1" l="1"/>
  <c r="S345" i="1" s="1"/>
  <c r="P345" i="1" l="1"/>
  <c r="AT345" i="1"/>
  <c r="AX345" i="1"/>
  <c r="S205" i="1"/>
  <c r="V131" i="1"/>
  <c r="U131" i="1"/>
  <c r="AU345" i="1" l="1"/>
  <c r="P205" i="1"/>
  <c r="N345" i="1"/>
  <c r="V345" i="1" l="1"/>
  <c r="U345" i="1"/>
  <c r="AP345" i="1"/>
  <c r="P13" i="1"/>
  <c r="N205" i="1"/>
  <c r="AT205" i="1"/>
  <c r="AP205" i="1" l="1"/>
  <c r="S14" i="1" l="1"/>
  <c r="AT92" i="1"/>
  <c r="T92" i="1"/>
  <c r="T14" i="1" s="1"/>
  <c r="T13" i="1" s="1"/>
  <c r="N14" i="1" l="1"/>
  <c r="N92" i="1"/>
  <c r="V92" i="1" s="1"/>
  <c r="S13" i="1"/>
  <c r="AP92" i="1" l="1"/>
  <c r="U92" i="1"/>
  <c r="N13" i="1"/>
  <c r="AP14" i="1"/>
</calcChain>
</file>

<file path=xl/comments1.xml><?xml version="1.0" encoding="utf-8"?>
<comments xmlns="http://schemas.openxmlformats.org/spreadsheetml/2006/main">
  <authors>
    <author>НамыловЮИ</author>
  </authors>
  <commentList>
    <comment ref="P22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убрать полностью
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полностью убрать</t>
        </r>
      </text>
    </comment>
  </commentList>
</comments>
</file>

<file path=xl/sharedStrings.xml><?xml version="1.0" encoding="utf-8"?>
<sst xmlns="http://schemas.openxmlformats.org/spreadsheetml/2006/main" count="72258" uniqueCount="1220">
  <si>
    <t>Приложение № 1 к приказу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</si>
  <si>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</si>
  <si>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</si>
  <si>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</si>
  <si>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</si>
  <si>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</si>
  <si>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</si>
  <si>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</si>
  <si>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</si>
  <si>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</si>
  <si>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</si>
  <si>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</si>
  <si>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</si>
  <si>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</si>
  <si>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</si>
  <si>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</si>
  <si>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</si>
  <si>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</si>
  <si>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</si>
  <si>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</si>
  <si>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</si>
  <si>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</si>
  <si>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</si>
  <si>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</si>
  <si>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</si>
  <si>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</si>
  <si>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</si>
  <si>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</si>
  <si>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</si>
  <si>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</si>
  <si>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</si>
  <si>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</si>
  <si>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</si>
  <si>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</si>
  <si>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</si>
  <si>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</si>
  <si>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</si>
  <si>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</si>
  <si>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</si>
  <si>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</si>
  <si>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</si>
  <si>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</si>
  <si>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</si>
  <si>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Респ. Саха /Якутия/, г. Нерюнгри, пр-кт. Дружбы Народов, д. 33</t>
  </si>
  <si>
    <t>Камень</t>
  </si>
  <si>
    <t>ГО "Жатай"</t>
  </si>
  <si>
    <t>Респ. Саха /Якутия/, п. Жатай, ул. Северная, д. 37/1</t>
  </si>
  <si>
    <t>МО "Город Ленск"</t>
  </si>
  <si>
    <t>Респ. Саха /Якутия/, у. Ленский, г. Ленск, ул. Дзержинского, д. 15</t>
  </si>
  <si>
    <t>Респ. Саха /Якутия/, у. Ленский, г. Ленск, ул. Дзержинского, д. 27</t>
  </si>
  <si>
    <t>МО "Город Мирный"</t>
  </si>
  <si>
    <t>Крупнопанельный</t>
  </si>
  <si>
    <t>Дерево</t>
  </si>
  <si>
    <t>Респ. Саха /Якутия/, у. Мирнинский, г. Мирный, ул. Советская, д. 3</t>
  </si>
  <si>
    <t>ГП "Поселок Беркакит"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</si>
  <si>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</si>
  <si>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</si>
  <si>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</si>
  <si>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</si>
  <si>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ГП "Поселок Золотинка"</t>
  </si>
  <si>
    <t>ГП "Поселок Чульман"</t>
  </si>
  <si>
    <t>Респ. Саха /Якутия/, г. Нерюнгри, пр-кт. Мира, д. 21, корп. 1</t>
  </si>
  <si>
    <t>Респ. Саха /Якутия/, г. Нерюнгри, ул. Аммосова, д. 10, корп. 1</t>
  </si>
  <si>
    <t>Респ. Саха /Якутия/, г. Нерюнгри, ул. Аммосова, д. 12</t>
  </si>
  <si>
    <t>Респ. Саха /Якутия/, г. Нерюнгри, ул. Аммосова, д. 6, корп. 1</t>
  </si>
  <si>
    <t>Респ. Саха /Якутия/, г. Нерюнгри, ул. Карла Маркса, д. 27</t>
  </si>
  <si>
    <t>Респ. Саха /Якутия/, г. Нерюнгри, ул. Лужников, д. 3, корп. 1</t>
  </si>
  <si>
    <t>Респ. Саха /Якутия/, г. Нерюнгри, ул. Чурапчинская, д. 39</t>
  </si>
  <si>
    <t>Респ. Саха /Якутия/, г. Нерюнгри, ул. Чурапчинская, д. 50</t>
  </si>
  <si>
    <t>Респ. Саха /Якутия/, г. Нерюнгри, ул. Южно-Якутская, д. 30</t>
  </si>
  <si>
    <t>Респ. Саха /Якутия/, г. Нерюнгри, ул. Южно-Якутская, д. 32</t>
  </si>
  <si>
    <t>Респ. Саха /Якутия/, г. Нерюнгри, ул. Южно-Якутская, д. 34</t>
  </si>
  <si>
    <t>ГО "город Якутск"</t>
  </si>
  <si>
    <t>Респ. Саха /Якутия/, г. Якутск, мкр. Кангалассы, ул. 26 партсъезда, д. 2</t>
  </si>
  <si>
    <t>Респ. Саха /Якутия/, г. Якутск, мкр. Кангалассы, ул. 26 партсъезда, д. 4</t>
  </si>
  <si>
    <t>Респ. Саха /Якутия/, г. Якутск, с. Хатассы, ул. Ленина, д. 67, корп. 1</t>
  </si>
  <si>
    <t>Респ. Саха /Якутия/, г. Якутск, ул. Автодорожная, д. 28, корп. 15</t>
  </si>
  <si>
    <t>Респ. Саха /Якутия/, г. Якутск, ул. Воинская, д. 9</t>
  </si>
  <si>
    <t>Респ. Саха /Якутия/, г. Якутск, ул. Горького, д. 94</t>
  </si>
  <si>
    <t>Респ. Саха /Якутия/, г. Якутск, ул. Дзержинского, д. 40</t>
  </si>
  <si>
    <t>Респ. Саха /Якутия/, г. Якутск, ул. Кирова, д. 34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</si>
  <si>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</si>
  <si>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</si>
  <si>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92, корп. 2</t>
  </si>
  <si>
    <t>Респ. Саха /Якутия/, г. Якутск, ул. Халтурина, д. 6</t>
  </si>
  <si>
    <t>Респ. Саха /Якутия/, г. Якутск, ул. Ярославского, д. 30, корп. 1</t>
  </si>
  <si>
    <t>Респ. Саха /Якутия/, п. Жатай, ул. Северная, д. 54</t>
  </si>
  <si>
    <t>МО "Город Алдан"</t>
  </si>
  <si>
    <t>МО "Поселок Ленинский"</t>
  </si>
  <si>
    <t>МО "Поселок Нижний Куранах"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</si>
  <si>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</si>
  <si>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</si>
  <si>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</si>
  <si>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</si>
  <si>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</si>
  <si>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МО "Поселок Зырянка"</t>
  </si>
  <si>
    <t>Респ. Саха /Якутия/, у. Верхнеколымский, п. Зырянка, ул. Победы, д. 20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</si>
  <si>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</si>
  <si>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19</t>
  </si>
  <si>
    <t>Респ. Саха /Якутия/, у. Мирнинский, г. Мирный, ул. Советская, д. 21</t>
  </si>
  <si>
    <t>Респ. Саха /Якутия/, у. Мирнинский, г. Мирный, ул. Советская, д. 7</t>
  </si>
  <si>
    <t>Респ. Саха /Якутия/, у. Мирнинский, г. Мирный, ш. 50 лет Октября, д. 1</t>
  </si>
  <si>
    <t>МО "Поселок Айхал"</t>
  </si>
  <si>
    <t>МО "Поселок Светлый"</t>
  </si>
  <si>
    <t>МО "Поселок Чернышевский"</t>
  </si>
  <si>
    <t>МО "Город Нюрба"</t>
  </si>
  <si>
    <t>МО "Поселок Эльдикан"</t>
  </si>
  <si>
    <t>Респ. Саха /Якутия/, у. Усть-Майский, п. Эльдикан, ул. Куйбышева, д. 30</t>
  </si>
  <si>
    <t>Респ. Саха /Якутия/, у. Усть-Майский, п. Эльдикан, ул. Рабочая, д. 12</t>
  </si>
  <si>
    <t>МО "Город Покровск"</t>
  </si>
  <si>
    <t>МО "Поселок Мохсоголлох"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</si>
  <si>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</si>
  <si>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</si>
  <si>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</si>
  <si>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</si>
  <si>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</si>
  <si>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2</t>
  </si>
  <si>
    <t>Респ. Саха /Якутия/, у. Хангаласский, п. Мохсоголлох, ул. Соколиная, д. 5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</si>
  <si>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</si>
  <si>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9</t>
  </si>
  <si>
    <t>Респ. Саха /Якутия/, г. Нерюнгри, п. Золотинка, ул. Железнодорожная, д. 2</t>
  </si>
  <si>
    <t>Респ. Саха /Якутия/, г. Нерюнгри, п. Золотинка, ул. Железнодорожная, д. 3</t>
  </si>
  <si>
    <t>Респ. Саха /Якутия/, г. Нерюнгри, п. Золотинка, ул. Железнодорожная, д. 4</t>
  </si>
  <si>
    <t>Респ. Саха /Якутия/, г. Нерюнгри, п. Чульман, ул. Новая, д. 2</t>
  </si>
  <si>
    <t>Респ. Саха /Якутия/, г. Нерюнгри, п. Чульман, ул. Островского, д. 18б</t>
  </si>
  <si>
    <t>Респ. Саха /Якутия/, г. Нерюнгри, п. Чульман, ул. Островского, д. 6, корп. а</t>
  </si>
  <si>
    <t>Респ. Саха /Якутия/, г. Нерюнгри, пр-кт. Геологов, д. 49, корп. 1</t>
  </si>
  <si>
    <t>Респ. Саха /Якутия/, г. Нерюнгри, пр-кт. Геологов, д. 55, корп. 2</t>
  </si>
  <si>
    <t>Респ. Саха /Якутия/, г. Нерюнгри, пр-кт. Геологов, д. 59</t>
  </si>
  <si>
    <t>Респ. Саха /Якутия/, г. Нерюнгри, пр-кт. Геологов, д. 61</t>
  </si>
  <si>
    <t>Респ. Саха /Якутия/, г. Нерюнгри, пр-кт. Геологов, д. 61, корп. 2</t>
  </si>
  <si>
    <t>Респ. Саха /Якутия/, г. Нерюнгри, пр-кт. Геологов, д. 75, корп. 2</t>
  </si>
  <si>
    <t>Респ. Саха /Якутия/, г. Нерюнгри, пр-кт. Дружбы Народов, д. 10, корп. 1</t>
  </si>
  <si>
    <t>Респ. Саха /Якутия/, г. Нерюнгри, пр-кт. Дружбы Народов, д. 20</t>
  </si>
  <si>
    <t>Респ. Саха /Якутия/, г. Нерюнгри, пр-кт. Дружбы Народов, д. 29</t>
  </si>
  <si>
    <t>Респ. Саха /Якутия/, г. Нерюнгри, пр-кт. Дружбы Народов, д. 29, корп. 2</t>
  </si>
  <si>
    <t>Респ. Саха /Якутия/, г. Нерюнгри, пр-кт. Дружбы Народов, д. 5</t>
  </si>
  <si>
    <t>Респ. Саха /Якутия/, г. Нерюнгри, пр-кт. Дружбы Народов, д. 8, корп. 1</t>
  </si>
  <si>
    <t>Респ. Саха /Якутия/, г. Нерюнгри, пр-кт. Ленина, д. 1</t>
  </si>
  <si>
    <t>Респ. Саха /Якутия/, г. Нерюнгри, пр-кт. Ленина, д. 15</t>
  </si>
  <si>
    <t>Респ. Саха /Якутия/, г. Нерюнгри, пр-кт. Ленина, д. 16, корп. 2</t>
  </si>
  <si>
    <t>Респ. Саха /Якутия/, г. Нерюнгри, пр-кт. Ленина, д. 4</t>
  </si>
  <si>
    <t>Респ. Саха /Якутия/, г. Нерюнгри, пр-кт. Ленина, д. 7</t>
  </si>
  <si>
    <t>Респ. Саха /Якутия/, г. Нерюнгри, пр-кт. Мира, д. 31</t>
  </si>
  <si>
    <t>Респ. Саха /Якутия/, г. Нерюнгри, ул. Аммосова, д. 14</t>
  </si>
  <si>
    <t>Респ. Саха /Якутия/, г. Нерюнгри, ул. Аммосова, д. 4</t>
  </si>
  <si>
    <t>Респ. Саха /Якутия/, г. Нерюнгри, ул. им Кравченко, д. 17, корп. 2</t>
  </si>
  <si>
    <t>Респ. Саха /Якутия/, г. Нерюнгри, ул. им Кравченко, д. 18</t>
  </si>
  <si>
    <t>Респ. Саха /Якутия/, г. Нерюнгри, ул. им Кравченко, д. 19, корп. 3</t>
  </si>
  <si>
    <t>Респ. Саха /Якутия/, г. Нерюнгри, ул. им Кравченко, д. 20, корп. 1</t>
  </si>
  <si>
    <t>Респ. Саха /Якутия/, г. Нерюнгри, ул. им Кравченко, д. 25</t>
  </si>
  <si>
    <t>Респ. Саха /Якутия/, г. Нерюнгри, ул. им Кравченко, д. 3</t>
  </si>
  <si>
    <t>Респ. Саха /Якутия/, г. Нерюнгри, ул. им Кравченко, д. 9, корп. 1</t>
  </si>
  <si>
    <t>Респ. Саха /Якутия/, г. Нерюнгри, ул. Карла Маркса, д. 16</t>
  </si>
  <si>
    <t>Респ. Саха /Якутия/, г. Нерюнгри, ул. Карла Маркса, д. 19, корп. 1</t>
  </si>
  <si>
    <t>Респ. Саха /Якутия/, г. Нерюнгри, ул. Карла Маркса, д. 20</t>
  </si>
  <si>
    <t>Респ. Саха /Якутия/, г. Нерюнгри, ул. Карла Маркса, д. 25</t>
  </si>
  <si>
    <t>Респ. Саха /Якутия/, г. Нерюнгри, ул. Карла Маркса, д. 25, корп. 1</t>
  </si>
  <si>
    <t>Респ. Саха /Якутия/, г. Нерюнгри, ул. Карла Маркса, д. 27, корп. 2</t>
  </si>
  <si>
    <t>Респ. Саха /Якутия/, г. Нерюнгри, ул. Лужников, д. 3</t>
  </si>
  <si>
    <t>Респ. Саха /Якутия/, г. Нерюнгри, ул. Новостроевская, д. 3</t>
  </si>
  <si>
    <t>Респ. Саха /Якутия/, г. Нерюнгри, ул. Платона Ойунского, д. 2</t>
  </si>
  <si>
    <t>Респ. Саха /Якутия/, г. Нерюнгри, ул. Платона Ойунского, д. 3</t>
  </si>
  <si>
    <t>Респ. Саха /Якутия/, г. Нерюнгри, ул. Сосновая, д. 4</t>
  </si>
  <si>
    <t>Респ. Саха /Якутия/, г. Нерюнгри, ул. Тимптонская, д. 1</t>
  </si>
  <si>
    <t>Респ. Саха /Якутия/, г. Нерюнгри, ул. Тимптонская, д. 3, корп. 1</t>
  </si>
  <si>
    <t>Респ. Саха /Якутия/, г. Нерюнгри, ул. Тимптонская, д. 7, корп. 1</t>
  </si>
  <si>
    <t>Респ. Саха /Якутия/, г. Нерюнгри, ул. Чурапчинская, д. 37, корп. 2</t>
  </si>
  <si>
    <t>Респ. Саха /Якутия/, г. Нерюнгри, ул. Чурапчинская, д. 54</t>
  </si>
  <si>
    <t>Респ. Саха /Якутия/, г. Нерюнгри, ул. Южно-Якутская, д. 25, корп. 1</t>
  </si>
  <si>
    <t>Респ. Саха /Якутия/, г. Якутск, мкр. Кангалассы, ул. Комсомольская, д. 3А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</si>
  <si>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</si>
  <si>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</si>
  <si>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с. Хатассы, ул. Каландарашвили, д. 4</t>
  </si>
  <si>
    <t>Респ. Саха /Якутия/, г. Якутск, с. Хатассы, ул. Каландарашвили, д. 4, корп. 1</t>
  </si>
  <si>
    <t>Респ. Саха /Якутия/, г. Якутск, с. Хатассы, ул. Ленина, д. 67</t>
  </si>
  <si>
    <t>Респ. Саха /Якутия/, г. Якутск, ул. Билибина, д. 12</t>
  </si>
  <si>
    <t>Респ. Саха /Якутия/, г. Якутск, ул. Горького, д. 92</t>
  </si>
  <si>
    <t>Респ. Саха /Якутия/, г. Якутск, ул. Горького, д. 98</t>
  </si>
  <si>
    <t>Респ. Саха /Якутия/, г. Якутск, ул. Дзержинского, д. 12, корп. 3</t>
  </si>
  <si>
    <t>Респ. Саха /Якутия/, г. Якутск, ул. Дзержинского, д. 13, корп. 1</t>
  </si>
  <si>
    <t>Респ. Саха /Якутия/, г. Якутск, ул. Дзержинского, д. 19</t>
  </si>
  <si>
    <t>Респ. Саха /Якутия/, г. Якутск, ул. Дзержинского, д. 20, корп. 1</t>
  </si>
  <si>
    <t>Респ. Саха /Якутия/, г. Якутск, ул. Дзержинского, д. 20, корп. 2</t>
  </si>
  <si>
    <t>Респ. Саха /Якутия/, г. Якутск, ул. Дзержинского, д. 3</t>
  </si>
  <si>
    <t>Респ. Саха /Якутия/, г. Якутск, ул. Дзержинского, д. 7, корп. 1</t>
  </si>
  <si>
    <t>Респ. Саха /Якутия/, г. Якутск, ул. Дзержинского, д. 8, корп. 3</t>
  </si>
  <si>
    <t>Респ. Саха /Якутия/, г. Якутск, ул. Каландаришвили, д. 25, корп. 2</t>
  </si>
  <si>
    <t>Респ. Саха /Якутия/, г. Якутск, ул. Каландаришвили, д. 40, корп. 6</t>
  </si>
  <si>
    <t>Респ. Саха /Якутия/, г. Якутск, ул. Кузьмина, д. 10</t>
  </si>
  <si>
    <t>Респ. Саха /Якутия/, г. Якутск, ул. Курашова, д. 1, корп. 1</t>
  </si>
  <si>
    <t>Респ. Саха /Якутия/, г. Якутск, ул. Лермонтова, д. 24</t>
  </si>
  <si>
    <t>Респ. Саха /Якутия/, г. Якутск, ул. Лермонтова, д. 29, корп. 1</t>
  </si>
  <si>
    <t>Респ. Саха /Якутия/, г. Якутск, ул. Лермонтова, д. 58, корп. 2</t>
  </si>
  <si>
    <t>Респ. Саха /Якутия/, г. Якутск, ул. Можайского, д. 17, корп. 1</t>
  </si>
  <si>
    <t>Респ. Саха /Якутия/, г. Якутск, ул. Можайского, д. 19, корп. 3</t>
  </si>
  <si>
    <t>Респ. Саха /Якутия/, г. Якутск, ул. Петра Алексеева, д. 10</t>
  </si>
  <si>
    <t>Респ. Саха /Якутия/, г. Якутск, ул. Петра Алексеева, д. 12</t>
  </si>
  <si>
    <t>Респ. Саха /Якутия/, г. Якутск, ул. Петра Алексеева, д. 12, корп. 1</t>
  </si>
  <si>
    <t>Респ. Саха /Якутия/, г. Якутск, ул. Петра Алексеева, д. 12, корп. 2</t>
  </si>
  <si>
    <t>Респ. Саха /Якутия/, г. Якутск, ул. Петра Алексеева, д. 6, корп. 2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</si>
  <si>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</si>
  <si>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</si>
  <si>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Респ. Саха /Якутия/, г. Якутск, ул. Петра Алексеева, д. 83, корп. 18</t>
  </si>
  <si>
    <t>Респ. Саха /Якутия/, г. Якутск, ул. Пояркова, д. 10</t>
  </si>
  <si>
    <t>Респ. Саха /Якутия/, г. Якутск, ул. Семена Данилова, д. 4, корп. 2</t>
  </si>
  <si>
    <t>Респ. Саха /Якутия/, г. Якутск, ул. Стадухина, д. 80</t>
  </si>
  <si>
    <t>Респ. Саха /Якутия/, г. Якутск, ул. Федора Попова, д. 14, корп. 1</t>
  </si>
  <si>
    <t>Респ. Саха /Якутия/, г. Якутск, ул. Хабарова, д. 27</t>
  </si>
  <si>
    <t>Респ. Саха /Якутия/, г. Якутск, ул. Хабарова, д. 3</t>
  </si>
  <si>
    <t>Респ. Саха /Якутия/, г. Якутск, ул. Халтурина, д. 6, корп. 1</t>
  </si>
  <si>
    <t>Респ. Саха /Якутия/, г. Якутск, ул. Чернышевского, д. 22, корп. 3</t>
  </si>
  <si>
    <t>Респ. Саха /Якутия/, г. Якутск, ул. Чиряева, д. 4</t>
  </si>
  <si>
    <t>Респ. Саха /Якутия/, г. Якутск, ул. Ярославского, д. 11</t>
  </si>
  <si>
    <t>Респ. Саха /Якутия/, г. Якутск, ул. Ярославского, д. 13</t>
  </si>
  <si>
    <t>Респ. Саха /Якутия/, г. Якутск, ул. Ярославского, д. 24</t>
  </si>
  <si>
    <t>Респ. Саха /Якутия/, г. Якутск, ул. Ярославского, д. 9</t>
  </si>
  <si>
    <t>Респ. Саха /Якутия/, г. Якутск, ш. Сергеляхское 13 км, д. 1</t>
  </si>
  <si>
    <t>Респ. Саха /Якутия/, п. Жатай, ул. Северная, д. 33</t>
  </si>
  <si>
    <t>Респ. Саха /Якутия/, у. Алданский, г. Алдан, ул. Пролетарская, д. 49</t>
  </si>
  <si>
    <t>МО "Город Томмот"</t>
  </si>
  <si>
    <t>Респ. Саха /Якутия/, у. Алданский, г. Томмот, пер. Якутский, д. 13</t>
  </si>
  <si>
    <t>Респ. Саха /Якутия/, у. Алданский, г. Томмот, ул. Крупской, д. 6</t>
  </si>
  <si>
    <t>Респ. Саха /Якутия/, у. Алданский, п. Ленинский, ул. Карла Маркса, д. 16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</si>
  <si>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</si>
  <si>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</si>
  <si>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</si>
  <si>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</si>
  <si>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</si>
  <si>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</si>
  <si>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</si>
  <si>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</si>
  <si>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6</t>
  </si>
  <si>
    <t>Респ. Саха /Якутия/, у. Алданский, п. Нижний Куранах, ул. Строительная, д. 9</t>
  </si>
  <si>
    <t>МО "Поселок Тикси"</t>
  </si>
  <si>
    <t>Респ. Саха /Якутия/, у. Булунский, п. Тикси 3-й, ул. Полярной Авиации, д. 8</t>
  </si>
  <si>
    <t>Респ. Саха /Якутия/, у. Булунский, п. Тикси, ул. 50 лет Севморпути, д. 6</t>
  </si>
  <si>
    <t>Респ. Саха /Якутия/, у. Булунский, п. Тикси, ул. Ленинская, д. 27</t>
  </si>
  <si>
    <t>Респ. Саха /Якутия/, у. Булунский, п. Тикси, ул. Трусова, д. 2а</t>
  </si>
  <si>
    <t>Респ. Саха /Якутия/, у. Булунский, п. Тикси, ул. Трусова, д. 3</t>
  </si>
  <si>
    <t>Респ. Саха /Якутия/, у. Верхнеколымский, п. Зырянка, ул. Леликова, д. 8</t>
  </si>
  <si>
    <t>МО "Угольнинский наслег"</t>
  </si>
  <si>
    <t>Респ. Саха /Якутия/, у. Верхнеколымский, с. Угольное, ул. Дорожная, д. 9</t>
  </si>
  <si>
    <t>Респ. Саха /Якутия/, у. Мирнинский, г. Мирный, пр-кт. Ленинградский, д. 1, корп. 1</t>
  </si>
  <si>
    <t>Респ. Саха /Якутия/, у. Мирнинский, г. Мирный, пр-кт. Ленинградский, д. 19</t>
  </si>
  <si>
    <t>Респ. Саха /Якутия/, у. Мирнинский, г. Мирный, ул. Аммосова, д. 100</t>
  </si>
  <si>
    <t>Респ. Саха /Якутия/, у. Мирнинский, г. Мирный, ул. Аммосова, д. 98, корп. 1</t>
  </si>
  <si>
    <t>Респ. Саха /Якутия/, у. Мирнинский, г. Мирный, ул. Солдатова, д. 2</t>
  </si>
  <si>
    <t>Респ. Саха /Якутия/, у. Мирнинский, г. Мирный, ул. Солдатова, д. 3</t>
  </si>
  <si>
    <t>Респ. Саха /Якутия/, у. Мирнинский, г. Мирный, ул. Тихонова, д. 12</t>
  </si>
  <si>
    <t>Респ. Саха /Якутия/, у. Мирнинский, г. Мирный, ул. Тихонова, д. 12, корп. 2</t>
  </si>
  <si>
    <t>Респ. Саха /Якутия/, у. Мирнинский, г. Мирный, ул. Тихонова, д. 14</t>
  </si>
  <si>
    <t>Респ. Саха /Якутия/, у. Мирнинский, г. Мирный, ш. 50 лет Октября, д. 12, корп. 1</t>
  </si>
  <si>
    <t>МО "поселок Черский"</t>
  </si>
  <si>
    <t>Респ. Саха /Якутия/, у. Нижнеколымский, п. Черский, ул. Пушкина, д. 9</t>
  </si>
  <si>
    <t>Респ. Саха /Якутия/, у. Нижнеколымский, п. Черский, ул. Таврата, д. 13</t>
  </si>
  <si>
    <t>Респ. Саха /Якутия/, у. Нижнеколымский, п. Черский, ул. Таврата, д. 15</t>
  </si>
  <si>
    <t>Респ. Саха /Якутия/, у. Нюрбинский, г. Нюрба, кв-л. Энергетик, д. 7</t>
  </si>
  <si>
    <t>Респ. Саха /Якутия/, у. Нюрбинский, г. Нюрба, кв-л. Энергетик, д. 9</t>
  </si>
  <si>
    <t>МО "Город Олекминск"</t>
  </si>
  <si>
    <t>МО "Поселок Хандыга"</t>
  </si>
  <si>
    <t>Респ. Саха /Якутия/, у. Томпонский, п. Хандыга, ул. Лесная, д. 16</t>
  </si>
  <si>
    <t>МО "Петропавловский национальный наслег"</t>
  </si>
  <si>
    <t>Респ. Саха /Якутия/, у. Усть-Майский, с. Петропавловск, ул. Строда, д. 21</t>
  </si>
  <si>
    <t>Респ. Саха /Якутия/, у. Хангаласский, г. Покровск, ул. Орджоникидзе, д. 38</t>
  </si>
  <si>
    <t>Респ. Саха /Якутия/, у. Хангаласский, г. Покровск, ул. Таежная, д. 2</t>
  </si>
  <si>
    <t>Респ. Саха /Якутия/, у. Хангаласский, г. Покровск, ул. Таежная, д. 3</t>
  </si>
  <si>
    <t>Респ. Саха /Якутия/, у. Хангаласский, г. Покровск, ул. Таежная, д. 5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</si>
  <si>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</si>
  <si>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Заводская, д. 1</t>
  </si>
  <si>
    <t>Респ. Саха /Якутия/, у. Хангаласский, п. Мохсоголлох, ул. Молодежная, д. 24</t>
  </si>
  <si>
    <t>Респ. Саха /Якутия/, у. Хангаласский, п. Мохсоголлох, ул. Соколиная, д. 12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</si>
  <si>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</si>
  <si>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22</t>
  </si>
  <si>
    <t>Респ. Саха /Якутия/, у. Хангаласский, п. Мохсоголлох, ул. Соколиная, д. 8</t>
  </si>
  <si>
    <t>ГП "Поселок Серебряный Бор"</t>
  </si>
  <si>
    <t>Респ. Саха /Якутия/, г. Нерюнгри, п. Серебряный Бор, д. 120</t>
  </si>
  <si>
    <t>Респ. Саха /Якутия/, г. Нерюнгри, п. Серебряный Бор, д. 14</t>
  </si>
  <si>
    <t>Респ. Саха /Якутия/, г. Нерюнгри, п. Серебряный Бор, д. 208</t>
  </si>
  <si>
    <t>Респ. Саха /Якутия/, г. Нерюнгри, п. Чульман, ул. Островского, д. 12</t>
  </si>
  <si>
    <t>Респ. Саха /Якутия/, г. Нерюнгри, п. Чульман, ул. Школьная, д. 12</t>
  </si>
  <si>
    <t>Респ. Саха /Якутия/, г. Нерюнгри, пр-кт. Дружбы Народов, д. 16, корп. 1</t>
  </si>
  <si>
    <t>Респ. Саха /Якутия/, г. Нерюнгри, пр-кт. Дружбы Народов, д. 25, корп. 2</t>
  </si>
  <si>
    <t>Респ. Саха /Якутия/, г. Нерюнгри, пр-кт. Дружбы Народов, д. 27, корп. 2</t>
  </si>
  <si>
    <t>Респ. Саха /Якутия/, г. Нерюнгри, пр-кт. Дружбы Народов, д. 29, корп. 1</t>
  </si>
  <si>
    <t>Респ. Саха /Якутия/, г. Нерюнгри, пр-кт. Дружбы Народов, д. 29, корп. 3</t>
  </si>
  <si>
    <t>Респ. Саха /Якутия/, г. Нерюнгри, пр-кт. Мира, д. 15</t>
  </si>
  <si>
    <t>Респ. Саха /Якутия/, г. Нерюнгри, пр-кт. Мира, д. 15, корп. 2</t>
  </si>
  <si>
    <t>Респ. Саха /Якутия/, г. Нерюнгри, пр-кт. Мира, д. 15, корп. 3</t>
  </si>
  <si>
    <t>Респ. Саха /Якутия/, г. Нерюнгри, пр-кт. Мира, д. 17, корп. 1</t>
  </si>
  <si>
    <t>Респ. Саха /Якутия/, г. Нерюнгри, пр-кт. Мира, д. 19, корп. 1</t>
  </si>
  <si>
    <t>Респ. Саха /Якутия/, г. Нерюнгри, пр-кт. Мира, д. 19, корп. 2</t>
  </si>
  <si>
    <t>Респ. Саха /Якутия/, г. Нерюнгри, пр-кт. Мира, д. 21, корп. 2</t>
  </si>
  <si>
    <t>Респ. Саха /Якутия/, г. Нерюнгри, пр-кт. Мира, д. 25, корп. 1</t>
  </si>
  <si>
    <t>Респ. Саха /Якутия/, г. Нерюнгри, пр-кт. Мира, д. 3</t>
  </si>
  <si>
    <t>Респ. Саха /Якутия/, г. Нерюнгри, пр-кт. Мира, д. 3, корп. 1</t>
  </si>
  <si>
    <t>Респ. Саха /Якутия/, г. Нерюнгри, ул. Аммосова, д. 14, корп. 1</t>
  </si>
  <si>
    <t>Респ. Саха /Якутия/, г. Нерюнгри, ул. Карла Маркса, д. 1, корп. 1</t>
  </si>
  <si>
    <t>Респ. Саха /Якутия/, г. Нерюнгри, ул. Новостроевская, д. 5</t>
  </si>
  <si>
    <t>Респ. Саха /Якутия/, г. Нерюнгри, ул. Строителей, д. 3</t>
  </si>
  <si>
    <t>Респ. Саха /Якутия/, г. Нерюнгри, ул. Тимптонская, д. 3</t>
  </si>
  <si>
    <t>Респ. Саха /Якутия/, г. Нерюнгри, ул. Тимптонская, д. 7, корп. 2</t>
  </si>
  <si>
    <t>Респ. Саха /Якутия/, г. Нерюнгри, ул. Чурапчинская, д. 36</t>
  </si>
  <si>
    <t>Респ. Саха /Якутия/, г. Нерюнгри, ул. Чурапчинская, д. 38</t>
  </si>
  <si>
    <t>Респ. Саха /Якутия/, г. Нерюнгри, ул. Чурапчинская, д. 40</t>
  </si>
  <si>
    <t>Респ. Саха /Якутия/, г. Нерюнгри, ул. Чурапчинская, д. 46</t>
  </si>
  <si>
    <t>Респ. Саха /Якутия/, г. Нерюнгри, ул. Чурапчинская, д. 8, корп. 1</t>
  </si>
  <si>
    <t>Респ. Саха /Якутия/, г. Нерюнгри, ул. Южно-Якутская, д. 42</t>
  </si>
  <si>
    <t>Респ. Саха /Якутия/, г. Якутск, мкр. Марха, кв-л. Мелиораторов, д. 9</t>
  </si>
  <si>
    <t>Респ. Саха /Якутия/, г. Якутск, мкр. Марха, ул. Есенина, д. 5, корп. 1</t>
  </si>
  <si>
    <t>Респ. Саха /Якутия/, г. Якутск, мкр. Марха, ул. Маганский тракт 2 км, д. 2</t>
  </si>
  <si>
    <t>Респ. Саха /Якутия/, г. Якутск, мкр. Марха, ул. Маганский тракт 2 км, д. 3</t>
  </si>
  <si>
    <t>Респ. Саха /Якутия/, г. Якутск, мкр. Марха, ул. О.Кошевого, д. 67, корп. 1</t>
  </si>
  <si>
    <t>Респ. Саха /Якутия/, г. Якутск, мкр. Птицефабрика, д. 7</t>
  </si>
  <si>
    <t>Респ. Саха /Якутия/, г. Якутск, пр-кт. Ленина, д. 11</t>
  </si>
  <si>
    <t>Респ. Саха /Якутия/, г. Якутск, пр-кт. Ленина, д. 11, корп. 2</t>
  </si>
  <si>
    <t>Респ. Саха /Якутия/, г. Якутск, пр-кт. Ленина, д. 7</t>
  </si>
  <si>
    <t>Респ. Саха /Якутия/, г. Якутск, с. Кильдямцы, ул. Уваровского, д. 1</t>
  </si>
  <si>
    <t>Респ. Саха /Якутия/, г. Якутск, с. Маган, ул. 40 лет Победы, д. 60</t>
  </si>
  <si>
    <t>Респ. Саха /Якутия/, г. Якутск, ул. Автодорожная, д. 40, корп. 5</t>
  </si>
  <si>
    <t>Респ. Саха /Якутия/, г. Якутск, ул. Автодорожная, д. 40, корп. 6</t>
  </si>
  <si>
    <t>Респ. Саха /Якутия/, г. Якутск, ул. Автодорожная, д. 40, корп. 7</t>
  </si>
  <si>
    <t>Респ. Саха /Якутия/, г. Якутск, ул. Билибина, д. 50</t>
  </si>
  <si>
    <t>Респ. Саха /Якутия/, г. Якутск, ул. Богатырева, д. 11, корп. 1</t>
  </si>
  <si>
    <t>Респ. Саха /Якутия/, г. Якутск, ул. Дзержинского, д. 22, корп. 6</t>
  </si>
  <si>
    <t>Респ. Саха /Якутия/, г. Якутск, ул. Дзержинского, д. 8, корп. 2</t>
  </si>
  <si>
    <t>Респ. Саха /Якутия/, г. Якутск, ул. Каландаришвили, д. 25, корп. 6</t>
  </si>
  <si>
    <t>Респ. Саха /Якутия/, г. Якутск, ул. Каландаришвили, д. 38, корп. 2</t>
  </si>
  <si>
    <t>Респ. Саха /Якутия/, г. Якутск, ул. Каландаришвили, д. 38, корп. 3</t>
  </si>
  <si>
    <t>Респ. Саха /Якутия/, г. Якутск, ул. Каландаришвили, д. 40</t>
  </si>
  <si>
    <t>Респ. Саха /Якутия/, г. Якутск, ул. Каландаришвили, д. 40, корп. 1</t>
  </si>
  <si>
    <t>Респ. Саха /Якутия/, г. Якутск, ул. Каландаришвили, д. 40, корп. 4</t>
  </si>
  <si>
    <t>Респ. Саха /Якутия/, г. Якутск, ул. Каландаришвили, д. 40, корп. 5</t>
  </si>
  <si>
    <t>Респ. Саха /Якутия/, г. Якутск, ул. Каландаришвили, д. 40, корп. 7</t>
  </si>
  <si>
    <t>Респ. Саха /Якутия/, г. Якутск, ул. Каландаришвили, д. 40, корп. 8</t>
  </si>
  <si>
    <t>Респ. Саха /Якутия/, г. Якутск, ул. Кальвица, д. 5</t>
  </si>
  <si>
    <t>Респ. Саха /Якутия/, г. Якутск, ул. Короленко, д. 17</t>
  </si>
  <si>
    <t>Респ. Саха /Якутия/, г. Якутск, ул. Кузьмина, д. 14</t>
  </si>
  <si>
    <t>Респ. Саха /Якутия/, г. Якутск, ул. Кузьмина, д. 16, корп. 1</t>
  </si>
  <si>
    <t>Респ. Саха /Якутия/, г. Якутск, ул. Кузьмина, д. 34</t>
  </si>
  <si>
    <t>Респ. Саха /Якутия/, г. Якутск, ул. Кулаковского, д. 30</t>
  </si>
  <si>
    <t>Респ. Саха /Якутия/, г. Якутск, ул. Кулаковского, д. 4, корп. 1</t>
  </si>
  <si>
    <t>Респ. Саха /Якутия/, г. Якутск, ул. Кулаковского, д. 4, корп. 2</t>
  </si>
  <si>
    <t>Респ. Саха /Якутия/, г. Якутск, ул. Кулаковского, д. 4, корп. 3</t>
  </si>
  <si>
    <t>Респ. Саха /Якутия/, г. Якутск, ул. Маяковского, д. 98</t>
  </si>
  <si>
    <t>Респ. Саха /Якутия/, г. Якутск, ул. Можайского, д. 15</t>
  </si>
  <si>
    <t>Респ. Саха /Якутия/, г. Якутск, ул. Можайского, д. 17, корп. 4</t>
  </si>
  <si>
    <t>Респ. Саха /Якутия/, г. Якутск, ул. Можайского, д. 17, корп. 5</t>
  </si>
  <si>
    <t>Респ. Саха /Якутия/, г. Якутск, ул. Можайского, д. 17, корп. 6</t>
  </si>
  <si>
    <t>Респ. Саха /Якутия/, г. Якутск, ул. Можайского, д. 19, корп. 4</t>
  </si>
  <si>
    <t>Респ. Саха /Якутия/, г. Якутск, ул. Ново-Карьерная, д. 20, корп. 1</t>
  </si>
  <si>
    <t>Респ. Саха /Якутия/, г. Якутск, ул. Ново-Карьерная, д. 20, корп. 2</t>
  </si>
  <si>
    <t>Респ. Саха /Якутия/, г. Якутск, ул. Ойунского, д. 20, корп. 1</t>
  </si>
  <si>
    <t>Респ. Саха /Якутия/, г. Якутск, ул. Октябрьская, д. 18</t>
  </si>
  <si>
    <t>Респ. Саха /Якутия/, г. Якутск, ул. Октябрьская, д. 26, корп. 1</t>
  </si>
  <si>
    <t>Респ. Саха /Якутия/, г. Якутск, ул. Октябрьская, д. 26, корп. 2</t>
  </si>
  <si>
    <t>Респ. Саха /Якутия/, г. Якутск, ул. Октябрьская, д. 26, корп. 3</t>
  </si>
  <si>
    <t>Респ. Саха /Якутия/, г. Якутск, ул. Орджоникидзе, д. 44</t>
  </si>
  <si>
    <t>Респ. Саха /Якутия/, г. Якутск, ул. Орджоникидзе, д. 44, корп. 1</t>
  </si>
  <si>
    <t>Респ. Саха /Якутия/, г. Якутск, ул. Орджоникидзе, д. 46</t>
  </si>
  <si>
    <t>Респ. Саха /Якутия/, г. Якутск, ул. Орджоникидзе, д. 46, корп. 1</t>
  </si>
  <si>
    <t>Респ. Саха /Якутия/, г. Якутск, ул. Орджоникидзе, д. 7, корп. 2</t>
  </si>
  <si>
    <t>Респ. Саха /Якутия/, г. Якутск, ул. Петра Алексеева, д. 21, корп. 5</t>
  </si>
  <si>
    <t>Респ. Саха /Якутия/, г. Якутск, ул. Петра Алексеева, д. 4, корп. 3</t>
  </si>
  <si>
    <t>Респ. Саха /Якутия/, г. Якутск, ул. Петра Алексеева, д. 49, корп. 1</t>
  </si>
  <si>
    <t>Респ. Саха /Якутия/, г. Якутск, ул. Петра Алексеева, д. 73, корп. 2</t>
  </si>
  <si>
    <t>Респ. Саха /Якутия/, г. Якутск, ул. Петровского, д. 21, корп. 1</t>
  </si>
  <si>
    <t>Респ. Саха /Якутия/, г. Якутск, ул. Петровского, д. 23</t>
  </si>
  <si>
    <t>Респ. Саха /Якутия/, г. Якутск, ул. Петровского, д. 23, корп. 1</t>
  </si>
  <si>
    <t>Респ. Саха /Якутия/, г. Якутск, ул. Сосновая, д. 2</t>
  </si>
  <si>
    <t>Респ. Саха /Якутия/, г. Якутск, ул. Стадухина, д. 86</t>
  </si>
  <si>
    <t>Респ. Саха /Якутия/, г. Якутск, ул. Федора Попова, д. 10, корп. 1</t>
  </si>
  <si>
    <t>Респ. Саха /Якутия/, г. Якутск, ул. Халтурина, д. 11, корп. 2</t>
  </si>
  <si>
    <t>Респ. Саха /Якутия/, г. Якутск, ул. Чернышевского, д. 4, корп. 1</t>
  </si>
  <si>
    <t>Респ. Саха /Якутия/, г. Якутск, ул. Чиряева, д. 1</t>
  </si>
  <si>
    <t>Респ. Саха /Якутия/, г. Якутск, ул. Ярославского, д. 19, корп. 1</t>
  </si>
  <si>
    <t>Респ. Саха /Якутия/, г. Якутск, ул. Ярославского, д. 32</t>
  </si>
  <si>
    <t>Респ. Саха /Якутия/, г. Якутск, ул. Ярославского, д. 5, корп. 1</t>
  </si>
  <si>
    <t>Респ. Саха /Якутия/, г. Якутск, ул. Ярославского, д. 7</t>
  </si>
  <si>
    <t>Респ. Саха /Якутия/, г. Якутск, ул. Ярославского, д. 7, корп. 1</t>
  </si>
  <si>
    <t>Респ. Саха /Якутия/, п. Жатай, ул. Северная, д. 21/1</t>
  </si>
  <si>
    <t>Респ. Саха /Якутия/, п. Жатай, ул. Северная, д. 37</t>
  </si>
  <si>
    <t>Респ. Саха /Якутия/, у. Алданский, г. Томмот, ул. Крупской, д. 8</t>
  </si>
  <si>
    <t>Респ. Саха /Якутия/, у. Алданский, п. Лебединый, ул. Карла Маркса, д. 20</t>
  </si>
  <si>
    <t>Респ. Саха /Якутия/, у. Алданский, п. Лебединый, ул. Карла Маркса, д. 20, корп. А</t>
  </si>
  <si>
    <t>Респ. Саха /Якутия/, у. Алданский, п. Лебединый, ул. Октябрьская, д. 36</t>
  </si>
  <si>
    <t>Респ. Саха /Якутия/, у. Алданский, п. Нижний Куранах, мкр. 1-й, д. 10</t>
  </si>
  <si>
    <t>Респ. Саха /Якутия/, у. Алданский, п. Нижний Куранах, ул. Строительная, д. 1-в</t>
  </si>
  <si>
    <t>Респ. Саха /Якутия/, у. Булунский, п. Тикси, ул. Академика Федорова, д. 38</t>
  </si>
  <si>
    <t>Респ. Саха /Якутия/, у. Булунский, п. Тикси, ул. Гагарина, д. 3</t>
  </si>
  <si>
    <t>Респ. Саха /Якутия/, у. Булунский, п. Тикси, ул. Гагарина, д. 8а</t>
  </si>
  <si>
    <t>Респ. Саха /Якутия/, у. Булунский, п. Тикси, ул. Ленинская, д. 17</t>
  </si>
  <si>
    <t>Респ. Саха /Якутия/, у. Булунский, п. Тикси, ул. Ленинская, д. 21</t>
  </si>
  <si>
    <t>Респ. Саха /Якутия/, у. Булунский, п. Тикси, ул. Ленинская, д. 2а</t>
  </si>
  <si>
    <t>Респ. Саха /Якутия/, у. Булунский, п. Тикси, ул. Морская, д. 18</t>
  </si>
  <si>
    <t>Респ. Саха /Якутия/, у. Булунский, п. Тикси, ул. Морская, д. 32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</si>
  <si>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</si>
  <si>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</si>
  <si>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Респ. Саха /Якутия/, у. Булунский, п. Тикси, ул. Трусова, д. 2</t>
  </si>
  <si>
    <t>Респ. Саха /Якутия/, у. Булунский, п. Тикси, ул. Трусова, д. 9</t>
  </si>
  <si>
    <t>Респ. Саха /Якутия/, у. Верхнеколымский, с. Угольное, ул. Дорожная, д. 12</t>
  </si>
  <si>
    <t>Респ. Саха /Якутия/, у. Ленский, г. Ленск, ул. Дзержинского, д. 19</t>
  </si>
  <si>
    <t>Респ. Саха /Якутия/, у. Ленский, г. Ленск, ул. Дзержинского, д. 21</t>
  </si>
  <si>
    <t>Респ. Саха /Якутия/, у. Ленский, г. Ленск, ул. Ленина, д. 71</t>
  </si>
  <si>
    <t>Респ. Саха /Якутия/, у. Ленский, г. Ленск, ул. Ойунского, д. 26</t>
  </si>
  <si>
    <t>Респ. Саха /Якутия/, у. Ленский, г. Ленск, ул. Ойунского, д. 28</t>
  </si>
  <si>
    <t>Респ. Саха /Якутия/, у. Ленский, г. Ленск, ул. Орджоникидзе, д. 18</t>
  </si>
  <si>
    <t>Респ. Саха /Якутия/, у. Ленский, г. Ленск, ул. Орджоникидзе, д. 20</t>
  </si>
  <si>
    <t>Респ. Саха /Якутия/, у. Ленский, г. Ленск, ул. Первомайская, д. 18</t>
  </si>
  <si>
    <t>Респ. Саха /Якутия/, у. Ленский, г. Ленск, ул. Первомайская, д. 20</t>
  </si>
  <si>
    <t>Респ. Саха /Якутия/, у. Ленский, г. Ленск, ул. Победы, д. 22</t>
  </si>
  <si>
    <t>Респ. Саха /Якутия/, у. Ленский, г. Ленск, ул. Пролетарская, д. 17</t>
  </si>
  <si>
    <t>Респ. Саха /Якутия/, у. Ленский, г. Ленск, ул. Пролетарская, д. 5</t>
  </si>
  <si>
    <t>Респ. Саха /Якутия/, у. Мирнинский, г. Мирный, пр-кт. Ленинградский, д. 21, корп. 1</t>
  </si>
  <si>
    <t>Респ. Саха /Якутия/, у. Мирнинский, г. Мирный, ул. Комсомольская, д. 4, корп. а</t>
  </si>
  <si>
    <t>Респ. Саха /Якутия/, у. Мирнинский, г. Мирный, ул. Павлова, д. 10</t>
  </si>
  <si>
    <t>Респ. Саха /Якутия/, у. Мирнинский, г. Мирный, ул. Советская, д. 13, корп. 4</t>
  </si>
  <si>
    <t>Респ. Саха /Якутия/, у. Мирнинский, г. Мирный, ул. Советская, д. 15, корп. 1</t>
  </si>
  <si>
    <t>Респ. Саха /Якутия/, у. Мирнинский, г. Мирный, ул. Советская, д. 15, корп. 2</t>
  </si>
  <si>
    <t>Респ. Саха /Якутия/, у. Мирнинский, г. Мирный, ул. Солдатова, д. 12</t>
  </si>
  <si>
    <t>Респ. Саха /Якутия/, у. Мирнинский, г. Мирный, ул. Солдатова, д. 16</t>
  </si>
  <si>
    <t>Респ. Саха /Якутия/, у. Мирнинский, г. Мирный, ул. Солдатова, д. 2, корп. 1</t>
  </si>
  <si>
    <t>Респ. Саха /Якутия/, у. Мирнинский, г. Мирный, ул. Солдатова, д. 6</t>
  </si>
  <si>
    <t>Респ. Саха /Якутия/, у. Мирнинский, г. Мирный, ул. Тихонова, д. 29, корп. 2</t>
  </si>
  <si>
    <t>Респ. Саха /Якутия/, у. Мирнинский, г. Мирный, ул. Тихонова, д. 29/4</t>
  </si>
  <si>
    <t>Респ. Саха /Якутия/, у. Мирнинский, г. Мирный, ул. Тихонова, д. 8</t>
  </si>
  <si>
    <t>Респ. Саха /Якутия/, у. Мирнинский, г. Мирный, ш. 50 лет Октября, д. 7</t>
  </si>
  <si>
    <t>Респ. Саха /Якутия/, у. Мирнинский, п. Айхал, ул. Советская, д. 15</t>
  </si>
  <si>
    <t>Респ. Саха /Якутия/, у. Мирнинский, п. Светлый, ул. Вилюйская, д. 1</t>
  </si>
  <si>
    <t>Респ. Саха /Якутия/, у. Мирнинский, п. Светлый, ул. Вилюйская, д. 2</t>
  </si>
  <si>
    <t>Респ. Саха /Якутия/, у. Мирнинский, п. Светлый, ул. Гидростроителей, д. 1</t>
  </si>
  <si>
    <t>Респ. Саха /Якутия/, у. Мирнинский, п. Светлый, ул. Гидростроителей, д. 2</t>
  </si>
  <si>
    <t>Респ. Саха /Якутия/, у. Мирнинский, п. Светлый, ул. Гидростроителей, д. 3</t>
  </si>
  <si>
    <t>Респ. Саха /Якутия/, у. Мирнинский, п. Светлый, ул. Молодежная, д. 11</t>
  </si>
  <si>
    <t>Респ. Саха /Якутия/, у. Мирнинский, п. Светлый, ул. Советская, д. 2</t>
  </si>
  <si>
    <t>Респ. Саха /Якутия/, у. Мирнинский, п. Чернышевский, ул. Космонавтов, д. 10/2</t>
  </si>
  <si>
    <t>Респ. Саха /Якутия/, у. Нижнеколымский, п. Черский, ул. Молодежная, д. 6, корп. 2</t>
  </si>
  <si>
    <t>Респ. Саха /Якутия/, у. Нижнеколымский, п. Черский, ул. Таврата, д. 11</t>
  </si>
  <si>
    <t>Респ. Саха /Якутия/, у. Нижнеколымский, п. Черский, ул. Таврата, д. 12</t>
  </si>
  <si>
    <t>Респ. Саха /Якутия/, у. Нюрбинский, г. Нюрба, кв-л. Энергетик, д. 67</t>
  </si>
  <si>
    <t>Респ. Саха /Якутия/, у. Нюрбинский, г. Нюрба, кв-л. Энергетик, д. 73</t>
  </si>
  <si>
    <t>Респ. Саха /Якутия/, у. Нюрбинский, г. Нюрба, кв-л. Энергетик, д. 75</t>
  </si>
  <si>
    <t>Респ. Саха /Якутия/, у. Олекминский, г. Олекминск, ул. Калинина, д. 2</t>
  </si>
  <si>
    <t>Респ. Саха /Якутия/, у. Томпонский, п. Хандыга, ул. П.Алексеева, д. 2</t>
  </si>
  <si>
    <t>Респ. Саха /Якутия/, у. Томпонский, п. Хандыга, ул. П.Алексеева, д. 4</t>
  </si>
  <si>
    <t>Респ. Саха /Якутия/, у. Томпонский, п. Хандыга, ул. П.Алексеева, д. 6</t>
  </si>
  <si>
    <t>МО "Поселок Солнечный"</t>
  </si>
  <si>
    <t>Респ. Саха /Якутия/, у. Усть-Майский, п. Солнечный, ул. Профсоюзов, д. 6</t>
  </si>
  <si>
    <t>Респ. Саха /Якутия/, у. Усть-Майский, п. Эльдикан, ул. Куйбышева, д. 34</t>
  </si>
  <si>
    <t>Респ. Саха /Якутия/, у. Хангаласский, г. Покровск, ул. Орджоникидзе, д. 18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</si>
  <si>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</si>
  <si>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</si>
  <si>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19</t>
  </si>
  <si>
    <t>Респ. Саха /Якутия/, г. Нерюнгри, п. Беркакит, ул. Дорожников, д. 4</t>
  </si>
  <si>
    <t>Респ. Саха /Якутия/, г. Нерюнгри, п. Серебряный Бор, д. 118</t>
  </si>
  <si>
    <t>Респ. Саха /Якутия/, г. Нерюнгри, п. Чульман, ул. Первомайская, д. 11</t>
  </si>
  <si>
    <t>Респ. Саха /Якутия/, г. Нерюнгри, п. Чульман, ул. Советская, д. 79</t>
  </si>
  <si>
    <t>Респ. Саха /Якутия/, г. Нерюнгри, пр-кт. Геологов, д. 43</t>
  </si>
  <si>
    <t>Респ. Саха /Якутия/, г. Нерюнгри, ул. им Кравченко, д. 12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</si>
  <si>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</si>
  <si>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</si>
  <si>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</si>
  <si>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Южно-Якутская, д. 36, корп. 3</t>
  </si>
  <si>
    <t>Респ. Саха /Якутия/, г. Якутск, пр-кт. Ленина, д. 21</t>
  </si>
  <si>
    <t>Респ. Саха /Якутия/, г. Якутск, пр-кт. Ленина, д. 37</t>
  </si>
  <si>
    <t>Респ. Саха /Якутия/, г. Якутск, пр-кт. Ленина, д. 38</t>
  </si>
  <si>
    <t>Респ. Саха /Якутия/, г. Якутск, пр-кт. Ленина, д. 44</t>
  </si>
  <si>
    <t>Респ. Саха /Якутия/, г. Якутск, пр-кт. Ленина, д. 9</t>
  </si>
  <si>
    <t>Респ. Саха /Якутия/, г. Якутск, ул. Крупской, д. 21</t>
  </si>
  <si>
    <t>Респ. Саха /Якутия/, г. Якутск, ул. Лермонтова, д. 27, корп. 1</t>
  </si>
  <si>
    <t>Респ. Саха /Якутия/, г. Якутск, ул. Можайского, д. 19, корп. 1</t>
  </si>
  <si>
    <t>Респ. Саха /Якутия/, г. Якутск, ул. Можайского, д. 21</t>
  </si>
  <si>
    <t>Респ. Саха /Якутия/, г. Якутск, ул. Можайского, д. 21, корп. 1</t>
  </si>
  <si>
    <t>Респ. Саха /Якутия/, г. Якутск, ул. Октябрьская, д. 5</t>
  </si>
  <si>
    <t>Респ. Саха /Якутия/, г. Якутск, ул. Орджоникидзе, д. 33</t>
  </si>
  <si>
    <t>Респ. Саха /Якутия/, г. Якутск, ул. Орджоникидзе, д. 45</t>
  </si>
  <si>
    <t>Респ. Саха /Якутия/, г. Якутск, ул. Петра Алексеева, д. 4, корп. 1</t>
  </si>
  <si>
    <t>Респ. Саха /Якутия/, г. Якутск, ул. Петра Алексеева, д. 4, корп. 2</t>
  </si>
  <si>
    <t>Респ. Саха /Якутия/, г. Якутск, ул. Хабарова, д. 21</t>
  </si>
  <si>
    <t>Респ. Саха /Якутия/, г. Якутск, ул. Чернышевского, д. 8</t>
  </si>
  <si>
    <t>Респ. Саха /Якутия/, г. Якутск, ул. Чернышевского, д. 8, корп. 1</t>
  </si>
  <si>
    <t>Респ. Саха /Якутия/, у. Алданский, г. Томмот, ул. Нагорная, д. 15</t>
  </si>
  <si>
    <t>Респ. Саха /Якутия/, у. Алданский, г. Томмот, ул. Нагорная, д. 19</t>
  </si>
  <si>
    <t>Респ. Саха /Якутия/, у. Алданский, п. Нижний Куранах, ул. Строительная, д. 7</t>
  </si>
  <si>
    <t>Респ. Саха /Якутия/, у. Верхнеколымский, п. Зырянка, ул. Стадухина, д. 7</t>
  </si>
  <si>
    <t>Респ. Саха /Якутия/, у. Ленский, г. Ленск, ул. Дзержинского, д. 25</t>
  </si>
  <si>
    <t>Респ. Саха /Якутия/, у. Ленский, г. Ленск, ул. Ленина, д. 73</t>
  </si>
  <si>
    <t>Респ. Саха /Якутия/, у. Ленский, г. Ленск, ул. Первомайская, д. 10</t>
  </si>
  <si>
    <t>Респ. Саха /Якутия/, у. Ленский, г. Ленск, ул. Первомайская, д. 5</t>
  </si>
  <si>
    <t>Респ. Саха /Якутия/, у. Ленский, г. Ленск, ул. Первомайская, д. 9</t>
  </si>
  <si>
    <t>Респ. Саха /Якутия/, у. Ленский, г. Ленск, ул. Пролетарская, д. 3</t>
  </si>
  <si>
    <t>Респ. Саха /Якутия/, у. Мирнинский, г. Мирный, ул. Комсомольская, д. 25</t>
  </si>
  <si>
    <t>Респ. Саха /Якутия/, у. Мирнинский, г. Мирный, ул. Комсомольская, д. 25, корп. а</t>
  </si>
  <si>
    <t>Респ. Саха /Якутия/, у. Мирнинский, г. Мирный, ул. Комсомольская, д. 29</t>
  </si>
  <si>
    <t>Респ. Саха /Якутия/, у. Мирнинский, г. Мирный, ул. Ленина, д. 10</t>
  </si>
  <si>
    <t>Респ. Саха /Якутия/, у. Мирнинский, г. Мирный, ул. Ленина, д. 10, корп. а</t>
  </si>
  <si>
    <t>Респ. Саха /Якутия/, у. Мирнинский, г. Мирный, ул. Ленина, д. 11</t>
  </si>
  <si>
    <t>Респ. Саха /Якутия/, у. Мирнинский, г. Мирный, ул. Ленина, д. 12</t>
  </si>
  <si>
    <t>Респ. Саха /Якутия/, у. Мирнинский, г. Мирный, ул. Ленина, д. 21</t>
  </si>
  <si>
    <t>Респ. Саха /Якутия/, у. Мирнинский, г. Мирный, ул. Ленина, д. 23</t>
  </si>
  <si>
    <t>Респ. Саха /Якутия/, у. Мирнинский, г. Мирный, ул. Ленина, д. 34</t>
  </si>
  <si>
    <t>Респ. Саха /Якутия/, у. Мирнинский, г. Мирный, ул. Ленина, д. 35</t>
  </si>
  <si>
    <t>Респ. Саха /Якутия/, у. Мирнинский, г. Мирный, ул. Ленина, д. 38</t>
  </si>
  <si>
    <t>Респ. Саха /Якутия/, у. Мирнинский, г. Мирный, ул. Ленина, д. 4, корп. 2</t>
  </si>
  <si>
    <t>Респ. Саха /Якутия/, у. Мирнинский, г. Мирный, ул. Московская, д. 10</t>
  </si>
  <si>
    <t>Респ. Саха /Якутия/, у. Мирнинский, г. Мирный, ул. Московская, д. 12</t>
  </si>
  <si>
    <t>Респ. Саха /Якутия/, у. Мирнинский, г. Мирный, ул. Московская, д. 2</t>
  </si>
  <si>
    <t>Респ. Саха /Якутия/, у. Мирнинский, г. Мирный, ул. Московская, д. 4</t>
  </si>
  <si>
    <t>Респ. Саха /Якутия/, у. Мирнинский, г. Мирный, ул. Московская, д. 6</t>
  </si>
  <si>
    <t>Респ. Саха /Якутия/, у. Мирнинский, г. Мирный, ул. Московская, д. 8</t>
  </si>
  <si>
    <t>Респ. Саха /Якутия/, у. Мирнинский, г. Мирный, ул. Ойунского, д. 36</t>
  </si>
  <si>
    <t>Респ. Саха /Якутия/, у. Мирнинский, г. Мирный, ул. Ойунского, д. 41</t>
  </si>
  <si>
    <t>Респ. Саха /Якутия/, у. Мирнинский, г. Мирный, ул. Советская, д. 14</t>
  </si>
  <si>
    <t>Респ. Саха /Якутия/, у. Мирнинский, г. Мирный, ул. Советская, д. 5</t>
  </si>
  <si>
    <t>Респ. Саха /Якутия/, у. Мирнинский, г. Мирный, ул. Советская, д. 8</t>
  </si>
  <si>
    <t>Респ. Саха /Якутия/, у. Мирнинский, г. Мирный, ул. Тихонова, д. 29, корп. 1</t>
  </si>
  <si>
    <t>Респ. Саха /Якутия/, у. Мирнинский, г. Мирный, ул. Тихонова, д. 29, корп. 3</t>
  </si>
  <si>
    <t>Респ. Саха /Якутия/, у. Мирнинский, г. Мирный, ул. Тихонова, д. 3, корп. 2</t>
  </si>
  <si>
    <t>Респ. Саха /Якутия/, у. Мирнинский, г. Мирный, ш. 50 лет Октября, д. 16, корп. 1</t>
  </si>
  <si>
    <t>Респ. Саха /Якутия/, у. Мирнинский, п. Чернышевский, ул. Гидростроителей, д. 24</t>
  </si>
  <si>
    <t>МО "Ленский наслег"</t>
  </si>
  <si>
    <t>Респ. Саха /Якутия/, у. Намский, с. Намцы, ул. Ржевская, д. 5</t>
  </si>
  <si>
    <t>Респ. Саха /Якутия/, у. Нижнеколымский, п. Черский, ул. Котельникова, д. 9</t>
  </si>
  <si>
    <t>Респ. Саха /Якутия/, у. Нижнеколымский, п. Черский, ул. Пушкина, д. 15</t>
  </si>
  <si>
    <t>Респ. Саха /Якутия/, у. Нюрбинский, г. Нюрба, кв-л. Энергетик, д. 67, корп. 1</t>
  </si>
  <si>
    <t>Респ. Саха /Якутия/, у. Нюрбинский, г. Нюрба, кв-л. Энергетик, д. 71</t>
  </si>
  <si>
    <t>Респ. Саха /Якутия/, у. Усть-Майский, п. Эльдикан, ул. Алданская, д. 81</t>
  </si>
  <si>
    <t>Респ. Саха /Якутия/, у. Усть-Майский, п. Эльдикан, ул. Победы, д. 1</t>
  </si>
  <si>
    <t>Респ. Саха /Якутия/, у. Усть-Майский, п. Эльдикан, ул. Рабочая, д. 8</t>
  </si>
  <si>
    <t>Респ. Саха /Якутия/, у. Хангаласский, г. Покровск, ул. Орджоникидзе, д. 20</t>
  </si>
  <si>
    <t>Респ. Саха /Якутия/, у. Хангаласский, п. Мохсоголлох, ул. Советская, д. 5</t>
  </si>
  <si>
    <t>Респ. Саха /Якутия/, у. Хангаласский, п. Мохсоголлох, ул. Соколиная, д. 10</t>
  </si>
  <si>
    <t>Респ. Саха /Якутия/, у. Хангаласский, п. Мохсоголлох, ул. Соколиная, д. 17</t>
  </si>
  <si>
    <t>Респ. Саха /Якутия/, у. Хангаласский, п. Мохсоголлох, ул. Соколиная, д. 20</t>
  </si>
  <si>
    <t>МО "Чурапчинский наслег"</t>
  </si>
  <si>
    <t>Респ. Саха /Якутия/, у. Чурапчинский, с. Чурапча, ул. Ленина, д. 39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</si>
  <si>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</si>
  <si>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</si>
  <si>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</si>
  <si>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Респ. Саха /Якутия/, г. Якутск, ул. Космонавтов, д. 17, корп. 1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</si>
  <si>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</si>
  <si>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Респ. Саха /Якутия/, г. Якутск, ул. Петра Алексеева, д. 81, корп. 1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</si>
  <si>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</si>
  <si>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</si>
  <si>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</si>
  <si>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</si>
  <si>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</si>
  <si>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</si>
  <si>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</si>
  <si>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</si>
  <si>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</si>
  <si>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</si>
  <si>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</si>
  <si>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</si>
  <si>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</si>
  <si>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</si>
  <si>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город Якутск</t>
  </si>
  <si>
    <t>Респ. Саха /Якутия/, у. Мирнинский, г. Мирный, ул. Ойунского, д. 13</t>
  </si>
  <si>
    <t>Респ. Саха /Якутия/, у. Мирнинский, г. Мирный, ул. Ойунского, д. 15</t>
  </si>
  <si>
    <t>Респ. Саха /Якутия/, у. Мирнинский, г. Мирный, ул. Ойунского, д. 21</t>
  </si>
  <si>
    <t>Респ. Саха /Якутия/, г. Якутск, пр-кт Ленина, д. 25</t>
  </si>
  <si>
    <t>Респ. Саха /Якутия/, г. Якутск, пр-кт Ленина, д. 29</t>
  </si>
  <si>
    <t>Респ. Саха /Якутия/, г. Якутск, ул. Кирова, д. 31 кор.1</t>
  </si>
  <si>
    <t>п. Золотинка, п. Золотинка (г Нерюнгри), ул. Железнодорожная, д. 1</t>
  </si>
  <si>
    <t>Респ. Саха /Якутия/, г. Нерюнгри, пр-кт. Геологов, д. 81, корп. 2 СПЕЦСЧЕТ</t>
  </si>
  <si>
    <t>Респ. Саха /Якутия/, г. Нерюнгри, пр-кт. Дружбы Народов, д. 3, корп. 1 СПЕЦСЧЕТ</t>
  </si>
  <si>
    <t>Респ. Саха /Якутия/, г. Нерюнгри, ул. Аммосова, д. 2 СПЕЦСЧЕТ</t>
  </si>
  <si>
    <t>Респ. Саха /Якутия/, г. Нерюнгри, пр-кт. Мира, д. 5 СПЕЦСЧЕТ</t>
  </si>
  <si>
    <t>ГО "Город Якутск"</t>
  </si>
  <si>
    <t>1996</t>
  </si>
  <si>
    <t>Каменные</t>
  </si>
  <si>
    <t>9</t>
  </si>
  <si>
    <t>2</t>
  </si>
  <si>
    <t>Крупнопанельные блоки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</si>
  <si>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</si>
  <si>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</si>
  <si>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</si>
  <si>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</si>
  <si>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</si>
  <si>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</si>
  <si>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</si>
  <si>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</si>
  <si>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</si>
  <si>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</si>
  <si>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</si>
  <si>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</si>
  <si>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</si>
  <si>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</si>
  <si>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Респ. Саха /Якутия/, г. Якутск, ул. Лермонтова, д. 29</t>
  </si>
  <si>
    <t>Респ. Саха /Якутия/, г. Якутск, ул. Пояркова, д. 8</t>
  </si>
  <si>
    <t>Респ. Саха /Якутия/, г. Нерюнгри, ул. Южно-Якутская, д. 40</t>
  </si>
  <si>
    <t>1976</t>
  </si>
  <si>
    <t>1970</t>
  </si>
  <si>
    <t>1973</t>
  </si>
  <si>
    <t>1974</t>
  </si>
  <si>
    <t>МО "ГП "Поселок Хани""</t>
  </si>
  <si>
    <t>п. Хани, п. Хани (г Нерюнгри), ул. 70 лет Октября, д. 1</t>
  </si>
  <si>
    <t>1987</t>
  </si>
  <si>
    <t>п. Хани, п. Хани (г Нерюнгри), ул. 70 лет Октября, д. 2</t>
  </si>
  <si>
    <t>1988</t>
  </si>
  <si>
    <t>п. Хани, п. Хани (г Нерюнгри), ул. 70 лет Октября, д. 3</t>
  </si>
  <si>
    <t>1989</t>
  </si>
  <si>
    <t>п. Хани, п. Хани (г Нерюнгри), ул. 70 лет Октября, д. 4</t>
  </si>
  <si>
    <t>п. Хани, п. Хани (г Нерюнгри), ул. 70 лет Октября, д. 5</t>
  </si>
  <si>
    <t>п. Хани, п. Хани (г Нерюнгри), ул. 70 лет Октября, д. 6</t>
  </si>
  <si>
    <t>1993</t>
  </si>
  <si>
    <t>г. Якутск, ул. Чернышевского, д. 8</t>
  </si>
  <si>
    <t>г. Якутск, ул. Чернышевского, д. 8 кор.1</t>
  </si>
  <si>
    <t>г. Якутск, ул. Чернышевского, д. 12 кор.1</t>
  </si>
  <si>
    <t>1971</t>
  </si>
  <si>
    <t>1975</t>
  </si>
  <si>
    <t>Респ. Саха /Якутия/, г. Якутск, ул. Дзержинского, д. 8</t>
  </si>
  <si>
    <t>Респ. Саха /Якутия/, г. Якутск, ул. Дзержинского, д. 7</t>
  </si>
  <si>
    <t>Респ. Саха /Якутия/, г. Якутск, ул. Дзержинского, д. 16</t>
  </si>
  <si>
    <t>Респ. Саха /Якутия/, г. Якутск, ул. Дзержинского, д. 40, корп. 1</t>
  </si>
  <si>
    <t>Респ. Саха /Якутия/, г. Якутск, ул. Короленко, д. 7</t>
  </si>
  <si>
    <t>Респ. Саха /Якутия/, г. Якутск, ул. Чернышевского, д. 12</t>
  </si>
  <si>
    <t>Нерюнгринский муниципальный район</t>
  </si>
  <si>
    <t>1999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</si>
  <si>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</si>
  <si>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</si>
  <si>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</si>
  <si>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</si>
  <si>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</si>
  <si>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</si>
  <si>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</si>
  <si>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</si>
  <si>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</si>
  <si>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</si>
  <si>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</si>
  <si>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</si>
  <si>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</si>
  <si>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</si>
  <si>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Респ. Саха /Якутия/, г. Нерюнгри, ул. Южно-Якутская, д. 35</t>
  </si>
  <si>
    <t>Респ. Саха /Якутия/, г. Нерюнгри, ул. Южно-Якутская, д. 41</t>
  </si>
  <si>
    <t>Респ. Саха /Якутия/, г. Нерюнгри, пр-кт. Ленина, д. 21, корп. 1</t>
  </si>
  <si>
    <t>Респ. Саха /Якутия/, г. Нерюнгри, пр-кт. Ленина, д. 25, корп. 1</t>
  </si>
  <si>
    <t>Респ. Саха /Якутия/, г. Нерюнгри, ул. Аммосова, д. 8, корп. 2</t>
  </si>
  <si>
    <t>Респ. Саха /Якутия/, г. Нерюнгри, п. Беркакит, ул. Башарина, д. 8</t>
  </si>
  <si>
    <t>2022-2024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</si>
  <si>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</si>
  <si>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Респ. Саха /Якутия/, г. Якутск, ул. Чернышевского, д. 12, корп. 1</t>
  </si>
  <si>
    <t>СС</t>
  </si>
  <si>
    <t>ССг*0,8</t>
  </si>
  <si>
    <t>ЗС</t>
  </si>
  <si>
    <t>Респ. Саха /Якутия/, г. Якутск, ул. Лермонтова, д. 94 кор.3</t>
  </si>
  <si>
    <t>Респ. Саха /Якутия/, г. Якутск, ул. Лермонтова, д. 138 кор.2</t>
  </si>
  <si>
    <t>Респ. Саха /Якутия/, г. Якутск, ул. Лермонтова, д. 138 кор.3</t>
  </si>
  <si>
    <t>Респ. Саха /Якутия/, г. Якутск, ул. Лермонтова, д. 138 кор.4</t>
  </si>
  <si>
    <t>Респ. Саха /Якутия/, г. Якутск, ул. Дзержинского, д. 15</t>
  </si>
  <si>
    <t>Респ. Саха /Якутия/, г. Якутск, ул. Дзержинского, д. 15 кор.1</t>
  </si>
  <si>
    <t>Респ. Саха /Якутия/, г. Якутск, ул. Орджоникидзе, д. 39</t>
  </si>
  <si>
    <t>Респ. Саха /Якутия/, г. Якутск, ул. Хабарова, д. 7</t>
  </si>
  <si>
    <t>Респ. Саха /Якутия/, г. Якутск, ул. Ярославского, д. 4</t>
  </si>
  <si>
    <t>Респ. Саха /Якутия/, г Нерюнгри, г. Нерюнгри, пр-кт Дружбы Народов, д. 9</t>
  </si>
  <si>
    <t>Респ. Саха /Якутия/, г. Нерюнгри, ул. Южно-Якутская, д. 43</t>
  </si>
  <si>
    <t>Респ. Саха /Якутия/, у. Мирнинский, г. Мирный, ш. 50 лет Октября, д. 14 кор.1</t>
  </si>
  <si>
    <t>Респ. Саха /Якутия/, г. Якутск, ул. Чернышевского, д. 12, корп.1</t>
  </si>
  <si>
    <t>Респ. Саха /Якутия/, г. Якутск, ул. Якова Потапова, д. 6</t>
  </si>
  <si>
    <t>Респ. Саха /Якутия/, г. Нерюнгри, пр-кт Дружбы Народов, д. 9</t>
  </si>
  <si>
    <t>Респ. Саха /Якутия/, г. Якутск, мкр. 202-й, д. 16</t>
  </si>
  <si>
    <t>Респ. Саха /Якутия/, г. Якутск, мкр. 202-й, д. 18</t>
  </si>
  <si>
    <t>Респ. Саха /Якутия/, г. Якутск, мкр. 202-й, д. 19</t>
  </si>
  <si>
    <t>Респ. Саха /Якутия/, г. Якутск, ул. Ойунского, д. 25</t>
  </si>
  <si>
    <t>Респ. Саха /Якутия/, г. Якутск, ул. Ойунского, д. 41</t>
  </si>
  <si>
    <t>Респ. Саха /Якутия/, г. Якутск, ул. Федора Попова, д. 14 кор.4</t>
  </si>
  <si>
    <t>Респ. Саха /Якутия/, г. Якутск, ул. Федора Попова, д. 16 кор.5</t>
  </si>
  <si>
    <t>Респ. Саха /Якутия/, г. Якутск, ул. Хабарова, д. 9</t>
  </si>
  <si>
    <t>Респ. Саха /Якутия/, г. Якутск, ул. Хабарова, д. 19</t>
  </si>
  <si>
    <t>Респ. Саха /Якутия/, г. Якутск, ул. Хабарова, д. 23 кор.1</t>
  </si>
  <si>
    <t>Респ. Саха /Якутия/, г. Якутск, ул. Хабарова, д. 27 кор.1</t>
  </si>
  <si>
    <t>Респ. Саха /Якутия/, г. Якутск, ул. Хабарова, д. 27 кор.3</t>
  </si>
  <si>
    <t>Респ. Саха /Якутия/, у. Ленский, г. Ленск, ул. Ойунского, д. 23 кор.А</t>
  </si>
  <si>
    <t>Респ. Саха /Якутия/, у. Мирнинский, г. Мирный, ул. Ленина, д. 22 кор.А</t>
  </si>
  <si>
    <t>Респ. Саха /Якутия/, у. Хангаласский, г. Покровск, ул. Орджоникидзе, д. 22</t>
  </si>
  <si>
    <t>Респ. Саха /Якутия/, у. Хангаласский,  Немюгинский н-г, с. Ой, ул. Горького, д. 22</t>
  </si>
  <si>
    <t>Респ. Саха /Якутия/, у. Хангаласский, г. Покровск, ул. Братьев Ксенофонтовых, д. 10</t>
  </si>
  <si>
    <t>Иные источники</t>
  </si>
  <si>
    <t>Респ. Саха /Якутия/, г. Нерюнгри, ул. Южно-Якутская, д. 43, корп. 1 СПЕЦСЧЕТ</t>
  </si>
  <si>
    <t>Респ. Саха /Якутия/, у. Усть-Янский, пгт Депутатский, мкр. Арктика, д. 13</t>
  </si>
  <si>
    <t>Респ. Саха /Якутия/, у. Усть-Янский, пгт Депутатский, мкр. Арктика, д. 15</t>
  </si>
  <si>
    <t>Респ. Саха /Якутия/, у. Усть-Янский, пгт Депутатский, мкр. Арктика, д. 21</t>
  </si>
  <si>
    <t>Респ. Саха /Якутия/, у. Усть-Янский, пгт Депутатский, мкр. Арктика, д. 22</t>
  </si>
  <si>
    <t>Респ. Саха /Якутия/, у. Усть-Янский, пгт Депутатский, мкр. Арктика, д. 2</t>
  </si>
  <si>
    <t>Респ. Саха /Якутия/, у. Усть-Янский, пгт Депутатский, мкр. Арктика, д. 23</t>
  </si>
  <si>
    <t>Респ. Саха /Якутия/, у. Усть-Янский, пгт Депутатский, мкр. Арктика, д. 25</t>
  </si>
  <si>
    <t>Респ. Саха /Якутия/, у. Усть-Янский, пгт Депутатский, мкр. Арктика, д. 24</t>
  </si>
  <si>
    <t>Респ. Саха /Якутия/, у. Усть-Янский, пгт Депутатский, мкр. Арктика, д. 11</t>
  </si>
  <si>
    <t>Респ. Саха /Якутия/, у. Усть-Янский, пгт Депутатский, мкр. Арктика, д. 8</t>
  </si>
  <si>
    <t>Респ. Саха /Якутия/, г. Якутск, ул. Чернышевского, д. 8 корп.1</t>
  </si>
  <si>
    <t>Респ. Саха /Якутия/, г. Якутск, ул. Якова Потапова, д. 6 корп.1</t>
  </si>
  <si>
    <t>Респ. Саха /Якутия/, г. Нерюнгри, п. Беркакит, ул. Башарина, д. 3</t>
  </si>
  <si>
    <t>Респ. Саха /Якутия/, г. Нерюнгри, п. Беркакит, ул. Мусы Джалиля, д. 3</t>
  </si>
  <si>
    <t>Респ. Саха /Якутия/, г. Нерюнгри, п. Беркакит, ул. Мусы Джалиля, д. 5</t>
  </si>
  <si>
    <t>Респ. Саха /Якутия/, г. Нерюнгри, пр-кт. Дружбы Народов, д. 17</t>
  </si>
  <si>
    <t>Респ. Саха /Якутия/, г. Нерюнгри, ул. Аммосова, д. 10</t>
  </si>
  <si>
    <t>Респ. Саха /Якутия/, г. Якутск, ул. Федора Попова, д. 14, корп. 4</t>
  </si>
  <si>
    <t>Респ. Саха /Якутия/, г. Якутск, ул. Федора Попова, д. 16, корп. 5</t>
  </si>
  <si>
    <t>Респ. Саха /Якутия/, у. Мирнинский, г. Мирный, ул. Аммосова, д. 96, корп. 1</t>
  </si>
  <si>
    <t>Респ. Саха /Якутия/, у.Оймяконский, п. Усть-Нера, ул. Андрианова, д. 2</t>
  </si>
  <si>
    <t>Респ. Саха /Якутия/, у.Оймяконский, п. Усть-Нера, ул. Андрианова, д. 6</t>
  </si>
  <si>
    <t>Респ. Саха /Якутия/, у.Оймяконский, п. Усть-Нера, ул. Мацкепладзе, д. 20</t>
  </si>
  <si>
    <t>Респ. Саха /Якутия/, у.Оймяконский, п. Усть-Нера, ул. Ленина, д. 27</t>
  </si>
  <si>
    <t>Респ. Саха /Якутия/, у.Оймяконский, п. Усть-Нера, ул. Молодежная, д. 2</t>
  </si>
  <si>
    <t>Респ. Саха /Якутия/, у.Оймяконский, п. Усть-Нера, ул. Молодежная, д. 3</t>
  </si>
  <si>
    <t>Респ. Саха /Якутия/, у. Томпонский, п. Хандыга, ул. Геолога Кудрявого, д. 32</t>
  </si>
  <si>
    <t>Респ. Саха /Якутия/, у. Томпонский, п. Хандыга, ул. Магаданская, д. 30</t>
  </si>
  <si>
    <t>ГО "город Якутск" спецсчет</t>
  </si>
  <si>
    <t>исключить, нет КЭ в РПКР</t>
  </si>
  <si>
    <t>перенос на 2022?</t>
  </si>
  <si>
    <t>перенос на 2023</t>
  </si>
  <si>
    <t>перенос на 2023 служебка ПТО  Осипова</t>
  </si>
  <si>
    <t>Служебка Давыдов перенос с 2023г</t>
  </si>
  <si>
    <t>перенос на 2022 с 2023 Осипова служебка</t>
  </si>
  <si>
    <t>перенос на 2022 с 2023 служебка ПТО  Осипова</t>
  </si>
  <si>
    <t>перенос на 2022 с 2024 служебка ПТО  Осипова</t>
  </si>
  <si>
    <t>техошибка пропущенные</t>
  </si>
  <si>
    <t>частично перемещены виды работ</t>
  </si>
  <si>
    <t>аполностью МКД перешел на др год</t>
  </si>
  <si>
    <t xml:space="preserve">                                                                                                                                                                      </t>
  </si>
  <si>
    <t>отредактировано согласно договору подряда</t>
  </si>
  <si>
    <t>Респ. Саха /Якутия/, г. Якутск, ул. Стадухина, д. 84, корп. 1</t>
  </si>
  <si>
    <t>2011</t>
  </si>
  <si>
    <t>2013</t>
  </si>
  <si>
    <t>МО "Мюрюнский наслег"</t>
  </si>
  <si>
    <t>Респ. Саха /Якутия/, г. Якутск, ул. Стадухина, д. 84, корп. 1 ЧС</t>
  </si>
  <si>
    <t>Респ. Саха /Якутия/, г. Якутск, ул. Чиряева, д. 8</t>
  </si>
  <si>
    <t>Служебка ПТО Даввыдов</t>
  </si>
  <si>
    <t>Респ. Саха /Якутия/, г. Якутск, пр-кт. Ленина, д. 36</t>
  </si>
  <si>
    <t>Респ. Саха /Якутия/, у. Булунский, п. Тикси, ул. Академика Федорова, д. 28а</t>
  </si>
  <si>
    <t>Респ. Саха /Якутия/, у. Булунский, п. Тикси, ул. Трусова, д. 11</t>
  </si>
  <si>
    <t>Респ. Саха /Якутия/, у. Булунский, п. Тикси, ул. Трусова, д. 14</t>
  </si>
  <si>
    <t>Респ. Саха /Якутия/, у. Булунский, п. Тикси, ул. Трусова, д. 5</t>
  </si>
  <si>
    <t>перенос с 2025г служебка Осипова</t>
  </si>
  <si>
    <t>Ленский муниципальный район</t>
  </si>
  <si>
    <t>Респ. Саха /Якутия/, у. Ленский, г. Ленск, ул. Ленина, д. 66</t>
  </si>
  <si>
    <t>Ленский у, г. Ленск, ул. Ленина, д. 66</t>
  </si>
  <si>
    <t>Респ. Саха /Якутия/, у. Мирнинский, г. Мирный, ул. Советская, д. 11, корп. 2</t>
  </si>
  <si>
    <t>Респ. Саха /Якутия/, г. Нерюнгри, ул. Карла Маркса, д. 29, корп. 1</t>
  </si>
  <si>
    <t>Респ. Саха /Якутия/, г. Якутск, ул. Халтурина, д. 2</t>
  </si>
  <si>
    <t>1977</t>
  </si>
  <si>
    <t>Респ. Саха /Якутия/, г. Нерюнгри, пр-кт. Дружбы Народов, д. 8</t>
  </si>
  <si>
    <t>Респ. Саха /Якутия/, г. Нерюнгри, пр-кт. Дружбы Народов, д. 10</t>
  </si>
  <si>
    <t>Респ. Саха /Якутия/, г. Нерюнгри, пр-кт. Дружбы Народов, д. 10, корп. 2</t>
  </si>
  <si>
    <t>Респ. Саха /Якутия/, г. Нерюнгри, пр-кт. Дружбы Народов, д. 14, корп. 1</t>
  </si>
  <si>
    <t>Респ. Саха /Якутия/, г. Нерюнгри, пр-кт. Дружбы Народов, д. 20, корп. 1</t>
  </si>
  <si>
    <t>Респ. Саха /Якутия/, г. Нерюнгри, пр-кт. Дружбы Народов, д. 27, корп. 1</t>
  </si>
  <si>
    <t>Респ. Саха /Якутия/, г. Нерюнгри, ул. Южно-Якутская, д. 31</t>
  </si>
  <si>
    <t>Респ. Саха /Якутия/, г. Нерюнгри, ул. Южно-Якутская, д. 31, корп. 1</t>
  </si>
  <si>
    <t>Респ. Саха /Якутия/, г. Нерюнгри, пр-кт. Дружбы Народов, д. 27, корп. 1 СПЕЦСЧЕТ</t>
  </si>
  <si>
    <t>завершены на 7дек</t>
  </si>
  <si>
    <t>на заверш 7 дек</t>
  </si>
  <si>
    <t>Виды работ, установленные ч.1 ст.19 Закона Республики Саха (Якутия) от 24.06.2013 года 1201-З №1329-IV 'Об организации проведения капитального ремонта общего имущества в многоквартирных домах на территории Республики Саха (Якутия)'</t>
  </si>
  <si>
    <t>Ремонт внутридомовых инженерных систем</t>
  </si>
  <si>
    <t xml:space="preserve">Ремонт, замена, модернизация лифтов, ремонт лифтовых шахт, машинных и блочных помещений
</t>
  </si>
  <si>
    <t>Ремонт подвальных помещений, относящихся к общему имуществу в многоквартирном доме</t>
  </si>
  <si>
    <t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</t>
  </si>
  <si>
    <t>Ремонт фундамента многоквартирного дома, цокольных балок и перекрытий, включая утепление цокольного перекрытия</t>
  </si>
  <si>
    <t>Разработка проектной документации на проведение капитального ремонта</t>
  </si>
  <si>
    <t>Проведение экспертизы проектной документации на проведение капитального ремонта, проверки достоверности определения сметной стоимости</t>
  </si>
  <si>
    <t>Проведение строительного контроля (технического надзора)</t>
  </si>
  <si>
    <t>руб.</t>
  </si>
  <si>
    <t>Алданский у, г. Алдан, пер. Спортивный, д. 2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</si>
  <si>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</si>
  <si>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</si>
  <si>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</si>
  <si>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</si>
  <si>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</si>
  <si>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</si>
  <si>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</si>
  <si>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</si>
  <si>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</si>
  <si>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</si>
  <si>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</si>
  <si>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</si>
  <si>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</si>
  <si>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</si>
  <si>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</si>
  <si>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</si>
  <si>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</si>
  <si>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</si>
  <si>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Достовалова, д. 8</t>
  </si>
  <si>
    <t>Алданский у, г. Алдан, ул. Комарова, д. 25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</si>
  <si>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</si>
  <si>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</si>
  <si>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</si>
  <si>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</si>
  <si>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Октябрьская, д. 6</t>
  </si>
  <si>
    <t>Алданский у, г. Алдан, ул. Октябрьская, д. 9</t>
  </si>
  <si>
    <t>Алданский у, г. Алдан, ул. Пролетарская, д. 12</t>
  </si>
  <si>
    <t>Алданский у, г. Алдан, ул. Семенова, д. 9</t>
  </si>
  <si>
    <t>Алданский у, г. Алдан, ул. Стрельцова, д. 2</t>
  </si>
  <si>
    <t>Алданский у, г. Алдан, ул. Тополиная, д. 57</t>
  </si>
  <si>
    <t>Алданский у, г. Томмот, пер. Якутский, д. 16</t>
  </si>
  <si>
    <t>Алданский у, г. Томмот, пер. Якутский, д. 18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</si>
  <si>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</si>
  <si>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</si>
  <si>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</si>
  <si>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п Ленинский, п. Ленинский, ул. Карла Маркса, д. 18</t>
  </si>
  <si>
    <t>Алданский у, п Ленинский, п. Ленинский, ул. Ленина, д. 22 кор.А</t>
  </si>
  <si>
    <t>Алданский у, п Ленинский, п. Ленинский, ул. Стрельцова, д. 39</t>
  </si>
  <si>
    <t>Алданский у, п. Нижний Куранах, мкр. 1-й, д. 12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</si>
  <si>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</si>
  <si>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</si>
  <si>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</si>
  <si>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</si>
  <si>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Федоренко,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</si>
  <si>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</si>
  <si>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</si>
  <si>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</si>
  <si>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Юбилейная, д. 15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</si>
  <si>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</si>
  <si>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</si>
  <si>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</si>
  <si>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</si>
  <si>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Гагарина, д. 2</t>
  </si>
  <si>
    <t>Булунский у, п. Тикси, ул. Гагарина, д. 4</t>
  </si>
  <si>
    <t>Булунский у, п. Тикси, ул. Морская, д. 35А</t>
  </si>
  <si>
    <t>Булунский у, п. Тикси, ул. Трусова, д. 2</t>
  </si>
  <si>
    <t>Булунский у, п. Тикси, ул. Трусова, д. 9</t>
  </si>
  <si>
    <t>Булунский у, п. Тикси, п. Тикси 3-й, ул. Полярной Авиации, д. 8А</t>
  </si>
  <si>
    <t>Верхнеколымский у, п. Зырянка, ул. Стадухина, д. 7</t>
  </si>
  <si>
    <t>г. Якутск, мкр. 202-й, д. 5</t>
  </si>
  <si>
    <t>г. Якутск, пр-кт Ленина, д. 9</t>
  </si>
  <si>
    <t>г. Якутск, пр-кт Ленина, д. 11</t>
  </si>
  <si>
    <t>г. Якутск, пр-кт Ленина, д. 16</t>
  </si>
  <si>
    <t>г. Якутск, пр-кт Ленина, д. 21</t>
  </si>
  <si>
    <t>г. Якутск, пр-кт Ленина, д. 23</t>
  </si>
  <si>
    <t>г. Якутск, пр-кт Ленина, д. 34</t>
  </si>
  <si>
    <t>г. Якутск, пр-кт Ленина, д. 35</t>
  </si>
  <si>
    <t>г. Якутск, пр-кт Ленина, д. 36</t>
  </si>
  <si>
    <t>г. Якутск, пр-кт Ленина, д. 37</t>
  </si>
  <si>
    <t>г. Якутск, пр-кт Ленина, д. 38</t>
  </si>
  <si>
    <t>г. Якутск, пр-кт Ленина, д. 44</t>
  </si>
  <si>
    <t>г. Якутск, пр-кт Ленина, д. 46</t>
  </si>
  <si>
    <t>г. Якутск, ул. Кальвица, д. 1 кор.1</t>
  </si>
  <si>
    <t>г. Якутск, ул. Кальвица, д. 5</t>
  </si>
  <si>
    <t>г. Якутск, ул. Крупской, д. 21</t>
  </si>
  <si>
    <t>г. Якутск, ул. Лермонтова, д. 27 кор.1</t>
  </si>
  <si>
    <t>г. Якутск, ул. Маяковского, д. 110 кор.1</t>
  </si>
  <si>
    <t>г. Якутск, ул. Маяковского, д. 110 кор.2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</si>
  <si>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</si>
  <si>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</si>
  <si>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</si>
  <si>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Можайского, д. 21 кор.1</t>
  </si>
  <si>
    <t>г. Якутск, ул. Октябрьская, д. 21</t>
  </si>
  <si>
    <t>г. Якутск, ул. Орджоникидзе, д. 33</t>
  </si>
  <si>
    <t>г. Якутск, ул. Орджоникидзе, д. 37</t>
  </si>
  <si>
    <t>г. Якутск, ул. Семена Данилова, д. 30</t>
  </si>
  <si>
    <t>г. Якутск, ул. Сергеляхская, д. 10 кор.2</t>
  </si>
  <si>
    <t>г. Якутск, ш. Сергеляхское 12 км, д. 7</t>
  </si>
  <si>
    <t>г. Якутск, с. Тулагино, ул. Связистов, д. 1</t>
  </si>
  <si>
    <t>г. Якутск, с. Тулагино, ул. Связистов, д. 2</t>
  </si>
  <si>
    <t>г. Якутск, с. Хатассы, ул. Ленина, д. 67 кор.1</t>
  </si>
  <si>
    <t>ГО Жатай, п. Жатай, ул. Северная, д. 23/1</t>
  </si>
  <si>
    <t>Ленский у, г. Ленск, ул. Ойунского, д. 24</t>
  </si>
  <si>
    <t>Ленский у, г. Ленск, ул. Орджоникидзе, д. 7</t>
  </si>
  <si>
    <t>Ленский у, г. Ленск, ул. Первомайская, д. 22</t>
  </si>
  <si>
    <t>Ленский у, г. Ленск, ул. Первомайская, д. 26</t>
  </si>
  <si>
    <t>Ленский у, г. Ленск, ул. Пролетарская, д. 15</t>
  </si>
  <si>
    <t>Мирнинский у, г. Мирный, ул. Аммосова, д. 98 кор.1</t>
  </si>
  <si>
    <t>Мирнинский у, г. Мирный, ул. Комсомольская, д. 25</t>
  </si>
  <si>
    <t>Мирнинский у, г. Мирный, ул. Комсомольская, д. 25 кор.А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</si>
  <si>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</si>
  <si>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</si>
  <si>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</si>
  <si>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</si>
  <si>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20 кор.А</t>
  </si>
  <si>
    <t>Мирнинский у, г. Мирный, ул. Ленина, д. 21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</si>
  <si>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</si>
  <si>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</si>
  <si>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</si>
  <si>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</si>
  <si>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</si>
  <si>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</si>
  <si>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</si>
  <si>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</si>
  <si>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</si>
  <si>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</si>
  <si>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</si>
  <si>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8</t>
  </si>
  <si>
    <t>Мирнинский у, г. Мирный, ул. Советская, д. 14</t>
  </si>
  <si>
    <t>Мирнинский у, г. Мирный, ул. Тихонова, д. 3 кор.1</t>
  </si>
  <si>
    <t>Мирнинский у, г. Удачный, мкр. Новый город, д. 1</t>
  </si>
  <si>
    <t>Мирнинский у, п. Светлый, ул. Гидростроителей, д. 4</t>
  </si>
  <si>
    <t>Мирнинский у, п. Светлый, ул. Гидростроителей, д. 5</t>
  </si>
  <si>
    <t>Намский у, Ленский н-г, с. Намцы, ул. Чернышевского, д. 22</t>
  </si>
  <si>
    <t>г. Нерюнгри, пр-кт Геологов, д. 6 кор.1</t>
  </si>
  <si>
    <t>г. Нерюнгри, пр-кт Геологов, д. 39</t>
  </si>
  <si>
    <t>г. Нерюнгри, пр-кт Геологов, д. 39 кор.1</t>
  </si>
  <si>
    <t>г. Нерюнгри, пр-кт Геологов, д. 43</t>
  </si>
  <si>
    <t>г. Нерюнгри, пр-кт Геологов, д. 51</t>
  </si>
  <si>
    <t>г. Нерюнгри, пр-кт Геологов, д. 59 кор.1</t>
  </si>
  <si>
    <t>г. Нерюнгри, пр-кт Дружбы Народов, д. 10 кор.1</t>
  </si>
  <si>
    <t>г. Нерюнгри, пр-кт Дружбы Народов, д. 14 кор.1</t>
  </si>
  <si>
    <t>г. Нерюнгри, пр-кт Дружбы Народов, д. 15 кор.1</t>
  </si>
  <si>
    <t>г. Нерюнгри, пр-кт Дружбы Народов, д. 16 кор.2</t>
  </si>
  <si>
    <t>г. Нерюнгри, пр-кт Дружбы Народов, д. 18 кор.2</t>
  </si>
  <si>
    <t>г. Нерюнгри, пр-кт Дружбы Народов, д. 35</t>
  </si>
  <si>
    <t>г. Нерюнгри, пр-кт Дружбы Народов, д. 37</t>
  </si>
  <si>
    <t>г. Нерюнгри, пр-кт Ленина, д. 1 кор.3</t>
  </si>
  <si>
    <t>г. Нерюнгри, пр-кт Ленина, д. 6 кор.1</t>
  </si>
  <si>
    <t>г. Нерюнгри, пр-кт Ленина, д. 6 кор.2</t>
  </si>
  <si>
    <t>г. Нерюнгри, пр-кт Ленина, д. 6 кор.3</t>
  </si>
  <si>
    <t>г. Нерюнгри, пр-кт Ленина, д. 7 кор.1</t>
  </si>
  <si>
    <t>г. Нерюнгри, пр-кт Ленина, д. 13 кор.1</t>
  </si>
  <si>
    <t>г. Нерюнгри, пр-кт Ленина, д. 19 кор.1</t>
  </si>
  <si>
    <t>г. Нерюнгри, пр-кт Мира, д. 3</t>
  </si>
  <si>
    <t>г. Нерюнгри, пр-кт Мира, д. 15 кор.1</t>
  </si>
  <si>
    <t>г. Нерюнгри, пр-кт Мира, д. 25 кор.1</t>
  </si>
  <si>
    <t>г. Нерюнгри, пр-кт Мира, д. 31</t>
  </si>
  <si>
    <t>г. Нерюнгри, ул. Аммосова, д. 10 кор.2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</si>
  <si>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</si>
  <si>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</si>
  <si>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</si>
  <si>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10</t>
  </si>
  <si>
    <t>г. Нерюнгри, ул. им Кравченко, д. 12</t>
  </si>
  <si>
    <t>г. Нерюнгри, ул. им Кравченко, д. 17 кор.2</t>
  </si>
  <si>
    <t>г. Нерюнгри, ул. им Кравченко, д. 20 кор.1</t>
  </si>
  <si>
    <t>г. Нерюнгри, ул. им Кравченко, д. 21 кор.1</t>
  </si>
  <si>
    <t>г. Нерюнгри, ул. Карла Маркса, д. 1</t>
  </si>
  <si>
    <t>г. Нерюнгри, ул. Карла Маркса, д. 5 кор.1</t>
  </si>
  <si>
    <t>г. Нерюнгри, ул. Карла Маркса, д. 16</t>
  </si>
  <si>
    <t>г. Нерюнгри, ул. Карла Маркса, д. 16 кор.1</t>
  </si>
  <si>
    <t>г. Нерюнгри, ул. Карла Маркса, д. 25 кор.1</t>
  </si>
  <si>
    <t>г. Нерюнгри, ул. Карла Маркса, д. 27</t>
  </si>
  <si>
    <t>г. Нерюнгри, ул. Карла Маркса, д. 27 кор.1</t>
  </si>
  <si>
    <t>г. Нерюнгри, ул. Карла Маркса, д. 27 кор.2</t>
  </si>
  <si>
    <t>г. Нерюнгри, ул. Карла Маркса, д. 29 кор.1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</si>
  <si>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</si>
  <si>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</si>
  <si>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</si>
  <si>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</si>
  <si>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Сосновая, д. 4</t>
  </si>
  <si>
    <t>г. Нерюнгри, ул. Строителей, д. 1</t>
  </si>
  <si>
    <t>г. Нерюнгри, ул. Строителей, д. 3 кор.1</t>
  </si>
  <si>
    <t>г. Нерюнгри, ул. Строителей, д. 3 кор.2</t>
  </si>
  <si>
    <t>г. Нерюнгри, ул. Тимптонская, д. 3</t>
  </si>
  <si>
    <t>г. Нерюнгри, ул. Чурапчинская, д. 40</t>
  </si>
  <si>
    <t>г. Нерюнгри, ул. Чурапчинская, д. 46</t>
  </si>
  <si>
    <t>г. Нерюнгри, ул. Южно-Якутская, д. 25 кор.1</t>
  </si>
  <si>
    <t>г. Нерюнгри, ул. Южно-Якутская, д. 28</t>
  </si>
  <si>
    <t>г. Нерюнгри, ул. Южно-Якутская, д. 30</t>
  </si>
  <si>
    <t>г. Нерюнгри, ул. Южно-Якутская, д. 36 кор.3</t>
  </si>
  <si>
    <t>г. Нерюнгри, ул. Южно-Якутская, д. 38</t>
  </si>
  <si>
    <t>п. Серебряный Бор, п. Серебряный Бор (г Нерюнгри), д. 14</t>
  </si>
  <si>
    <t>п. Серебряный Бор, п. Серебряный Бор (г Нерюнгри), д. 118</t>
  </si>
  <si>
    <t>п. Серебряный Бор, п. Серебряный Бор (г Нерюнгри), д. 120</t>
  </si>
  <si>
    <t>п. Серебряный Бор, п. Серебряный Бор (г Нерюнгри), д. 197</t>
  </si>
  <si>
    <t>п. Серебряный Бор, п. Серебряный Бор (г Нерюнгри), д. 208</t>
  </si>
  <si>
    <t>п. Серебряный Бор, п. Серебряный Бор (г Нерюнгри), д. 277</t>
  </si>
  <si>
    <t>п. Чульман, п. Чульман (г Нерюнгри), ул. Островского, д. 4</t>
  </si>
  <si>
    <t>п. Чульман, п. Чульман (г Нерюнгри), ул. Островского, д. 8</t>
  </si>
  <si>
    <t>п. Чульман, п. Чульман (г Нерюнгри), ул. Островского, д. 10</t>
  </si>
  <si>
    <t>п. Чульман, п. Чульман (г Нерюнгри), ул. Советская, д. 38</t>
  </si>
  <si>
    <t>п. Чульман, п. Чульман (г Нерюнгри), ул. Циолковского, д. 2</t>
  </si>
  <si>
    <t>п. Чульман, п. Чульман (г Нерюнгри), ул. Циолковского, д. 7</t>
  </si>
  <si>
    <t>Нижнеколымский у, п. Черский, ул. Молодежная, д. 8 кор.1</t>
  </si>
  <si>
    <t>Нижнеколымский у, п. Черский, ул. Молодежная, д. 10 кор.1</t>
  </si>
  <si>
    <t>Нижнеколымский у, п. Черский, ул. Молодежная, д. 16 кор.1</t>
  </si>
  <si>
    <t>Нижнеколымский у, п. Черский, ул. Октябрьская, д. 19</t>
  </si>
  <si>
    <t>Нижнеколымский у, п. Черский, ул. Пушкина, д. 37</t>
  </si>
  <si>
    <t>Нижнеколымский у, п. Черский, ул. Таврата, д. 3</t>
  </si>
  <si>
    <t>Хангаласский у, Бестяхский н-г, с. Бестях, ул. Центральная, д. 53</t>
  </si>
  <si>
    <t>Хангаласский у, г. Покровск, ул. Притузова, д. 11</t>
  </si>
  <si>
    <t>Хангаласский у, г. Покровск, ул. Таежная, д. 2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</si>
  <si>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</si>
  <si>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</si>
  <si>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Октёмский н-г, с. Октемцы, пер. Моисеева, д. 15</t>
  </si>
  <si>
    <t>Хангаласский у, п. Мохсоголлох, ул. Соколиная, д. 1</t>
  </si>
  <si>
    <t>Хангаласский у, п. Мохсоголлох, ул. Соколиная, д. 7</t>
  </si>
  <si>
    <t>Хангаласский у, п. Мохсоголлох, ул. Соколиная, д. 9</t>
  </si>
  <si>
    <t>Хангаласский у, п. Мохсоголлох, ул. Соколиная, д. 17</t>
  </si>
  <si>
    <t>Хангаласский у, п. Мохсоголлох, ул. Соколиная, д. 19</t>
  </si>
  <si>
    <t>Алданский у, п. Нижний Куранах, ул. Старательская, д. 84</t>
  </si>
  <si>
    <t>Алданский у, п. Нижний Куранах, ул. Строительная, д. 7</t>
  </si>
  <si>
    <t>Алданский у, п. Нижний Куранах, ул. Строительная, д. 9</t>
  </si>
  <si>
    <t>Алданский у, п. Нижний Куранах, ул. Строительная, д. 17</t>
  </si>
  <si>
    <t>Алданский у, п. Нижний Куранах, ул. Строительная, д. 19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</si>
  <si>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</si>
  <si>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</si>
  <si>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31</t>
  </si>
  <si>
    <t>Алданский у, п. Нижний Куранах, ул. Юбилейная, д. 15СЕКЦ.А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</si>
  <si>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</si>
  <si>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</si>
  <si>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</si>
  <si>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Гагарина, д. 8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</si>
  <si>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</si>
  <si>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</si>
  <si>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46</t>
  </si>
  <si>
    <t>Булунский у, п. Тикси, ул. Морская, д. 46А</t>
  </si>
  <si>
    <t>Вилюйский у, г. Вилюйск, ул. Мира, д. 70 кор.А</t>
  </si>
  <si>
    <t>г. Якутск, пр-кт Ленина, д. 6</t>
  </si>
  <si>
    <t>г. Якутск, пр-кт Ленина, д. 10</t>
  </si>
  <si>
    <t>г. Якутск, ул. Жорницкого, д. 38</t>
  </si>
  <si>
    <t>г. Якутск, ул. Каландаришвили, д. 38 кор.1</t>
  </si>
  <si>
    <t>г. Якутск, ул. Каландаришвили, д. 40</t>
  </si>
  <si>
    <t>г. Якутск, ул. Кулаковского, д. 30</t>
  </si>
  <si>
    <t>г. Якутск, ул. Лермонтова, д. 23 кор.2</t>
  </si>
  <si>
    <t>г. Якутск, ул. Лермонтова, д. 29 кор.1</t>
  </si>
  <si>
    <t>г. Якутск, ул. Можайского, д. 19</t>
  </si>
  <si>
    <t>г. Якутск, ул. Орджоникидзе, д. 44</t>
  </si>
  <si>
    <t>г. Якутск, ул. Очиченко, д. 25 кор.2</t>
  </si>
  <si>
    <t>г. Якутск, ул. Петра Алексеева, д. 4 кор.3</t>
  </si>
  <si>
    <t>г. Якутск, ул. Стадухина, д. 84</t>
  </si>
  <si>
    <t>г. Якутск, ул. Стадухина, д. 86</t>
  </si>
  <si>
    <t>г. Якутск, мкр. Кангалассы, ул. 26 партсъезда, д. 2</t>
  </si>
  <si>
    <t>г. Якутск, с. Хатассы, ул. Ленина, д. 67 кор.2</t>
  </si>
  <si>
    <t>ГО Жатай, п. Жатай, ул. Северная, д. 19</t>
  </si>
  <si>
    <t>Ленский у, г. Ленск, ул. Дзержинского, д. 15</t>
  </si>
  <si>
    <t>Ленский у, г. Ленск, ул. Дзержинского, д. 23</t>
  </si>
  <si>
    <t>Ленский у, г. Ленск, ул. Ленина, д. 64</t>
  </si>
  <si>
    <t>Ленский у, г. Ленск, ул. Ойунского, д. 34</t>
  </si>
  <si>
    <t>Мирнинский у, г. Мирный, ул. Аммосова, д. 16</t>
  </si>
  <si>
    <t>Мирнинский у, г. Мирный, ул. Ленина, д. 10 кор.А</t>
  </si>
  <si>
    <t>Мирнинский у, г. Мирный, ул. Ленина, д. 14</t>
  </si>
  <si>
    <t>Мирнинский у, г. Мирный, ул. Ленина, д. 36</t>
  </si>
  <si>
    <t>Мирнинский у, г. Мирный, ул. Ойунского, д. 7</t>
  </si>
  <si>
    <t>Мирнинский у, г. Мирный, ул. Советская, д. 7</t>
  </si>
  <si>
    <t>Мирнинский у, г. Мирный, ул. Советская, д. 17 кор.А</t>
  </si>
  <si>
    <t>Мирнинский у, г. Мирный, ш. 50 лет Октября, д. 3</t>
  </si>
  <si>
    <t>Мирнинский у, г. Мирный, ш. 50 лет Октября, д. 5</t>
  </si>
  <si>
    <t>Мирнинский у, п. Айхал, ул. Советская, д. 15 кор.Б</t>
  </si>
  <si>
    <t>Мирнинский у, п. Светлый, ул. Дружбы Народов, д. 3</t>
  </si>
  <si>
    <t>Мирнинский у, п. Светлый, ул. Дружбы Народов, д. 5</t>
  </si>
  <si>
    <t>Мирнинский у, п. Светлый, ул. Дружбы Народов, д. 7</t>
  </si>
  <si>
    <t>Мирнинский у, п. Светлый, ул. Дружбы Народов, д. 9</t>
  </si>
  <si>
    <t>Мирнинский у, п. Светлый, ул. Дружбы Народов, д. 13</t>
  </si>
  <si>
    <t>Мирнинский у, п. Светлый, ул. Молодежная, д. 25</t>
  </si>
  <si>
    <t>Намский у, Ленский н-г, с. Намцы, ул. Ржевская, д. 5</t>
  </si>
  <si>
    <t>г. Нерюнгри, пр-кт Геологов, д. 71</t>
  </si>
  <si>
    <t>г. Нерюнгри, пр-кт Геологов, д. 81 кор.3</t>
  </si>
  <si>
    <t>г. Нерюнгри, пр-кт Дружбы Народов, д. 8</t>
  </si>
  <si>
    <t>г. Нерюнгри, пр-кт Дружбы Народов, д. 10</t>
  </si>
  <si>
    <t>г. Нерюнгри, пр-кт Дружбы Народов, д. 10 кор.2</t>
  </si>
  <si>
    <t>г. Нерюнгри, пр-кт Дружбы Народов, д. 18</t>
  </si>
  <si>
    <t>г. Нерюнгри, пр-кт Дружбы Народов, д. 20</t>
  </si>
  <si>
    <t>г. Нерюнгри, пр-кт Дружбы Народов, д. 25</t>
  </si>
  <si>
    <t>г. Нерюнгри, пр-кт Дружбы Народов, д. 27 кор.2</t>
  </si>
  <si>
    <t>г. Нерюнгри, пр-кт Ленина, д. 1 кор.1</t>
  </si>
  <si>
    <t>г. Нерюнгри, пр-кт Ленина, д. 1 кор.2</t>
  </si>
  <si>
    <t>г. Нерюнгри, пр-кт Мира, д. 15</t>
  </si>
  <si>
    <t>г. Нерюнгри, пр-кт Мира, д. 15 кор.2</t>
  </si>
  <si>
    <t>г. Нерюнгри, пр-кт Мира, д. 15 кор.3</t>
  </si>
  <si>
    <t>г. Нерюнгри, пр-кт Мира, д. 19 кор.1</t>
  </si>
  <si>
    <t>г. Нерюнгри, пр-кт Мира, д. 19 кор.2</t>
  </si>
  <si>
    <t>г. Нерюнгри, пр-кт Мира, д. 21 кор.2</t>
  </si>
  <si>
    <t>г. Нерюнгри, пр-кт Мира, д. 27 кор.2</t>
  </si>
  <si>
    <t>г. Нерюнгри, пр-кт Мира, д. 29</t>
  </si>
  <si>
    <t>г. Нерюнгри, ул. Аммосова, д. 4</t>
  </si>
  <si>
    <t>г. Нерюнгри, ул. Аммосова, д. 6 кор.1</t>
  </si>
  <si>
    <t>г. Нерюнгри, ул. Аммосова, д. 10 кор.1</t>
  </si>
  <si>
    <t>г. Нерюнгри, ул. Аммосова, д. 12</t>
  </si>
  <si>
    <t>г. Нерюнгри, ул. им Кравченко, д. 9 кор.1</t>
  </si>
  <si>
    <t>г. Нерюнгри, ул. им Кравченко, д. 14</t>
  </si>
  <si>
    <t>г. Нерюнгри, ул. им Кравченко, д. 25</t>
  </si>
  <si>
    <t>г. Нерюнгри, ул. Карла Маркса, д. 1 кор.3</t>
  </si>
  <si>
    <t>г. Нерюнгри, ул. Карла Маркса, д. 1 кор.4</t>
  </si>
  <si>
    <t>г. Нерюнгри, ул. Карла Маркса, д. 19 кор.1</t>
  </si>
  <si>
    <t>г. Нерюнгри, ул. Карла Маркса, д. 20</t>
  </si>
  <si>
    <t>г. Нерюнгри, ул. Лужников, д. 3 кор.1</t>
  </si>
  <si>
    <t>г. Нерюнгри, ул. Чурапчинская, д. 39</t>
  </si>
  <si>
    <t>г. Нерюнгри, ул. Южно-Якутская, д. 39 кор.1</t>
  </si>
  <si>
    <t>п. Беркакит, п. Беркакит (г Нерюнгри), ул. Мусы Джалиля, д. 13</t>
  </si>
  <si>
    <t>п. Чульман, п. Чульман (г Нерюнгри), ул. Гагарина, д. 27</t>
  </si>
  <si>
    <t>п. Чульман, п. Чульман (г Нерюнгри), ул. Островского, д. 18А</t>
  </si>
  <si>
    <t>п. Чульман, п. Чульман (г Нерюнгри), ул. Островского, д. 18Б</t>
  </si>
  <si>
    <t>п. Чульман, п. Чульман (г Нерюнгри), ул. Советская, д. 30</t>
  </si>
  <si>
    <t>Нижнеколымский у, п. Черский, ул. Молодежная, д. 4</t>
  </si>
  <si>
    <t>Хангаласский у, г. Покровск, ул. Братьев Ксенофонтовых, д. 9</t>
  </si>
  <si>
    <t>Хангаласский у, г. Покровск, ул. Южная, д. 6</t>
  </si>
  <si>
    <t>Хангаласский у, Немюгинский н-г, с. Ой, ул. Горького, д. 22 кор.1</t>
  </si>
  <si>
    <t>Хангаласский у, п. Мохсоголлох, ул. Молодежная, д. 18</t>
  </si>
  <si>
    <t>Хангаласский у, п. Мохсоголлох, ул. Соколиная, д. 3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</si>
  <si>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</si>
  <si>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</si>
  <si>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21</t>
  </si>
  <si>
    <t>Алданский у, п. Нижний Куранах, мкр. 1-й, д. 10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</si>
  <si>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</si>
  <si>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</si>
  <si>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ул. Нагорная, д. 103</t>
  </si>
  <si>
    <t>МО "Саскылахский национальный (эвенкийский) наслег"</t>
  </si>
  <si>
    <t>МО "Борогонский 2 наслег"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</si>
  <si>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</si>
  <si>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средства собственников</t>
  </si>
  <si>
    <t>взносы за 2021 год</t>
  </si>
  <si>
    <t>чел.</t>
  </si>
  <si>
    <t>руб./кв.м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</si>
  <si>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</si>
  <si>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</si>
  <si>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</si>
  <si>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</si>
  <si>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</si>
  <si>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</si>
  <si>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</si>
  <si>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</si>
  <si>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</si>
  <si>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</si>
  <si>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</si>
  <si>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</si>
  <si>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</si>
  <si>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2022</t>
  </si>
  <si>
    <t>Алданский у, г. Алдан, ул. 50 лет ВЛКСМ, д. 5</t>
  </si>
  <si>
    <t>1966</t>
  </si>
  <si>
    <t>Алданский у, г. Алдан, ул. 50 лет ВЛКСМ, д. 6</t>
  </si>
  <si>
    <t>Алданский у, г. Алдан, ул. 50 лет ВЛКСМ, д. 8</t>
  </si>
  <si>
    <t>1969</t>
  </si>
  <si>
    <t>1964</t>
  </si>
  <si>
    <t>1967</t>
  </si>
  <si>
    <t>1968</t>
  </si>
  <si>
    <t>1962</t>
  </si>
  <si>
    <t>1961</t>
  </si>
  <si>
    <t>+('Приложение №1'!J98+9</t>
  </si>
  <si>
    <t>1954</t>
  </si>
  <si>
    <t>1959</t>
  </si>
  <si>
    <t>1965</t>
  </si>
  <si>
    <t>1960</t>
  </si>
  <si>
    <t>ГО "Поселок Жатай"</t>
  </si>
  <si>
    <t>МО "Город Удачный"</t>
  </si>
  <si>
    <t>2001</t>
  </si>
  <si>
    <t>1984</t>
  </si>
  <si>
    <t>0</t>
  </si>
  <si>
    <t>2000</t>
  </si>
  <si>
    <t>МО "Поселок Черский"</t>
  </si>
  <si>
    <t>СП "Бестяхский наслег"</t>
  </si>
  <si>
    <t>1980</t>
  </si>
  <si>
    <t>МО "Качикатский наслег"</t>
  </si>
  <si>
    <t>МО "Октемский наслег"</t>
  </si>
  <si>
    <t>ГП "Поселок Мохсоголлох"</t>
  </si>
  <si>
    <t>Алданский у, п. Нижний Куранах, ул. Юбилейная, д. 15 СЕКЦ.А</t>
  </si>
  <si>
    <t>МО "Город Вилюйск"</t>
  </si>
  <si>
    <t>1957</t>
  </si>
  <si>
    <t>2005</t>
  </si>
  <si>
    <t>Приложение № 4 к приказу</t>
  </si>
  <si>
    <t>Приложение № 3 к приказу</t>
  </si>
  <si>
    <t>Мирнинский у, г. Мирный, ул. Ленина, д. 23</t>
  </si>
  <si>
    <t>Кредиторская задолженность за 2021 год</t>
  </si>
  <si>
    <t>г. Нерюнгри, пр-кт Дружбы Народов, д. 8 кор.2</t>
  </si>
  <si>
    <t>г. Якутск, ул. Курашова, д. 19</t>
  </si>
  <si>
    <t>г. Якутск, ул. Лермонтова, д. 166 кор.2</t>
  </si>
  <si>
    <t>г. Якутск, ул. Ярославского, д. 35</t>
  </si>
  <si>
    <t>ГО Жатай, п. Жатай, ул. Северная, д. 21</t>
  </si>
  <si>
    <t>МО "Поселок Алмазный"</t>
  </si>
  <si>
    <t>МО "Жиганский эвенкийский национальный наслег"</t>
  </si>
  <si>
    <t>МО "Село Майя"</t>
  </si>
  <si>
    <t>МО "Поселок Сангар"</t>
  </si>
  <si>
    <t>МО "Оленекский наслег"</t>
  </si>
  <si>
    <t>МО "Тюгясирский наслег"</t>
  </si>
  <si>
    <t>Респ. Саха /Якутия/, г. Нерюнгри, п. Золотинка, ул. Железнодорожная, д. 1</t>
  </si>
  <si>
    <t>Респ. Саха /Якутия/, у. Усть-Алданский, с. Борогонцы, ул. Ленина, д. 34 ЧС</t>
  </si>
  <si>
    <t>Респ. Саха /Якутия/, у. Усть-Алданский, с. Борогонцы, ул. Лонгинова, д. 37 кор.1 ЧС</t>
  </si>
  <si>
    <t>Респ. Саха /Якутия/, г. Нерюнгри, ул. Карла Маркса, д. 14</t>
  </si>
  <si>
    <t>Респ. Саха /Якутия/, г. Нерюнгри, ул. Карла Маркса, д. 14 СПЕЦСЧЕТ</t>
  </si>
  <si>
    <t>Авансы северные районы</t>
  </si>
  <si>
    <t>г. Якутск, ул. Стадухина, д. 80</t>
  </si>
  <si>
    <t>г. Нерюнгри, пр-кт. Дружбы Народов, д. 8, корп. 2</t>
  </si>
  <si>
    <t>г. Якутск, мкр. Марха, ул. Маганский тракт 2 км, д. 1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</si>
  <si>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</si>
  <si>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</si>
  <si>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</si>
  <si>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</si>
  <si>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ул. Дзержинского, д. 21</t>
  </si>
  <si>
    <t>г. Якутск, ул. Дежнева, д. 75</t>
  </si>
  <si>
    <t>г. Якутск, ул. Каландаришвили, д. 25, корп. 1</t>
  </si>
  <si>
    <t>г. Якутск, ул. Каландаришвили, д. 38, корп. 1</t>
  </si>
  <si>
    <t>г. Якутск, ул. Каландаришвили, д. 38, корп. 4</t>
  </si>
  <si>
    <t>г. Якутск, ул. Каландаришвили, д. 40, корп. 2</t>
  </si>
  <si>
    <t>г. Якутск, ул. Каландаришвили, д. 40, корп. 3</t>
  </si>
  <si>
    <t>г. Якутск, ул. Орджоникидзе, д. 46</t>
  </si>
  <si>
    <t>г. Якутск, ул. Кузьмина, д. 26, корп. 3</t>
  </si>
  <si>
    <t>г. Якутск, ул. Кузьмина, д. 34</t>
  </si>
  <si>
    <t>г. Якутск, ул. Кузьмина, д. 34, корп. 1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</si>
  <si>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</si>
  <si>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</si>
  <si>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</si>
  <si>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</si>
  <si>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117</t>
  </si>
  <si>
    <t>г. Якутск, ул. Лермонтова, д. 156, корп. 2</t>
  </si>
  <si>
    <t>г. Якутск, ул. Лонгинова, д. 38</t>
  </si>
  <si>
    <t>г. Якутск, ул. Можайского, д. 17</t>
  </si>
  <si>
    <t>г. Якутск, ул. Можайского, д. 17, корп. 2</t>
  </si>
  <si>
    <t>г. Якутск, ул. Можайского, д. 17, корп. 3</t>
  </si>
  <si>
    <t>г. Якутск, ул. Ново-Карьерная, д. 20, корп. 1</t>
  </si>
  <si>
    <t>г. Якутск, ул. Маяковского, д. 77, корп. 1</t>
  </si>
  <si>
    <t>г. Якутск, ул. Маяковского, д. 96</t>
  </si>
  <si>
    <t>г. Якутск, ул. Ярославского, д. 41</t>
  </si>
  <si>
    <t>ГО Жатай, ул. Северная, д. 21</t>
  </si>
  <si>
    <t>Алданский у, г. Томмот, ул. Семенова, д. 15</t>
  </si>
  <si>
    <t>Анабарский у, с. Саскылах, ул. Октябрьская, д. 7</t>
  </si>
  <si>
    <t>у. Анабарский, с. Саскылах, ул. Октябрьская, д. 7</t>
  </si>
  <si>
    <t>Жиганский у, с. Жиганск, ул. Ойунского, д. 21</t>
  </si>
  <si>
    <t>Жиганский у, с. Жиганск, ул. Ойунского, д. 20</t>
  </si>
  <si>
    <t>Кобяйский у, пгт. Сангар, ул. Советская, д. 4</t>
  </si>
  <si>
    <t>Мегино-Кангаласский у, с. Майя, ул. Степанова, д. 26</t>
  </si>
  <si>
    <t>Мирнинский у, г. Мирный, ул. Ленина, д. 26</t>
  </si>
  <si>
    <t>Мирнинский у, г. Мирный, ул. Ленина, д. 34, корп. б</t>
  </si>
  <si>
    <t>Мирнинский у, г. Мирный, ул. Логовая, д. 156</t>
  </si>
  <si>
    <t>Мирнинский у, п. Алмазный, ул. Гагарина, д. 10</t>
  </si>
  <si>
    <t>Мирнинский у, п. Алмазный, ул. Гагарина, д. 12</t>
  </si>
  <si>
    <t>Мирнинский у, п. Алмазный, ул. Гагарина, д. 14</t>
  </si>
  <si>
    <t>Мирнинский у, п. Алмазный, ул. Гагарина, д. 16</t>
  </si>
  <si>
    <t>Мирнинский у, п. Алмазный, ул. Октябрьская, д. 18</t>
  </si>
  <si>
    <t>Мирнинский у, п. Алмазный, ул. Речная, д. 3, корп. А</t>
  </si>
  <si>
    <t>Мирнинский у, г. Удачный, ул. Мира, д. 12</t>
  </si>
  <si>
    <t>Мирнинский у, г. Удачный, ул. Мира, д. 14</t>
  </si>
  <si>
    <t>Намский у, с. Намцы, ул. Чернышевского, д. 30</t>
  </si>
  <si>
    <t>у. Намский, с. Намцы, ул. Чернышевского, д. 30</t>
  </si>
  <si>
    <t>Оймяконский у, пгт. Усть-Нера, ул. Мацкепладзе, д. 15</t>
  </si>
  <si>
    <t>у. Оймяконский, пгт. Усть-Нера, ул. Мацкепладзе, д. 15</t>
  </si>
  <si>
    <t>Оймяконский у, пгт. Усть-Нера, ул. Мацкепладзе, д. 16</t>
  </si>
  <si>
    <t>у. Оймяконский, пгт. Усть-Нера, ул. Мацкепладзе, д. 16</t>
  </si>
  <si>
    <t>Оймяконский у, с. Куйдусун, д. 3</t>
  </si>
  <si>
    <t>у. Оймяконский, с. Куйдусун, д. 3</t>
  </si>
  <si>
    <t>Оленекский эвенкийский национальный у, с. Оленек, ул. Боескорова, д. 47</t>
  </si>
  <si>
    <t>Чурапчинский у, с. Чурапча, ул. Ленина, д. 39</t>
  </si>
  <si>
    <t>у. Чурапчинский, с. Чурапча, ул. Ленина, д. 39</t>
  </si>
  <si>
    <t>Эвено-Бытантайский Национальный у, с. Батагай-Алыта, ул. Школьная, д. 13</t>
  </si>
  <si>
    <t>Эвено-Бытантайский Национальный у, с. Батагай-Алыта, ул. Школьная, д. 2</t>
  </si>
  <si>
    <t>Министерства ЖКХ и энергетики РС(Я)</t>
  </si>
  <si>
    <t>от  "30" декабря 2022 г.№ 731-ОД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</si>
</sst>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#,##0.00_ ;[Red]\-#,##0.00\ "/>
    <numFmt numFmtId="167" formatCode="#,##0_ ;[Red]\-#,##0\ "/>
    <numFmt numFmtId="168" formatCode="#,##0.0000_ ;[Red]\-#,##0.0000\ "/>
    <numFmt numFmtId="169" formatCode="#,##0.0000000000"/>
    <numFmt numFmtId="170" formatCode="_-* #\ ##0.00_-;\-* #\ ##0.00_-;_-* &quot;-&quot;??_-;_-@_-"/>
    <numFmt numFmtId="171" formatCode="_-* #\ ##0.00\ _₽_-;\-* #\ ##0.00\ _₽_-;_-* &quot;-&quot;??\ _₽_-;_-@_-"/>
    <numFmt numFmtId="172" formatCode="#\ ##0.00_ ;[Red]\-#\ ##0.00\ "/>
    <numFmt numFmtId="173" formatCode="0.00_ ;[Red]\-0.00\ 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9">
    <xf numFmtId="0" fontId="0" fillId="0" borderId="0"/>
    <xf numFmtId="0" fontId="3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0" fontId="3" fillId="0" borderId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1" fillId="0" borderId="0"/>
    <xf numFmtId="0" fontId="17" fillId="0" borderId="0"/>
    <xf numFmtId="0" fontId="11" fillId="0" borderId="0"/>
    <xf numFmtId="0" fontId="2" fillId="0" borderId="0"/>
    <xf numFmtId="0" fontId="1" fillId="0" borderId="0"/>
    <xf numFmtId="0" fontId="23" fillId="0" borderId="0"/>
    <xf numFmtId="0" fontId="10" fillId="0" borderId="0"/>
    <xf numFmtId="0" fontId="11" fillId="0" borderId="0"/>
    <xf numFmtId="0" fontId="24" fillId="0" borderId="0"/>
    <xf numFmtId="0" fontId="24" fillId="0" borderId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221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2" fillId="2" borderId="0" xfId="1" applyFont="1" applyFill="1" applyAlignment="1">
      <alignment horizontal="right"/>
    </xf>
    <xf numFmtId="4" fontId="4" fillId="2" borderId="0" xfId="1" applyNumberFormat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1" xfId="1" applyNumberFormat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/>
    </xf>
    <xf numFmtId="4" fontId="6" fillId="2" borderId="0" xfId="1" applyNumberFormat="1" applyFont="1" applyFill="1" applyAlignment="1">
      <alignment horizontal="center" vertical="top" wrapText="1"/>
    </xf>
    <xf numFmtId="4" fontId="6" fillId="2" borderId="9" xfId="1" applyNumberFormat="1" applyFont="1" applyFill="1" applyBorder="1" applyAlignment="1">
      <alignment vertical="top" wrapText="1"/>
    </xf>
    <xf numFmtId="4" fontId="4" fillId="2" borderId="0" xfId="1" applyNumberFormat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9" xfId="1" applyFont="1" applyFill="1" applyBorder="1"/>
    <xf numFmtId="166" fontId="4" fillId="2" borderId="9" xfId="1" applyNumberFormat="1" applyFont="1" applyFill="1" applyBorder="1"/>
    <xf numFmtId="4" fontId="4" fillId="2" borderId="9" xfId="1" applyNumberFormat="1" applyFont="1" applyFill="1" applyBorder="1"/>
    <xf numFmtId="166" fontId="4" fillId="2" borderId="0" xfId="1" applyNumberFormat="1" applyFont="1" applyFill="1"/>
    <xf numFmtId="166" fontId="4" fillId="2" borderId="10" xfId="1" applyNumberFormat="1" applyFont="1" applyFill="1" applyBorder="1"/>
    <xf numFmtId="4" fontId="7" fillId="2" borderId="9" xfId="1" applyNumberFormat="1" applyFont="1" applyFill="1" applyBorder="1"/>
    <xf numFmtId="166" fontId="7" fillId="2" borderId="9" xfId="1" applyNumberFormat="1" applyFont="1" applyFill="1" applyBorder="1"/>
    <xf numFmtId="166" fontId="7" fillId="2" borderId="10" xfId="1" applyNumberFormat="1" applyFont="1" applyFill="1" applyBorder="1"/>
    <xf numFmtId="4" fontId="14" fillId="2" borderId="5" xfId="0" applyNumberFormat="1" applyFont="1" applyFill="1" applyBorder="1" applyAlignment="1">
      <alignment horizontal="right" vertical="center" wrapText="1"/>
    </xf>
    <xf numFmtId="0" fontId="19" fillId="2" borderId="0" xfId="0" applyFont="1" applyFill="1"/>
    <xf numFmtId="4" fontId="19" fillId="2" borderId="0" xfId="0" applyNumberFormat="1" applyFont="1" applyFill="1"/>
    <xf numFmtId="166" fontId="19" fillId="2" borderId="0" xfId="0" applyNumberFormat="1" applyFont="1" applyFill="1"/>
    <xf numFmtId="0" fontId="4" fillId="2" borderId="0" xfId="1" applyFont="1" applyFill="1" applyAlignment="1">
      <alignment vertical="top"/>
    </xf>
    <xf numFmtId="0" fontId="4" fillId="2" borderId="0" xfId="0" applyFont="1" applyFill="1"/>
    <xf numFmtId="166" fontId="4" fillId="2" borderId="7" xfId="1" applyNumberFormat="1" applyFont="1" applyFill="1" applyBorder="1"/>
    <xf numFmtId="4" fontId="14" fillId="2" borderId="5" xfId="4" applyNumberFormat="1" applyFill="1" applyBorder="1" applyAlignment="1">
      <alignment horizontal="right" vertical="center" wrapText="1"/>
    </xf>
    <xf numFmtId="0" fontId="9" fillId="2" borderId="0" xfId="1" applyFont="1" applyFill="1"/>
    <xf numFmtId="4" fontId="6" fillId="2" borderId="0" xfId="1" applyNumberFormat="1" applyFont="1" applyFill="1"/>
    <xf numFmtId="166" fontId="4" fillId="0" borderId="9" xfId="1" applyNumberFormat="1" applyFont="1" applyBorder="1"/>
    <xf numFmtId="0" fontId="6" fillId="3" borderId="7" xfId="1" applyFont="1" applyFill="1" applyBorder="1" applyAlignment="1">
      <alignment horizontal="center" vertical="top"/>
    </xf>
    <xf numFmtId="0" fontId="6" fillId="3" borderId="7" xfId="1" applyFont="1" applyFill="1" applyBorder="1" applyAlignment="1">
      <alignment horizontal="center" vertical="top" wrapText="1"/>
    </xf>
    <xf numFmtId="4" fontId="6" fillId="3" borderId="7" xfId="1" applyNumberFormat="1" applyFont="1" applyFill="1" applyBorder="1" applyAlignment="1">
      <alignment horizontal="center" vertical="top" wrapText="1"/>
    </xf>
    <xf numFmtId="4" fontId="6" fillId="3" borderId="0" xfId="1" applyNumberFormat="1" applyFont="1" applyFill="1" applyAlignment="1">
      <alignment horizontal="center" vertical="top" wrapText="1"/>
    </xf>
    <xf numFmtId="0" fontId="6" fillId="3" borderId="0" xfId="1" applyFont="1" applyFill="1" applyAlignment="1">
      <alignment horizontal="center" vertical="top"/>
    </xf>
    <xf numFmtId="0" fontId="6" fillId="3" borderId="9" xfId="1" applyFont="1" applyFill="1" applyBorder="1" applyAlignment="1">
      <alignment horizontal="center" vertical="top" wrapText="1"/>
    </xf>
    <xf numFmtId="4" fontId="6" fillId="3" borderId="9" xfId="1" applyNumberFormat="1" applyFont="1" applyFill="1" applyBorder="1" applyAlignment="1">
      <alignment vertical="top" wrapText="1"/>
    </xf>
    <xf numFmtId="4" fontId="6" fillId="3" borderId="18" xfId="1" applyNumberFormat="1" applyFont="1" applyFill="1" applyBorder="1" applyAlignment="1">
      <alignment vertical="top" wrapText="1"/>
    </xf>
    <xf numFmtId="0" fontId="4" fillId="3" borderId="0" xfId="1" applyFont="1" applyFill="1" applyAlignment="1">
      <alignment horizontal="center" vertical="top" wrapText="1"/>
    </xf>
    <xf numFmtId="0" fontId="7" fillId="3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/>
    </xf>
    <xf numFmtId="4" fontId="8" fillId="3" borderId="0" xfId="1" applyNumberFormat="1" applyFont="1" applyFill="1"/>
    <xf numFmtId="166" fontId="6" fillId="3" borderId="0" xfId="1" applyNumberFormat="1" applyFont="1" applyFill="1"/>
    <xf numFmtId="4" fontId="6" fillId="3" borderId="0" xfId="1" applyNumberFormat="1" applyFont="1" applyFill="1"/>
    <xf numFmtId="0" fontId="4" fillId="3" borderId="9" xfId="1" applyFont="1" applyFill="1" applyBorder="1" applyAlignment="1">
      <alignment horizontal="center"/>
    </xf>
    <xf numFmtId="166" fontId="6" fillId="3" borderId="9" xfId="1" applyNumberFormat="1" applyFont="1" applyFill="1" applyBorder="1"/>
    <xf numFmtId="166" fontId="7" fillId="3" borderId="9" xfId="1" applyNumberFormat="1" applyFont="1" applyFill="1" applyBorder="1"/>
    <xf numFmtId="0" fontId="4" fillId="3" borderId="10" xfId="1" applyFont="1" applyFill="1" applyBorder="1" applyAlignment="1">
      <alignment horizontal="center"/>
    </xf>
    <xf numFmtId="166" fontId="4" fillId="3" borderId="0" xfId="1" applyNumberFormat="1" applyFont="1" applyFill="1"/>
    <xf numFmtId="4" fontId="7" fillId="3" borderId="0" xfId="1" applyNumberFormat="1" applyFont="1" applyFill="1"/>
    <xf numFmtId="166" fontId="7" fillId="3" borderId="0" xfId="1" applyNumberFormat="1" applyFont="1" applyFill="1"/>
    <xf numFmtId="166" fontId="4" fillId="3" borderId="9" xfId="1" applyNumberFormat="1" applyFont="1" applyFill="1" applyBorder="1"/>
    <xf numFmtId="166" fontId="7" fillId="0" borderId="9" xfId="1" applyNumberFormat="1" applyFont="1" applyBorder="1"/>
    <xf numFmtId="0" fontId="4" fillId="6" borderId="0" xfId="1" applyFont="1" applyFill="1"/>
    <xf numFmtId="0" fontId="4" fillId="5" borderId="0" xfId="1" applyFont="1" applyFill="1"/>
    <xf numFmtId="0" fontId="4" fillId="4" borderId="0" xfId="1" applyFont="1" applyFill="1"/>
    <xf numFmtId="4" fontId="4" fillId="0" borderId="9" xfId="1" applyNumberFormat="1" applyFont="1" applyBorder="1"/>
    <xf numFmtId="4" fontId="7" fillId="2" borderId="0" xfId="1" applyNumberFormat="1" applyFont="1" applyFill="1"/>
    <xf numFmtId="166" fontId="7" fillId="2" borderId="0" xfId="1" applyNumberFormat="1" applyFont="1" applyFill="1"/>
    <xf numFmtId="168" fontId="4" fillId="0" borderId="9" xfId="1" applyNumberFormat="1" applyFont="1" applyBorder="1"/>
    <xf numFmtId="0" fontId="4" fillId="0" borderId="8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center"/>
    </xf>
    <xf numFmtId="167" fontId="4" fillId="0" borderId="9" xfId="1" applyNumberFormat="1" applyFont="1" applyBorder="1"/>
    <xf numFmtId="0" fontId="4" fillId="0" borderId="10" xfId="1" applyFont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9" fontId="4" fillId="2" borderId="0" xfId="1" applyNumberFormat="1" applyFont="1" applyFill="1" applyAlignment="1">
      <alignment horizontal="center" vertical="top" wrapText="1"/>
    </xf>
    <xf numFmtId="166" fontId="7" fillId="7" borderId="9" xfId="1" applyNumberFormat="1" applyFont="1" applyFill="1" applyBorder="1"/>
    <xf numFmtId="166" fontId="4" fillId="7" borderId="9" xfId="1" applyNumberFormat="1" applyFont="1" applyFill="1" applyBorder="1"/>
    <xf numFmtId="3" fontId="4" fillId="2" borderId="0" xfId="1" applyNumberFormat="1" applyFont="1" applyFill="1" applyAlignment="1">
      <alignment horizontal="center" vertical="top" wrapText="1"/>
    </xf>
    <xf numFmtId="166" fontId="4" fillId="7" borderId="0" xfId="1" applyNumberFormat="1" applyFont="1" applyFill="1"/>
    <xf numFmtId="0" fontId="4" fillId="7" borderId="0" xfId="1" applyFont="1" applyFill="1"/>
    <xf numFmtId="4" fontId="7" fillId="7" borderId="9" xfId="1" applyNumberFormat="1" applyFont="1" applyFill="1" applyBorder="1"/>
    <xf numFmtId="166" fontId="7" fillId="7" borderId="10" xfId="1" applyNumberFormat="1" applyFont="1" applyFill="1" applyBorder="1"/>
    <xf numFmtId="4" fontId="4" fillId="7" borderId="0" xfId="1" applyNumberFormat="1" applyFont="1" applyFill="1" applyAlignment="1">
      <alignment horizontal="center" vertical="top" wrapText="1"/>
    </xf>
    <xf numFmtId="0" fontId="19" fillId="3" borderId="0" xfId="0" applyFont="1" applyFill="1"/>
    <xf numFmtId="0" fontId="19" fillId="0" borderId="0" xfId="0" applyFont="1"/>
    <xf numFmtId="4" fontId="4" fillId="0" borderId="0" xfId="1" applyNumberFormat="1" applyFont="1" applyAlignment="1">
      <alignment vertical="top"/>
    </xf>
    <xf numFmtId="4" fontId="19" fillId="0" borderId="0" xfId="0" applyNumberFormat="1" applyFont="1"/>
    <xf numFmtId="4" fontId="4" fillId="0" borderId="0" xfId="1" applyNumberFormat="1" applyFont="1"/>
    <xf numFmtId="4" fontId="19" fillId="8" borderId="0" xfId="0" applyNumberFormat="1" applyFont="1" applyFill="1"/>
    <xf numFmtId="4" fontId="4" fillId="5" borderId="9" xfId="1" applyNumberFormat="1" applyFont="1" applyFill="1" applyBorder="1"/>
    <xf numFmtId="49" fontId="19" fillId="0" borderId="5" xfId="0" applyNumberFormat="1" applyFont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left" vertical="center" wrapText="1"/>
    </xf>
    <xf numFmtId="4" fontId="19" fillId="0" borderId="5" xfId="0" applyNumberFormat="1" applyFont="1" applyBorder="1" applyAlignment="1">
      <alignment horizontal="right" vertical="center" wrapText="1"/>
    </xf>
    <xf numFmtId="0" fontId="4" fillId="9" borderId="5" xfId="1" applyFont="1" applyFill="1" applyBorder="1"/>
    <xf numFmtId="166" fontId="4" fillId="0" borderId="5" xfId="1" applyNumberFormat="1" applyFont="1" applyBorder="1"/>
    <xf numFmtId="0" fontId="19" fillId="0" borderId="5" xfId="0" applyFont="1" applyBorder="1"/>
    <xf numFmtId="166" fontId="7" fillId="0" borderId="5" xfId="1" applyNumberFormat="1" applyFont="1" applyBorder="1"/>
    <xf numFmtId="0" fontId="4" fillId="6" borderId="5" xfId="1" applyFont="1" applyFill="1" applyBorder="1"/>
    <xf numFmtId="0" fontId="4" fillId="0" borderId="5" xfId="1" applyFont="1" applyBorder="1" applyAlignment="1">
      <alignment horizontal="center" vertical="top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19" fillId="10" borderId="5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2" borderId="0" xfId="1" applyFont="1" applyFill="1" applyAlignment="1">
      <alignment horizontal="right"/>
    </xf>
    <xf numFmtId="4" fontId="0" fillId="0" borderId="0" xfId="0" applyNumberFormat="1"/>
    <xf numFmtId="4" fontId="6" fillId="0" borderId="9" xfId="1" applyNumberFormat="1" applyFont="1" applyBorder="1"/>
    <xf numFmtId="4" fontId="6" fillId="2" borderId="21" xfId="1" applyNumberFormat="1" applyFont="1" applyFill="1" applyBorder="1" applyAlignment="1">
      <alignment vertical="top" wrapText="1"/>
    </xf>
    <xf numFmtId="4" fontId="6" fillId="2" borderId="0" xfId="1" applyNumberFormat="1" applyFont="1" applyFill="1" applyAlignment="1">
      <alignment vertical="top" wrapText="1"/>
    </xf>
    <xf numFmtId="0" fontId="6" fillId="3" borderId="23" xfId="1" applyFont="1" applyFill="1" applyBorder="1" applyAlignment="1">
      <alignment horizontal="center" vertical="top" wrapText="1"/>
    </xf>
    <xf numFmtId="4" fontId="6" fillId="3" borderId="21" xfId="1" applyNumberFormat="1" applyFont="1" applyFill="1" applyBorder="1" applyAlignment="1">
      <alignment vertical="top" wrapText="1"/>
    </xf>
    <xf numFmtId="4" fontId="6" fillId="3" borderId="0" xfId="1" applyNumberFormat="1" applyFont="1" applyFill="1" applyAlignment="1">
      <alignment vertical="top" wrapText="1"/>
    </xf>
    <xf numFmtId="0" fontId="4" fillId="0" borderId="24" xfId="1" applyFont="1" applyBorder="1"/>
    <xf numFmtId="0" fontId="4" fillId="0" borderId="24" xfId="1" applyFont="1" applyBorder="1" applyAlignment="1">
      <alignment horizontal="center"/>
    </xf>
    <xf numFmtId="166" fontId="4" fillId="0" borderId="24" xfId="1" applyNumberFormat="1" applyFont="1" applyBorder="1"/>
    <xf numFmtId="167" fontId="4" fillId="0" borderId="24" xfId="1" applyNumberFormat="1" applyFont="1" applyBorder="1"/>
    <xf numFmtId="4" fontId="6" fillId="2" borderId="0" xfId="1" applyNumberFormat="1" applyFont="1" applyFill="1" applyAlignment="1">
      <alignment horizontal="center" vertical="center"/>
    </xf>
    <xf numFmtId="4" fontId="7" fillId="0" borderId="9" xfId="1" applyNumberFormat="1" applyFont="1" applyBorder="1"/>
    <xf numFmtId="49" fontId="19" fillId="0" borderId="5" xfId="0" applyNumberFormat="1" applyFont="1" applyBorder="1" applyAlignment="1">
      <alignment horizontal="left" vertical="center" wrapText="1"/>
    </xf>
    <xf numFmtId="172" fontId="7" fillId="0" borderId="9" xfId="1" applyNumberFormat="1" applyFont="1" applyBorder="1"/>
    <xf numFmtId="3" fontId="7" fillId="0" borderId="9" xfId="1" applyNumberFormat="1" applyFont="1" applyBorder="1"/>
    <xf numFmtId="3" fontId="7" fillId="0" borderId="8" xfId="1" applyNumberFormat="1" applyFont="1" applyBorder="1"/>
    <xf numFmtId="0" fontId="7" fillId="0" borderId="9" xfId="1" applyFont="1" applyBorder="1"/>
    <xf numFmtId="0" fontId="7" fillId="0" borderId="8" xfId="1" applyFont="1" applyBorder="1"/>
    <xf numFmtId="166" fontId="7" fillId="0" borderId="10" xfId="1" applyNumberFormat="1" applyFont="1" applyBorder="1"/>
    <xf numFmtId="172" fontId="4" fillId="0" borderId="9" xfId="1" applyNumberFormat="1" applyFont="1" applyBorder="1"/>
    <xf numFmtId="172" fontId="7" fillId="0" borderId="10" xfId="1" applyNumberFormat="1" applyFont="1" applyBorder="1"/>
    <xf numFmtId="166" fontId="9" fillId="0" borderId="9" xfId="1" applyNumberFormat="1" applyFont="1" applyBorder="1"/>
    <xf numFmtId="0" fontId="7" fillId="0" borderId="19" xfId="1" applyFont="1" applyBorder="1"/>
    <xf numFmtId="0" fontId="7" fillId="0" borderId="7" xfId="1" applyFont="1" applyBorder="1"/>
    <xf numFmtId="0" fontId="4" fillId="0" borderId="7" xfId="1" applyFont="1" applyBorder="1"/>
    <xf numFmtId="4" fontId="7" fillId="0" borderId="7" xfId="1" applyNumberFormat="1" applyFont="1" applyBorder="1"/>
    <xf numFmtId="166" fontId="4" fillId="0" borderId="7" xfId="1" applyNumberFormat="1" applyFont="1" applyBorder="1"/>
    <xf numFmtId="166" fontId="7" fillId="0" borderId="7" xfId="1" applyNumberFormat="1" applyFont="1" applyBorder="1"/>
    <xf numFmtId="166" fontId="7" fillId="0" borderId="20" xfId="1" applyNumberFormat="1" applyFont="1" applyBorder="1"/>
    <xf numFmtId="49" fontId="19" fillId="0" borderId="0" xfId="0" applyNumberFormat="1" applyFont="1" applyAlignment="1">
      <alignment horizontal="left" vertical="center" wrapText="1"/>
    </xf>
    <xf numFmtId="4" fontId="7" fillId="0" borderId="21" xfId="1" applyNumberFormat="1" applyFont="1" applyBorder="1"/>
    <xf numFmtId="0" fontId="4" fillId="0" borderId="10" xfId="1" applyFont="1" applyBorder="1"/>
    <xf numFmtId="0" fontId="9" fillId="0" borderId="9" xfId="1" applyFont="1" applyBorder="1"/>
    <xf numFmtId="166" fontId="4" fillId="0" borderId="10" xfId="1" applyNumberFormat="1" applyFont="1" applyBorder="1"/>
    <xf numFmtId="0" fontId="9" fillId="0" borderId="0" xfId="1" applyFont="1"/>
    <xf numFmtId="0" fontId="4" fillId="0" borderId="5" xfId="1" applyFont="1" applyBorder="1"/>
    <xf numFmtId="166" fontId="4" fillId="11" borderId="9" xfId="1" applyNumberFormat="1" applyFont="1" applyFill="1" applyBorder="1"/>
    <xf numFmtId="173" fontId="4" fillId="2" borderId="0" xfId="1" applyNumberFormat="1" applyFont="1" applyFill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173" fontId="6" fillId="2" borderId="0" xfId="1" applyNumberFormat="1" applyFont="1" applyFill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6" fontId="4" fillId="0" borderId="9" xfId="1" applyNumberFormat="1" applyFont="1" applyFill="1" applyBorder="1"/>
    <xf numFmtId="166" fontId="7" fillId="0" borderId="9" xfId="1" applyNumberFormat="1" applyFont="1" applyFill="1" applyBorder="1"/>
    <xf numFmtId="166" fontId="9" fillId="0" borderId="9" xfId="1" applyNumberFormat="1" applyFont="1" applyFill="1" applyBorder="1"/>
    <xf numFmtId="172" fontId="7" fillId="0" borderId="9" xfId="1" applyNumberFormat="1" applyFont="1" applyFill="1" applyBorder="1"/>
    <xf numFmtId="0" fontId="4" fillId="0" borderId="0" xfId="1" applyFont="1" applyFill="1"/>
    <xf numFmtId="0" fontId="4" fillId="0" borderId="21" xfId="1" applyFont="1" applyBorder="1"/>
    <xf numFmtId="0" fontId="4" fillId="0" borderId="23" xfId="1" applyFont="1" applyBorder="1" applyAlignment="1">
      <alignment horizontal="center"/>
    </xf>
    <xf numFmtId="0" fontId="6" fillId="3" borderId="11" xfId="1" applyFont="1" applyFill="1" applyBorder="1" applyAlignment="1">
      <alignment horizontal="center" vertical="top"/>
    </xf>
    <xf numFmtId="0" fontId="6" fillId="3" borderId="0" xfId="1" applyFont="1" applyFill="1" applyAlignment="1">
      <alignment horizontal="center" vertical="top" wrapText="1"/>
    </xf>
    <xf numFmtId="165" fontId="6" fillId="3" borderId="9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4" fontId="6" fillId="3" borderId="9" xfId="1" applyNumberFormat="1" applyFont="1" applyFill="1" applyBorder="1" applyAlignment="1">
      <alignment horizontal="center" vertical="top" wrapText="1"/>
    </xf>
    <xf numFmtId="4" fontId="6" fillId="3" borderId="25" xfId="1" applyNumberFormat="1" applyFont="1" applyFill="1" applyBorder="1" applyAlignment="1">
      <alignment horizontal="center" vertical="top" wrapText="1"/>
    </xf>
    <xf numFmtId="0" fontId="6" fillId="3" borderId="25" xfId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166" fontId="4" fillId="4" borderId="9" xfId="1" applyNumberFormat="1" applyFont="1" applyFill="1" applyBorder="1"/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15" xfId="1" applyNumberFormat="1" applyFont="1" applyFill="1" applyBorder="1" applyAlignment="1">
      <alignment horizontal="center" vertical="center" wrapText="1"/>
    </xf>
    <xf numFmtId="4" fontId="6" fillId="2" borderId="16" xfId="1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top" wrapText="1"/>
    </xf>
    <xf numFmtId="4" fontId="6" fillId="2" borderId="4" xfId="1" applyNumberFormat="1" applyFont="1" applyFill="1" applyBorder="1" applyAlignment="1">
      <alignment horizontal="center" vertical="top" wrapText="1"/>
    </xf>
    <xf numFmtId="4" fontId="6" fillId="2" borderId="6" xfId="1" applyNumberFormat="1" applyFont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/>
    </xf>
    <xf numFmtId="49" fontId="21" fillId="0" borderId="0" xfId="0" applyNumberFormat="1" applyFont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4" fillId="0" borderId="9" xfId="1" applyFont="1" applyFill="1" applyBorder="1"/>
    <xf numFmtId="0" fontId="4" fillId="0" borderId="9" xfId="1" applyFont="1" applyFill="1" applyBorder="1" applyAlignment="1">
      <alignment horizontal="center"/>
    </xf>
    <xf numFmtId="167" fontId="4" fillId="0" borderId="9" xfId="1" applyNumberFormat="1" applyFont="1" applyFill="1" applyBorder="1"/>
    <xf numFmtId="4" fontId="7" fillId="0" borderId="9" xfId="1" applyNumberFormat="1" applyFont="1" applyFill="1" applyBorder="1"/>
    <xf numFmtId="49" fontId="20" fillId="0" borderId="0" xfId="0" applyNumberFormat="1" applyFont="1" applyAlignment="1">
      <alignment vertical="center" wrapText="1"/>
    </xf>
    <xf numFmtId="0" fontId="6" fillId="3" borderId="18" xfId="1" applyFont="1" applyFill="1" applyBorder="1" applyAlignment="1">
      <alignment horizontal="center" vertical="top" wrapText="1"/>
    </xf>
    <xf numFmtId="3" fontId="6" fillId="3" borderId="25" xfId="1" applyNumberFormat="1" applyFont="1" applyFill="1" applyBorder="1" applyAlignment="1">
      <alignment horizontal="center" vertical="top" wrapText="1"/>
    </xf>
    <xf numFmtId="165" fontId="6" fillId="3" borderId="7" xfId="1" applyNumberFormat="1" applyFont="1" applyFill="1" applyBorder="1" applyAlignment="1">
      <alignment horizontal="center" vertical="top" wrapText="1"/>
    </xf>
  </cellXfs>
  <cellStyles count="2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4 4" xfId="20"/>
    <cellStyle name="Обычный 5" xfId="5"/>
    <cellStyle name="Обычный 5 2" xfId="17"/>
    <cellStyle name="Обычный 5 2 2" xfId="22"/>
    <cellStyle name="Обычный 5 3" xfId="21"/>
    <cellStyle name="Обычный 6" xfId="18"/>
    <cellStyle name="Обычный 6 2" xfId="23"/>
    <cellStyle name="Обычный 7" xfId="19"/>
    <cellStyle name="Процентный 2" xfId="10"/>
    <cellStyle name="Процентный 2 2" xfId="24"/>
    <cellStyle name="Финансовый 2" xfId="11"/>
    <cellStyle name="Финансовый 2 2" xfId="25"/>
    <cellStyle name="Финансовый 3" xfId="8"/>
    <cellStyle name="Финансовый 3 2" xfId="26"/>
    <cellStyle name="Финансовый 4" xfId="9"/>
    <cellStyle name="Финансовый 4 2" xfId="27"/>
    <cellStyle name="Финансовый 4 5" xfId="7"/>
    <cellStyle name="Финансовый 4 5 2" xfId="28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EB5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&#1060;&#1072;&#1081;&#1083;&#1086;&#1086;&#1073;&#1084;&#1077;&#1085;(&#1085;&#1086;&#1074;&#1099;&#1081;)\&#1054;&#1090;&#1076;&#1077;&#1083;%20&#1072;&#1082;&#1090;&#1091;&#1072;&#1083;&#1080;&#1079;&#1072;&#1094;&#1080;&#1080;%20&#1087;&#1088;&#1086;&#1075;&#1088;&#1072;&#1084;&#1084;\&#1053;&#1072;&#1084;&#1099;&#1083;&#1086;&#1074;%20&#1070;.%20&#1048;\&#1054;&#1090;%20&#1059;&#1078;&#1080;&#1085;&#1089;&#1082;&#1086;&#1081;\&#1050;&#1055;&#1050;&#1056;%202022-24\&#1055;&#1086;&#1089;&#1083;&#1077;%20&#1056;&#1055;&#1050;&#1056;\&#1055;&#1088;&#1086;&#1077;&#1082;&#1090;%20&#1050;&#1055;&#1050;&#1056;%202022-2024%20&#1074;%20&#1052;&#1046;&#1050;&#1061;%20&#1076;&#1077;&#1082;%20&#1053;&#1070;&#1048;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6;&#1077;&#1077;&#1089;&#1090;&#1088;%20&#1079;&#1072;%20&#1076;&#1077;&#1082;&#1072;&#1073;&#1088;&#1100;%202%20&#1090;&#1088;&#1072;&#1085;&#10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_&#1048;&#1058;&#1054;&#1043;%20&#1080;&#1079;&#1084;&#1077;&#1085;0211%20&#1086;&#1087;&#1083;&#1072;&#1090;&#1099;%20&#1080;&#1089;&#1090;%2028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41;&#1091;&#1093;&#1075;&#1072;&#1083;&#1090;&#1077;&#1088;&#1080;&#1103;\&#1060;&#1072;&#1081;&#1083;&#1099;%20&#1073;&#1091;&#1093;&#1075;&#1072;&#1083;&#1090;&#1077;&#1088;&#1080;&#1080;\&#1041;&#1091;&#1093;&#1075;&#1072;&#1083;&#1090;&#1077;&#1088;&#1080;&#1103;\&#1047;&#1072;&#1103;&#1074;&#1082;&#1080;%20&#1085;&#1072;%20&#1043;&#1041;\&#1086;&#1089;&#1074;&#1086;&#1077;&#1085;&#1080;&#1077;%20&#1089;&#1088;&#1077;&#1076;&#1089;&#1090;&#1074;%20&#1089;&#1091;&#1073;&#1089;&#1080;&#1076;&#1080;&#1080;%202022%20&#1075;&#1086;&#1076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55">
          <cell r="P455">
            <v>708248.36999999965</v>
          </cell>
        </row>
        <row r="474">
          <cell r="P474">
            <v>3230114.3299999996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4">
          <cell r="P654">
            <v>34433389.130800001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18">
          <cell r="P718">
            <v>11025353.929999998</v>
          </cell>
        </row>
        <row r="721">
          <cell r="P721">
            <v>19605046.867199995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3">
          <cell r="P913">
            <v>4227643.7600000016</v>
          </cell>
        </row>
        <row r="915">
          <cell r="P915">
            <v>4756032.2523279293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2">
          <cell r="P992">
            <v>63171748.709999993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48">
          <cell r="P1048">
            <v>14922326.689999994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0">
          <cell r="P1140">
            <v>617261.36340000015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1">
          <cell r="P1181">
            <v>3587960.17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8">
          <cell r="P1198">
            <v>2932084.9300000016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8">
          <cell r="P1228">
            <v>17520837.330000002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2">
          <cell r="P1242">
            <v>338876.07000000007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12">
          <cell r="P1312">
            <v>3813339251.1703095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4">
          <cell r="P1364">
            <v>4942188.7322580125</v>
          </cell>
        </row>
        <row r="1386">
          <cell r="P1386">
            <v>2013540.8075999999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36">
          <cell r="P1436">
            <v>4923239.2420000006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5">
          <cell r="P1445">
            <v>5199734.1926600011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2">
          <cell r="P1512">
            <v>3714881.6653999998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3">
          <cell r="P1533">
            <v>3153258.7056000005</v>
          </cell>
        </row>
        <row r="1539">
          <cell r="P1539">
            <v>5551.6368277781876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78">
          <cell r="P1578">
            <v>4361255.6000000006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89">
          <cell r="P1589">
            <v>27489822.586400006</v>
          </cell>
        </row>
        <row r="1590">
          <cell r="P1590">
            <v>10424808.700199999</v>
          </cell>
        </row>
        <row r="1591">
          <cell r="P1591">
            <v>9986140.8715999983</v>
          </cell>
        </row>
        <row r="1593">
          <cell r="P1593">
            <v>8110844.3503000019</v>
          </cell>
        </row>
        <row r="1595">
          <cell r="P1595">
            <v>3496013.9699999988</v>
          </cell>
        </row>
        <row r="1597">
          <cell r="P1597">
            <v>8637162.3732000012</v>
          </cell>
        </row>
        <row r="1599">
          <cell r="P1599">
            <v>3063647.7300000014</v>
          </cell>
        </row>
        <row r="1601">
          <cell r="P1601">
            <v>11275433.331199998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07">
          <cell r="P1607">
            <v>16044820.771</v>
          </cell>
        </row>
        <row r="1611">
          <cell r="P1611">
            <v>11508263.838699998</v>
          </cell>
        </row>
        <row r="1612">
          <cell r="P1612">
            <v>11505911.161999999</v>
          </cell>
        </row>
        <row r="1613">
          <cell r="P1613">
            <v>11456952.842400001</v>
          </cell>
        </row>
        <row r="1614">
          <cell r="P1614">
            <v>10528654.4848</v>
          </cell>
        </row>
        <row r="1615">
          <cell r="P1615">
            <v>11016215.039819999</v>
          </cell>
        </row>
        <row r="1616">
          <cell r="P1616">
            <v>11419408.833599998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0">
          <cell r="P1620">
            <v>10411206.070800005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4">
          <cell r="P1624">
            <v>4486777.7899999991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37">
          <cell r="P1637">
            <v>9034111.7484000009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4">
          <cell r="P1734">
            <v>3876184.6499999994</v>
          </cell>
        </row>
        <row r="1735">
          <cell r="P1735">
            <v>3844942.65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</sheetNames>
    <sheetDataSet>
      <sheetData sheetId="0" refreshError="1"/>
      <sheetData sheetId="1">
        <row r="359">
          <cell r="E359">
            <v>16781782.57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3"/>
      <sheetName val="Лист2"/>
      <sheetName val="Прил 2 оконч"/>
      <sheetName val="Лист1"/>
      <sheetName val="Приложение №3"/>
      <sheetName val="ПСД 21"/>
    </sheetNames>
    <sheetDataSet>
      <sheetData sheetId="0">
        <row r="485">
          <cell r="N485">
            <v>2403779.8799999994</v>
          </cell>
        </row>
      </sheetData>
      <sheetData sheetId="1">
        <row r="485">
          <cell r="E485">
            <v>2403779.88</v>
          </cell>
        </row>
      </sheetData>
      <sheetData sheetId="2" refreshError="1"/>
      <sheetData sheetId="3" refreshError="1"/>
      <sheetData sheetId="4">
        <row r="485">
          <cell r="E485">
            <v>2403779.8799999994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 3"/>
      <sheetName val="Приложение № 4"/>
      <sheetName val="Лист1"/>
    </sheetNames>
    <sheetDataSet>
      <sheetData sheetId="0"/>
      <sheetData sheetId="1"/>
      <sheetData sheetId="2"/>
      <sheetData sheetId="3">
        <row r="13">
          <cell r="E13">
            <v>1765327.31</v>
          </cell>
        </row>
        <row r="14">
          <cell r="E14">
            <v>628645.94999999995</v>
          </cell>
        </row>
        <row r="15">
          <cell r="E15">
            <v>1379242.0499999998</v>
          </cell>
        </row>
        <row r="16">
          <cell r="E16">
            <v>560136.63000000012</v>
          </cell>
        </row>
        <row r="17">
          <cell r="E17">
            <v>441934.27</v>
          </cell>
        </row>
        <row r="18">
          <cell r="E18">
            <v>514059.43000000005</v>
          </cell>
        </row>
        <row r="19">
          <cell r="E19">
            <v>539082.57716751983</v>
          </cell>
        </row>
        <row r="20">
          <cell r="E20">
            <v>413345.9236279992</v>
          </cell>
        </row>
        <row r="21">
          <cell r="E21">
            <v>360975.41000000003</v>
          </cell>
        </row>
        <row r="22">
          <cell r="E22">
            <v>365115.69</v>
          </cell>
        </row>
        <row r="23">
          <cell r="E23">
            <v>1132940.07</v>
          </cell>
        </row>
        <row r="24">
          <cell r="E24">
            <v>1019590.6252053897</v>
          </cell>
        </row>
        <row r="25">
          <cell r="E25">
            <v>584127.39066321694</v>
          </cell>
        </row>
        <row r="26">
          <cell r="E26">
            <v>194947.9</v>
          </cell>
        </row>
        <row r="27">
          <cell r="E27">
            <v>544797.25</v>
          </cell>
        </row>
        <row r="28">
          <cell r="E28">
            <v>750904.93</v>
          </cell>
        </row>
        <row r="29">
          <cell r="E29">
            <v>334516.96000000002</v>
          </cell>
        </row>
        <row r="30">
          <cell r="E30">
            <v>325945.57</v>
          </cell>
        </row>
        <row r="31">
          <cell r="E31">
            <v>608400.32000000007</v>
          </cell>
        </row>
        <row r="32">
          <cell r="E32">
            <v>322133.13</v>
          </cell>
        </row>
        <row r="33">
          <cell r="E33">
            <v>496837.23</v>
          </cell>
        </row>
        <row r="34">
          <cell r="E34">
            <v>552243.46</v>
          </cell>
        </row>
        <row r="35">
          <cell r="E35">
            <v>834540.31</v>
          </cell>
        </row>
        <row r="36">
          <cell r="E36">
            <v>678517.30999999994</v>
          </cell>
        </row>
        <row r="37">
          <cell r="E37">
            <v>626355.59000000008</v>
          </cell>
        </row>
        <row r="38">
          <cell r="E38">
            <v>612556.79</v>
          </cell>
        </row>
        <row r="39">
          <cell r="E39">
            <v>613418.62000000011</v>
          </cell>
        </row>
        <row r="40">
          <cell r="E40">
            <v>254259.8</v>
          </cell>
        </row>
        <row r="41">
          <cell r="E41">
            <v>228321.53</v>
          </cell>
        </row>
        <row r="42">
          <cell r="E42">
            <v>322420.25</v>
          </cell>
        </row>
        <row r="43">
          <cell r="E43">
            <v>269093.41000000003</v>
          </cell>
        </row>
        <row r="44">
          <cell r="E44">
            <v>268599.84999999998</v>
          </cell>
        </row>
        <row r="45">
          <cell r="E45">
            <v>863995.04</v>
          </cell>
        </row>
        <row r="46">
          <cell r="E46">
            <v>322757.76000000001</v>
          </cell>
        </row>
        <row r="47">
          <cell r="E47">
            <v>332755.06</v>
          </cell>
        </row>
        <row r="48">
          <cell r="E48">
            <v>998050.20000000019</v>
          </cell>
        </row>
        <row r="49">
          <cell r="E49">
            <v>460868.39999999997</v>
          </cell>
        </row>
        <row r="50">
          <cell r="E50">
            <v>796517.34</v>
          </cell>
        </row>
        <row r="51">
          <cell r="E51">
            <v>382753.72860983951</v>
          </cell>
        </row>
        <row r="52">
          <cell r="E52">
            <v>1418184.5214474853</v>
          </cell>
        </row>
        <row r="53">
          <cell r="E53">
            <v>706531.21580926236</v>
          </cell>
        </row>
        <row r="54">
          <cell r="E54">
            <v>469117.85018307797</v>
          </cell>
        </row>
        <row r="55">
          <cell r="E55">
            <v>1383529.4714977562</v>
          </cell>
        </row>
        <row r="56">
          <cell r="E56">
            <v>450951.80070266448</v>
          </cell>
        </row>
        <row r="57">
          <cell r="E57">
            <v>427851.16874364635</v>
          </cell>
        </row>
        <row r="58">
          <cell r="E58">
            <v>1329258.7059235161</v>
          </cell>
        </row>
        <row r="59">
          <cell r="E59">
            <v>1434629.2921652414</v>
          </cell>
        </row>
        <row r="60">
          <cell r="E60">
            <v>451412.75421461329</v>
          </cell>
        </row>
        <row r="61">
          <cell r="E61">
            <v>267582.33999999997</v>
          </cell>
        </row>
        <row r="62">
          <cell r="E62">
            <v>477598.53011454962</v>
          </cell>
        </row>
        <row r="63">
          <cell r="E63">
            <v>1292424.21</v>
          </cell>
        </row>
        <row r="64">
          <cell r="E64">
            <v>1060645.6500000001</v>
          </cell>
        </row>
        <row r="65">
          <cell r="E65">
            <v>747051.57000000007</v>
          </cell>
        </row>
        <row r="66">
          <cell r="E66">
            <v>309619.23</v>
          </cell>
        </row>
        <row r="67">
          <cell r="E67">
            <v>579578.69999999995</v>
          </cell>
        </row>
        <row r="68">
          <cell r="E68">
            <v>347451.22</v>
          </cell>
        </row>
        <row r="69">
          <cell r="E69">
            <v>400458.23</v>
          </cell>
        </row>
        <row r="70">
          <cell r="E70">
            <v>644109.07000000007</v>
          </cell>
        </row>
        <row r="71">
          <cell r="E71">
            <v>645433.58000000007</v>
          </cell>
        </row>
        <row r="72">
          <cell r="E72">
            <v>489797.92999999993</v>
          </cell>
        </row>
        <row r="73">
          <cell r="E73">
            <v>510180.1</v>
          </cell>
        </row>
        <row r="74">
          <cell r="E74">
            <v>291856.58</v>
          </cell>
        </row>
        <row r="75">
          <cell r="E75">
            <v>628730.09</v>
          </cell>
        </row>
        <row r="76">
          <cell r="E76">
            <v>679433.91</v>
          </cell>
        </row>
        <row r="77">
          <cell r="E77">
            <v>352064.63038420893</v>
          </cell>
        </row>
        <row r="78">
          <cell r="E78">
            <v>355412.14547568292</v>
          </cell>
        </row>
        <row r="79">
          <cell r="E79">
            <v>354985.9572117221</v>
          </cell>
        </row>
        <row r="80">
          <cell r="E80">
            <v>330088.81371888478</v>
          </cell>
        </row>
        <row r="81">
          <cell r="E81">
            <v>364408.59228401899</v>
          </cell>
        </row>
        <row r="82">
          <cell r="E82">
            <v>382905.16293991776</v>
          </cell>
        </row>
        <row r="83">
          <cell r="E83">
            <v>30258.98</v>
          </cell>
        </row>
        <row r="84">
          <cell r="E84">
            <v>570579.72</v>
          </cell>
        </row>
        <row r="85">
          <cell r="E85">
            <v>356159.53</v>
          </cell>
        </row>
        <row r="86">
          <cell r="E86">
            <v>315921.42</v>
          </cell>
        </row>
        <row r="87">
          <cell r="E87">
            <v>398499.78</v>
          </cell>
        </row>
        <row r="88">
          <cell r="E88">
            <v>569954.38</v>
          </cell>
        </row>
        <row r="89">
          <cell r="E89">
            <v>335675.75441553449</v>
          </cell>
        </row>
        <row r="90">
          <cell r="E90">
            <v>349563.7261175625</v>
          </cell>
        </row>
        <row r="91">
          <cell r="E91">
            <v>341642.39011098578</v>
          </cell>
        </row>
        <row r="92">
          <cell r="E92">
            <v>459705.43000000005</v>
          </cell>
        </row>
        <row r="93">
          <cell r="E93">
            <v>166703.26</v>
          </cell>
        </row>
        <row r="94">
          <cell r="E94">
            <v>173573.47</v>
          </cell>
        </row>
        <row r="95">
          <cell r="E95">
            <v>779598.42999999993</v>
          </cell>
        </row>
        <row r="96">
          <cell r="E96">
            <v>1035363.46</v>
          </cell>
        </row>
        <row r="97">
          <cell r="E97">
            <v>412442.82787746476</v>
          </cell>
        </row>
        <row r="98">
          <cell r="E98">
            <v>314561.06</v>
          </cell>
        </row>
        <row r="99">
          <cell r="E99">
            <v>816121.81</v>
          </cell>
        </row>
        <row r="100">
          <cell r="E100">
            <v>527866.23</v>
          </cell>
        </row>
        <row r="101">
          <cell r="E101">
            <v>425235.56999999995</v>
          </cell>
        </row>
        <row r="102">
          <cell r="E102">
            <v>894975.79999999993</v>
          </cell>
        </row>
        <row r="103">
          <cell r="E103">
            <v>298717.92</v>
          </cell>
        </row>
        <row r="104">
          <cell r="E104">
            <v>658104.89</v>
          </cell>
        </row>
        <row r="105">
          <cell r="E105">
            <v>1389861.8</v>
          </cell>
        </row>
        <row r="106">
          <cell r="E106">
            <v>409917.87</v>
          </cell>
        </row>
        <row r="107">
          <cell r="E107">
            <v>181853.98</v>
          </cell>
        </row>
        <row r="108">
          <cell r="E108">
            <v>316118.53000000003</v>
          </cell>
        </row>
        <row r="109">
          <cell r="E109">
            <v>344861.6</v>
          </cell>
        </row>
        <row r="110">
          <cell r="E110">
            <v>284554.5</v>
          </cell>
        </row>
        <row r="111">
          <cell r="E111">
            <v>316646.27999999997</v>
          </cell>
        </row>
        <row r="112">
          <cell r="E112">
            <v>213070.32</v>
          </cell>
        </row>
        <row r="113">
          <cell r="E113">
            <v>777051.21</v>
          </cell>
        </row>
        <row r="114">
          <cell r="E114">
            <v>112633.63</v>
          </cell>
        </row>
        <row r="115">
          <cell r="E115">
            <v>495351.51</v>
          </cell>
        </row>
        <row r="116">
          <cell r="E116">
            <v>219585.07</v>
          </cell>
        </row>
        <row r="117">
          <cell r="E117">
            <v>979401.28</v>
          </cell>
        </row>
        <row r="118">
          <cell r="E118">
            <v>1060519.5599999998</v>
          </cell>
        </row>
        <row r="119">
          <cell r="E119">
            <v>1130630.8899999999</v>
          </cell>
        </row>
        <row r="120">
          <cell r="E120">
            <v>1051018.73</v>
          </cell>
        </row>
        <row r="121">
          <cell r="E121">
            <v>865571.13</v>
          </cell>
        </row>
        <row r="122">
          <cell r="E122">
            <v>206798.07999999999</v>
          </cell>
        </row>
        <row r="123">
          <cell r="E123">
            <v>630100.6</v>
          </cell>
        </row>
        <row r="124">
          <cell r="E124">
            <v>24000</v>
          </cell>
        </row>
        <row r="125">
          <cell r="E125">
            <v>24000</v>
          </cell>
        </row>
        <row r="126">
          <cell r="E126">
            <v>24000</v>
          </cell>
        </row>
        <row r="127">
          <cell r="E127">
            <v>24000</v>
          </cell>
        </row>
        <row r="128">
          <cell r="E128">
            <v>24000</v>
          </cell>
        </row>
        <row r="129">
          <cell r="E129">
            <v>1182275.27</v>
          </cell>
        </row>
        <row r="130">
          <cell r="E130">
            <v>1178062.1200000001</v>
          </cell>
        </row>
        <row r="131">
          <cell r="E131">
            <v>125146.44</v>
          </cell>
        </row>
        <row r="132">
          <cell r="E132">
            <v>124408.54</v>
          </cell>
        </row>
        <row r="133">
          <cell r="E133">
            <v>253995.31</v>
          </cell>
        </row>
        <row r="134">
          <cell r="E134">
            <v>278945.83999999997</v>
          </cell>
        </row>
        <row r="135">
          <cell r="E135">
            <v>428137.96</v>
          </cell>
        </row>
        <row r="136">
          <cell r="E136">
            <v>218514.1</v>
          </cell>
        </row>
        <row r="137">
          <cell r="E137">
            <v>960875.90000000014</v>
          </cell>
        </row>
        <row r="138">
          <cell r="E138">
            <v>1217591.97</v>
          </cell>
        </row>
        <row r="139">
          <cell r="E139">
            <v>967772.2200000002</v>
          </cell>
        </row>
        <row r="140">
          <cell r="E140">
            <v>1355397.4700000002</v>
          </cell>
        </row>
        <row r="141">
          <cell r="E141">
            <v>158258.59</v>
          </cell>
        </row>
        <row r="142">
          <cell r="E142">
            <v>375445.14</v>
          </cell>
        </row>
        <row r="143">
          <cell r="E143">
            <v>486303.72</v>
          </cell>
        </row>
        <row r="144">
          <cell r="E144">
            <v>522136.27999999997</v>
          </cell>
        </row>
        <row r="145">
          <cell r="E145">
            <v>1162265.5899999999</v>
          </cell>
        </row>
        <row r="146">
          <cell r="E146">
            <v>1514631.2099999997</v>
          </cell>
        </row>
        <row r="147">
          <cell r="E147">
            <v>576659.44999999995</v>
          </cell>
        </row>
        <row r="148">
          <cell r="E148">
            <v>48000</v>
          </cell>
        </row>
        <row r="149">
          <cell r="E149">
            <v>24000</v>
          </cell>
        </row>
        <row r="150">
          <cell r="E150">
            <v>24000</v>
          </cell>
        </row>
        <row r="151">
          <cell r="E151">
            <v>24000</v>
          </cell>
        </row>
        <row r="152">
          <cell r="E152">
            <v>24000</v>
          </cell>
        </row>
        <row r="153">
          <cell r="E153">
            <v>24000</v>
          </cell>
        </row>
        <row r="154">
          <cell r="E154">
            <v>24000</v>
          </cell>
        </row>
        <row r="155">
          <cell r="E155">
            <v>24000</v>
          </cell>
        </row>
        <row r="156">
          <cell r="E156">
            <v>819121.35000000021</v>
          </cell>
        </row>
        <row r="157">
          <cell r="E157">
            <v>573364.16</v>
          </cell>
        </row>
        <row r="158">
          <cell r="E158">
            <v>523999.34</v>
          </cell>
        </row>
        <row r="159">
          <cell r="E159">
            <v>550735.69999999995</v>
          </cell>
        </row>
        <row r="160">
          <cell r="E160">
            <v>635450.6</v>
          </cell>
        </row>
        <row r="161">
          <cell r="E161">
            <v>486902.27999999991</v>
          </cell>
        </row>
        <row r="162">
          <cell r="E162">
            <v>1413561.83</v>
          </cell>
        </row>
        <row r="163">
          <cell r="E163">
            <v>512696.55000000005</v>
          </cell>
        </row>
        <row r="164">
          <cell r="E164">
            <v>951248.59999999986</v>
          </cell>
        </row>
        <row r="165">
          <cell r="E165">
            <v>266552.34999999998</v>
          </cell>
        </row>
        <row r="166">
          <cell r="E166">
            <v>1612207.31</v>
          </cell>
        </row>
        <row r="167">
          <cell r="E167">
            <v>1234956.9000000001</v>
          </cell>
        </row>
        <row r="168">
          <cell r="E168">
            <v>536165.37</v>
          </cell>
        </row>
        <row r="169">
          <cell r="E169">
            <v>810630.17</v>
          </cell>
        </row>
        <row r="170">
          <cell r="E170">
            <v>841259.35</v>
          </cell>
        </row>
        <row r="171">
          <cell r="E171">
            <v>486381.39</v>
          </cell>
        </row>
        <row r="172">
          <cell r="E172">
            <v>287836.49</v>
          </cell>
        </row>
        <row r="173">
          <cell r="E173">
            <v>407307.97</v>
          </cell>
        </row>
        <row r="174">
          <cell r="E174">
            <v>349636.26</v>
          </cell>
        </row>
        <row r="175">
          <cell r="E175">
            <v>127875.57</v>
          </cell>
        </row>
        <row r="176">
          <cell r="E176">
            <v>149898.04999999999</v>
          </cell>
        </row>
        <row r="177">
          <cell r="E177">
            <v>137096.17000000001</v>
          </cell>
        </row>
        <row r="178">
          <cell r="E178">
            <v>117982</v>
          </cell>
        </row>
        <row r="179">
          <cell r="E179">
            <v>109894.5</v>
          </cell>
        </row>
        <row r="180">
          <cell r="E180">
            <v>51713.97</v>
          </cell>
        </row>
        <row r="181">
          <cell r="E181">
            <v>27618.76</v>
          </cell>
        </row>
        <row r="182">
          <cell r="E182">
            <v>54759.17</v>
          </cell>
        </row>
        <row r="183">
          <cell r="E183">
            <v>54727.43</v>
          </cell>
        </row>
        <row r="184">
          <cell r="E184">
            <v>136538.59</v>
          </cell>
        </row>
        <row r="185">
          <cell r="E185">
            <v>113183.56</v>
          </cell>
        </row>
        <row r="186">
          <cell r="E186">
            <v>93857</v>
          </cell>
        </row>
        <row r="187">
          <cell r="E187">
            <v>120164.31</v>
          </cell>
        </row>
        <row r="188">
          <cell r="E188">
            <v>97271.89</v>
          </cell>
        </row>
        <row r="189">
          <cell r="E189">
            <v>143204.79999999999</v>
          </cell>
        </row>
        <row r="190">
          <cell r="E190">
            <v>52602.23</v>
          </cell>
        </row>
        <row r="191">
          <cell r="E191">
            <v>759551.38000000012</v>
          </cell>
        </row>
        <row r="192">
          <cell r="E192">
            <v>158663.30000000002</v>
          </cell>
        </row>
        <row r="193">
          <cell r="E193">
            <v>90391.22</v>
          </cell>
        </row>
        <row r="194">
          <cell r="E194">
            <v>165401.01999999999</v>
          </cell>
        </row>
        <row r="195">
          <cell r="E195">
            <v>208906.47999999998</v>
          </cell>
        </row>
        <row r="196">
          <cell r="E196">
            <v>208225.19</v>
          </cell>
        </row>
        <row r="197">
          <cell r="E197">
            <v>291527.46999999997</v>
          </cell>
        </row>
        <row r="198">
          <cell r="E198">
            <v>234212.08000000002</v>
          </cell>
        </row>
        <row r="199">
          <cell r="E199">
            <v>406095.02</v>
          </cell>
        </row>
        <row r="200">
          <cell r="E200">
            <v>1383147.26</v>
          </cell>
        </row>
        <row r="201">
          <cell r="E201">
            <v>82537.200845238855</v>
          </cell>
        </row>
        <row r="202">
          <cell r="E202">
            <v>145201.22</v>
          </cell>
        </row>
        <row r="203">
          <cell r="E203">
            <v>435346.44</v>
          </cell>
        </row>
        <row r="204">
          <cell r="E204">
            <v>112223.26582337829</v>
          </cell>
        </row>
        <row r="205">
          <cell r="E205">
            <v>1336365.3899999999</v>
          </cell>
        </row>
        <row r="206">
          <cell r="E206">
            <v>1977855.4499999997</v>
          </cell>
        </row>
        <row r="207">
          <cell r="E207">
            <v>401324.47</v>
          </cell>
        </row>
        <row r="208">
          <cell r="E208">
            <v>270010.12</v>
          </cell>
        </row>
        <row r="209">
          <cell r="E209">
            <v>161111.72</v>
          </cell>
        </row>
        <row r="210">
          <cell r="E210">
            <v>159616.04999999999</v>
          </cell>
        </row>
        <row r="211">
          <cell r="E211">
            <v>163637.26999999999</v>
          </cell>
        </row>
        <row r="212">
          <cell r="E212">
            <v>244655.29</v>
          </cell>
        </row>
        <row r="213">
          <cell r="E213">
            <v>202894.83</v>
          </cell>
        </row>
        <row r="214">
          <cell r="E214">
            <v>139588.24</v>
          </cell>
        </row>
        <row r="215">
          <cell r="E215">
            <v>134430.18</v>
          </cell>
        </row>
        <row r="216">
          <cell r="E216">
            <v>113169.23</v>
          </cell>
        </row>
        <row r="217">
          <cell r="E217">
            <v>375830.81</v>
          </cell>
        </row>
        <row r="218">
          <cell r="E218">
            <v>252162.69</v>
          </cell>
        </row>
        <row r="219">
          <cell r="E219">
            <v>201169.38</v>
          </cell>
        </row>
        <row r="220">
          <cell r="E220">
            <v>352845.43</v>
          </cell>
        </row>
        <row r="221">
          <cell r="E221">
            <v>252532.38999999998</v>
          </cell>
        </row>
        <row r="222">
          <cell r="E222">
            <v>380273.64</v>
          </cell>
        </row>
        <row r="223">
          <cell r="E223">
            <v>148651.82</v>
          </cell>
        </row>
        <row r="224">
          <cell r="E224">
            <v>356869.12000000005</v>
          </cell>
        </row>
        <row r="225">
          <cell r="E225">
            <v>390055.05</v>
          </cell>
        </row>
        <row r="226">
          <cell r="E226">
            <v>480430.27000000008</v>
          </cell>
        </row>
        <row r="227">
          <cell r="E227">
            <v>377148.54</v>
          </cell>
        </row>
        <row r="228">
          <cell r="E228">
            <v>259197.48</v>
          </cell>
        </row>
        <row r="229">
          <cell r="E229">
            <v>253253.27000000002</v>
          </cell>
        </row>
        <row r="230">
          <cell r="E230">
            <v>888060.27999999991</v>
          </cell>
        </row>
        <row r="231">
          <cell r="E231">
            <v>365040.37</v>
          </cell>
        </row>
        <row r="232">
          <cell r="E232">
            <v>237999.66</v>
          </cell>
        </row>
        <row r="233">
          <cell r="E233">
            <v>219802.34000000003</v>
          </cell>
        </row>
        <row r="234">
          <cell r="E234">
            <v>492619.01999999996</v>
          </cell>
        </row>
        <row r="235">
          <cell r="E235">
            <v>913803.31999999983</v>
          </cell>
        </row>
        <row r="236">
          <cell r="E236">
            <v>447467.5</v>
          </cell>
        </row>
        <row r="237">
          <cell r="E237">
            <v>330031.41000000003</v>
          </cell>
        </row>
        <row r="238">
          <cell r="E238">
            <v>489810.22000000009</v>
          </cell>
        </row>
        <row r="239">
          <cell r="E239">
            <v>265087.77</v>
          </cell>
        </row>
        <row r="240">
          <cell r="E240">
            <v>151227.33000000002</v>
          </cell>
        </row>
        <row r="241">
          <cell r="E241">
            <v>347385.10000000003</v>
          </cell>
        </row>
        <row r="242">
          <cell r="E242">
            <v>228991.22</v>
          </cell>
        </row>
        <row r="243">
          <cell r="E243">
            <v>243246.87000000002</v>
          </cell>
        </row>
        <row r="244">
          <cell r="E244">
            <v>247222.07</v>
          </cell>
        </row>
        <row r="245">
          <cell r="E245">
            <v>249477.59</v>
          </cell>
        </row>
        <row r="246">
          <cell r="E246">
            <v>249497.74000000005</v>
          </cell>
        </row>
        <row r="247">
          <cell r="E247">
            <v>24000</v>
          </cell>
        </row>
        <row r="248">
          <cell r="E248">
            <v>361702.52</v>
          </cell>
        </row>
        <row r="249">
          <cell r="E249">
            <v>267536.37</v>
          </cell>
        </row>
        <row r="250">
          <cell r="E250">
            <v>106870.23</v>
          </cell>
        </row>
        <row r="251">
          <cell r="E251">
            <v>159665.22</v>
          </cell>
        </row>
        <row r="252">
          <cell r="E252">
            <v>295192.57</v>
          </cell>
        </row>
        <row r="253">
          <cell r="E253">
            <v>490976.17999999993</v>
          </cell>
        </row>
        <row r="254">
          <cell r="E254">
            <v>525619.65</v>
          </cell>
        </row>
        <row r="255">
          <cell r="E255">
            <v>935051.49</v>
          </cell>
        </row>
        <row r="256">
          <cell r="E256">
            <v>136292.94</v>
          </cell>
        </row>
        <row r="257">
          <cell r="E257">
            <v>134720.23000000001</v>
          </cell>
        </row>
        <row r="258">
          <cell r="E258">
            <v>519241.49000000005</v>
          </cell>
        </row>
        <row r="259">
          <cell r="E259">
            <v>695202.3</v>
          </cell>
        </row>
        <row r="260">
          <cell r="E260">
            <v>363410.07</v>
          </cell>
        </row>
        <row r="261">
          <cell r="E261">
            <v>176664.86</v>
          </cell>
        </row>
        <row r="262">
          <cell r="E262">
            <v>302018.38</v>
          </cell>
        </row>
        <row r="263">
          <cell r="E263">
            <v>143935.49000000002</v>
          </cell>
        </row>
        <row r="264">
          <cell r="E264">
            <v>130555.51999999999</v>
          </cell>
        </row>
        <row r="265">
          <cell r="E265">
            <v>303189.93</v>
          </cell>
        </row>
        <row r="266">
          <cell r="E266">
            <v>171877.99</v>
          </cell>
        </row>
        <row r="267">
          <cell r="E267">
            <v>272770.56</v>
          </cell>
        </row>
        <row r="268">
          <cell r="E268">
            <v>403501.25</v>
          </cell>
        </row>
        <row r="269">
          <cell r="E269">
            <v>261102.09</v>
          </cell>
        </row>
        <row r="270">
          <cell r="E270">
            <v>757264.42999999993</v>
          </cell>
        </row>
        <row r="271">
          <cell r="E271">
            <v>247238.84</v>
          </cell>
        </row>
        <row r="272">
          <cell r="E272">
            <v>142668.31</v>
          </cell>
        </row>
        <row r="273">
          <cell r="E273">
            <v>644876.55000000005</v>
          </cell>
        </row>
        <row r="274">
          <cell r="E274">
            <v>165696.95999999999</v>
          </cell>
        </row>
        <row r="275">
          <cell r="E275">
            <v>268177.34059008001</v>
          </cell>
        </row>
        <row r="276">
          <cell r="E276">
            <v>226580.60883839999</v>
          </cell>
        </row>
        <row r="277">
          <cell r="E277">
            <v>221565.7494528</v>
          </cell>
        </row>
        <row r="278">
          <cell r="E278">
            <v>287712.29393664002</v>
          </cell>
        </row>
        <row r="279">
          <cell r="E279">
            <v>277763.57585664</v>
          </cell>
        </row>
        <row r="280">
          <cell r="E280">
            <v>218024.09335680003</v>
          </cell>
        </row>
        <row r="281">
          <cell r="E281">
            <v>394760.17777919996</v>
          </cell>
        </row>
        <row r="282">
          <cell r="E282">
            <v>208540.08387089521</v>
          </cell>
        </row>
        <row r="283">
          <cell r="E283">
            <v>41034.599999999991</v>
          </cell>
        </row>
        <row r="284">
          <cell r="E284">
            <v>541814.91922176001</v>
          </cell>
        </row>
        <row r="285">
          <cell r="E285">
            <v>268357.36501248</v>
          </cell>
        </row>
        <row r="286">
          <cell r="E286">
            <v>287280.23532288003</v>
          </cell>
        </row>
        <row r="287">
          <cell r="E287">
            <v>281461.13080186542</v>
          </cell>
        </row>
        <row r="288">
          <cell r="E288">
            <v>287831.67855359998</v>
          </cell>
        </row>
        <row r="289">
          <cell r="E289">
            <v>322815.71727245557</v>
          </cell>
        </row>
        <row r="290">
          <cell r="E290">
            <v>241502.54621568002</v>
          </cell>
        </row>
        <row r="291">
          <cell r="E291">
            <v>898204.23633291502</v>
          </cell>
        </row>
        <row r="292">
          <cell r="E292">
            <v>913643.51444501453</v>
          </cell>
        </row>
        <row r="293">
          <cell r="E293">
            <v>139829.15</v>
          </cell>
        </row>
        <row r="294">
          <cell r="E294">
            <v>325345.75</v>
          </cell>
        </row>
        <row r="295">
          <cell r="E295">
            <v>193273.23000000004</v>
          </cell>
        </row>
        <row r="296">
          <cell r="E296">
            <v>220690.63999999998</v>
          </cell>
        </row>
        <row r="297">
          <cell r="E297">
            <v>71066.701252655272</v>
          </cell>
        </row>
        <row r="298">
          <cell r="E298">
            <v>122177.85</v>
          </cell>
        </row>
        <row r="299">
          <cell r="E299">
            <v>1068939.3299999998</v>
          </cell>
        </row>
        <row r="300">
          <cell r="E300">
            <v>1564470.2899999998</v>
          </cell>
        </row>
        <row r="301">
          <cell r="E301">
            <v>1865203.4000000004</v>
          </cell>
        </row>
        <row r="302">
          <cell r="E302">
            <v>1393697.61</v>
          </cell>
        </row>
        <row r="303">
          <cell r="E303">
            <v>806648.31</v>
          </cell>
        </row>
        <row r="304">
          <cell r="E304">
            <v>1049040.8400000003</v>
          </cell>
        </row>
        <row r="305">
          <cell r="E305">
            <v>1047879.7699999999</v>
          </cell>
        </row>
        <row r="306">
          <cell r="E306">
            <v>1048133.78</v>
          </cell>
        </row>
        <row r="307">
          <cell r="E307">
            <v>1048629.6599999999</v>
          </cell>
        </row>
        <row r="308">
          <cell r="E308">
            <v>179293.58000000002</v>
          </cell>
        </row>
        <row r="309">
          <cell r="E309">
            <v>403663.92</v>
          </cell>
        </row>
        <row r="310">
          <cell r="E310">
            <v>826844.93</v>
          </cell>
        </row>
        <row r="311">
          <cell r="E311">
            <v>1817294.191355854</v>
          </cell>
        </row>
        <row r="312">
          <cell r="E312">
            <v>1811193.5735314607</v>
          </cell>
        </row>
        <row r="313">
          <cell r="E313">
            <v>504784.84</v>
          </cell>
        </row>
        <row r="314">
          <cell r="E314">
            <v>181262.38999999998</v>
          </cell>
        </row>
        <row r="315">
          <cell r="E315">
            <v>429328.74</v>
          </cell>
        </row>
        <row r="316">
          <cell r="E316">
            <v>773009.77523200004</v>
          </cell>
        </row>
        <row r="317">
          <cell r="E317">
            <v>364412.2</v>
          </cell>
        </row>
        <row r="318">
          <cell r="E318">
            <v>370434.04000000004</v>
          </cell>
        </row>
        <row r="319">
          <cell r="E319">
            <v>188929.96000000002</v>
          </cell>
        </row>
        <row r="320">
          <cell r="E320">
            <v>189106.75999999998</v>
          </cell>
        </row>
        <row r="321">
          <cell r="E321">
            <v>471293.04</v>
          </cell>
        </row>
        <row r="322">
          <cell r="E322">
            <v>420969.74</v>
          </cell>
        </row>
        <row r="323">
          <cell r="E323">
            <v>422368.42000000004</v>
          </cell>
        </row>
        <row r="324">
          <cell r="E324">
            <v>421146.89999999997</v>
          </cell>
        </row>
        <row r="325">
          <cell r="E325">
            <v>420842.81</v>
          </cell>
        </row>
        <row r="326">
          <cell r="E326">
            <v>474068.29999999993</v>
          </cell>
        </row>
        <row r="327">
          <cell r="E327">
            <v>187169.13</v>
          </cell>
        </row>
        <row r="328">
          <cell r="E328">
            <v>422492.39</v>
          </cell>
        </row>
        <row r="329">
          <cell r="E329">
            <v>409879.29560779349</v>
          </cell>
        </row>
        <row r="330">
          <cell r="E330">
            <v>408815.86045963498</v>
          </cell>
        </row>
        <row r="331">
          <cell r="E331">
            <v>2172802.8698562942</v>
          </cell>
        </row>
        <row r="332">
          <cell r="E332">
            <v>934622.45</v>
          </cell>
        </row>
        <row r="333">
          <cell r="E333">
            <v>911565.37420800002</v>
          </cell>
        </row>
        <row r="334">
          <cell r="E334">
            <v>496809.09589427832</v>
          </cell>
        </row>
        <row r="335">
          <cell r="E335">
            <v>16983.28</v>
          </cell>
        </row>
        <row r="336">
          <cell r="E336">
            <v>160776.678912</v>
          </cell>
        </row>
        <row r="337">
          <cell r="E337">
            <v>1773207.5725510609</v>
          </cell>
        </row>
        <row r="338">
          <cell r="E338">
            <v>864133.50417568884</v>
          </cell>
        </row>
        <row r="339">
          <cell r="E339">
            <v>1357951.5</v>
          </cell>
        </row>
        <row r="340">
          <cell r="E340">
            <v>1007589.79</v>
          </cell>
        </row>
        <row r="341">
          <cell r="E341">
            <v>935653.96</v>
          </cell>
        </row>
        <row r="342">
          <cell r="E342">
            <v>190555.65</v>
          </cell>
        </row>
        <row r="343">
          <cell r="E343">
            <v>140632.47</v>
          </cell>
        </row>
        <row r="344">
          <cell r="E344">
            <v>46838</v>
          </cell>
        </row>
        <row r="345">
          <cell r="E345">
            <v>442120.36</v>
          </cell>
        </row>
        <row r="346">
          <cell r="E346">
            <v>153059.96000000002</v>
          </cell>
        </row>
        <row r="347">
          <cell r="E347">
            <v>213448.34</v>
          </cell>
        </row>
        <row r="348">
          <cell r="E348">
            <v>153772.23000000001</v>
          </cell>
        </row>
        <row r="349">
          <cell r="E349">
            <v>104296.5</v>
          </cell>
        </row>
        <row r="350">
          <cell r="E350">
            <v>161679.23000000001</v>
          </cell>
        </row>
        <row r="351">
          <cell r="E351">
            <v>66155.19</v>
          </cell>
        </row>
        <row r="352">
          <cell r="E352">
            <v>552937.23</v>
          </cell>
        </row>
        <row r="353">
          <cell r="E353">
            <v>553802.07999999996</v>
          </cell>
        </row>
        <row r="354">
          <cell r="E354">
            <v>576194.22</v>
          </cell>
        </row>
        <row r="355">
          <cell r="E355">
            <v>466481.40988416004</v>
          </cell>
        </row>
        <row r="356">
          <cell r="E356">
            <v>568211.22844800004</v>
          </cell>
        </row>
        <row r="357">
          <cell r="E357">
            <v>568012.34</v>
          </cell>
        </row>
        <row r="358">
          <cell r="E358">
            <v>381208.15876160114</v>
          </cell>
        </row>
        <row r="359">
          <cell r="E359">
            <v>324873.81914350996</v>
          </cell>
        </row>
        <row r="360">
          <cell r="E360">
            <v>1851214.5910470171</v>
          </cell>
        </row>
        <row r="361">
          <cell r="E361">
            <v>77313.759999999995</v>
          </cell>
        </row>
        <row r="362">
          <cell r="E362">
            <v>85409.67</v>
          </cell>
        </row>
        <row r="363">
          <cell r="E363">
            <v>143639</v>
          </cell>
        </row>
        <row r="364">
          <cell r="E364">
            <v>188216.97</v>
          </cell>
        </row>
        <row r="365">
          <cell r="E365">
            <v>130976.76</v>
          </cell>
        </row>
        <row r="366">
          <cell r="E366">
            <v>455299.98</v>
          </cell>
        </row>
        <row r="367">
          <cell r="E367">
            <v>1132732.07</v>
          </cell>
        </row>
        <row r="368">
          <cell r="E368">
            <v>1137143.08</v>
          </cell>
        </row>
        <row r="369">
          <cell r="E369">
            <v>1133197.49</v>
          </cell>
        </row>
        <row r="370">
          <cell r="E370">
            <v>1385746.94</v>
          </cell>
        </row>
        <row r="371">
          <cell r="E371">
            <v>1143521.6100000001</v>
          </cell>
        </row>
        <row r="372">
          <cell r="E372">
            <v>1198330.0999999999</v>
          </cell>
        </row>
        <row r="373">
          <cell r="E373">
            <v>343290.73</v>
          </cell>
        </row>
        <row r="374">
          <cell r="E374">
            <v>286990.15000000002</v>
          </cell>
        </row>
        <row r="375">
          <cell r="E375">
            <v>231559.53999999998</v>
          </cell>
        </row>
        <row r="376">
          <cell r="E376">
            <v>227216.73</v>
          </cell>
        </row>
        <row r="377">
          <cell r="E377">
            <v>188310.15</v>
          </cell>
        </row>
        <row r="378">
          <cell r="E378">
            <v>1150935.7799999998</v>
          </cell>
        </row>
        <row r="379">
          <cell r="E379">
            <v>338593.19</v>
          </cell>
        </row>
        <row r="380">
          <cell r="E380">
            <v>133997.25</v>
          </cell>
        </row>
        <row r="381">
          <cell r="E381">
            <v>134321.91999999998</v>
          </cell>
        </row>
        <row r="382">
          <cell r="E382">
            <v>499228.68</v>
          </cell>
        </row>
        <row r="383">
          <cell r="E383">
            <v>559606.71</v>
          </cell>
        </row>
        <row r="384">
          <cell r="E384">
            <v>233973.65</v>
          </cell>
        </row>
        <row r="385">
          <cell r="E385">
            <v>233740.11000000002</v>
          </cell>
        </row>
        <row r="386">
          <cell r="E386">
            <v>181002.58000000002</v>
          </cell>
        </row>
        <row r="387">
          <cell r="E387">
            <v>180630.75</v>
          </cell>
        </row>
        <row r="388">
          <cell r="E388">
            <v>861634.79</v>
          </cell>
        </row>
        <row r="389">
          <cell r="E389">
            <v>177214.19</v>
          </cell>
        </row>
        <row r="390">
          <cell r="E390">
            <v>128755.15</v>
          </cell>
        </row>
        <row r="391">
          <cell r="E391">
            <v>791799.27999999991</v>
          </cell>
        </row>
        <row r="392">
          <cell r="E392">
            <v>490805.02999999997</v>
          </cell>
        </row>
        <row r="393">
          <cell r="E393">
            <v>579805.47</v>
          </cell>
        </row>
        <row r="394">
          <cell r="E394">
            <v>790606.31</v>
          </cell>
        </row>
        <row r="395">
          <cell r="E395">
            <v>494691.55</v>
          </cell>
        </row>
        <row r="396">
          <cell r="E396">
            <v>307550.40000000002</v>
          </cell>
        </row>
        <row r="397">
          <cell r="E397">
            <v>34592.04</v>
          </cell>
        </row>
        <row r="398">
          <cell r="E398">
            <v>45408.83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I6">
            <v>3030178.26</v>
          </cell>
        </row>
        <row r="8">
          <cell r="I8">
            <v>4393109.2</v>
          </cell>
        </row>
        <row r="11">
          <cell r="I11">
            <v>681444.46</v>
          </cell>
        </row>
        <row r="15">
          <cell r="I15">
            <v>4026047.4499999997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95">
          <cell r="E95">
            <v>1951145.62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5">
          <cell r="E205">
            <v>6811333.4311456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08">
          <cell r="E208">
            <v>7067481.4247552007</v>
          </cell>
        </row>
        <row r="209">
          <cell r="E209">
            <v>9836573.3408351988</v>
          </cell>
        </row>
        <row r="210">
          <cell r="E210">
            <v>1515743.2999999998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1">
          <cell r="E661">
            <v>9452787.0787584018</v>
          </cell>
        </row>
        <row r="662">
          <cell r="E662">
            <v>40764810.27565439</v>
          </cell>
        </row>
        <row r="663">
          <cell r="E663">
            <v>3178020.5913953963</v>
          </cell>
        </row>
        <row r="664">
          <cell r="E664">
            <v>6722291.6544528576</v>
          </cell>
        </row>
        <row r="665">
          <cell r="E665">
            <v>6646803.0982000139</v>
          </cell>
        </row>
        <row r="666">
          <cell r="E666">
            <v>20571336.182255037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</sheetNames>
    <sheetDataSet>
      <sheetData sheetId="0">
        <row r="100">
          <cell r="P100">
            <v>474969.93999999994</v>
          </cell>
          <cell r="Q100"/>
          <cell r="R100">
            <v>552763.5</v>
          </cell>
          <cell r="S100">
            <v>4170712.467582101</v>
          </cell>
          <cell r="T100">
            <v>0</v>
          </cell>
        </row>
        <row r="149">
          <cell r="P149"/>
          <cell r="Q149"/>
          <cell r="R149">
            <v>204954.46</v>
          </cell>
          <cell r="S149">
            <v>70591.750000000029</v>
          </cell>
          <cell r="T149">
            <v>0</v>
          </cell>
        </row>
        <row r="209">
          <cell r="P209">
            <v>7389025.9417176796</v>
          </cell>
          <cell r="R209">
            <v>889526.11</v>
          </cell>
          <cell r="S209">
            <v>5307120</v>
          </cell>
          <cell r="T209">
            <v>6556494.6882823221</v>
          </cell>
        </row>
        <row r="210">
          <cell r="Q210">
            <v>0</v>
          </cell>
          <cell r="R210">
            <v>1967279.13</v>
          </cell>
          <cell r="S210">
            <v>3768862.2462418592</v>
          </cell>
        </row>
        <row r="211">
          <cell r="P211">
            <v>5182536.9001926761</v>
          </cell>
          <cell r="Q211">
            <v>0</v>
          </cell>
          <cell r="R211">
            <v>483541.2</v>
          </cell>
          <cell r="T211">
            <v>5741487.44067859</v>
          </cell>
        </row>
        <row r="212">
          <cell r="P212">
            <v>5072123.3467405867</v>
          </cell>
          <cell r="Q212">
            <v>0</v>
          </cell>
          <cell r="R212">
            <v>475014</v>
          </cell>
          <cell r="S212">
            <v>5942965.7594202757</v>
          </cell>
          <cell r="T212">
            <v>0</v>
          </cell>
        </row>
        <row r="213">
          <cell r="P213">
            <v>7782041.3511919565</v>
          </cell>
          <cell r="Q213">
            <v>0</v>
          </cell>
          <cell r="R213">
            <v>323401.2</v>
          </cell>
          <cell r="T213">
            <v>206932.47440980951</v>
          </cell>
        </row>
        <row r="214">
          <cell r="P214">
            <v>478248.08737109351</v>
          </cell>
          <cell r="R214">
            <v>732918.84</v>
          </cell>
          <cell r="S214">
            <v>1981604.6151416251</v>
          </cell>
        </row>
        <row r="215">
          <cell r="R215">
            <v>2885461.1399999997</v>
          </cell>
          <cell r="S215">
            <v>4175735.648797377</v>
          </cell>
          <cell r="T215">
            <v>0</v>
          </cell>
        </row>
        <row r="216">
          <cell r="P216">
            <v>1120717.4520800433</v>
          </cell>
          <cell r="Q216">
            <v>0</v>
          </cell>
          <cell r="R216">
            <v>1473604.42</v>
          </cell>
          <cell r="S216">
            <v>15593760</v>
          </cell>
          <cell r="T216">
            <v>758291.81924074329</v>
          </cell>
        </row>
        <row r="217">
          <cell r="P217">
            <v>1586711.6355164612</v>
          </cell>
          <cell r="Q217">
            <v>0</v>
          </cell>
          <cell r="R217">
            <v>1815383.5899999999</v>
          </cell>
          <cell r="S217">
            <v>16841160</v>
          </cell>
          <cell r="T217">
            <v>1514049.7429102063</v>
          </cell>
        </row>
        <row r="218">
          <cell r="P218">
            <v>1385807.9601764705</v>
          </cell>
          <cell r="Q218">
            <v>0</v>
          </cell>
          <cell r="R218">
            <v>1723427.12</v>
          </cell>
          <cell r="S218">
            <v>14612040</v>
          </cell>
          <cell r="T218">
            <v>1670685.0264633894</v>
          </cell>
        </row>
        <row r="219">
          <cell r="P219">
            <v>1423763.6988494929</v>
          </cell>
          <cell r="Q219">
            <v>0</v>
          </cell>
          <cell r="R219">
            <v>1519004.0299999998</v>
          </cell>
          <cell r="S219">
            <v>15083280</v>
          </cell>
          <cell r="T219">
            <v>1608872.8244636636</v>
          </cell>
        </row>
        <row r="220">
          <cell r="P220">
            <v>1428537.26925231</v>
          </cell>
          <cell r="Q220">
            <v>0</v>
          </cell>
          <cell r="R220">
            <v>1661944.5499999998</v>
          </cell>
          <cell r="S220">
            <v>14587920</v>
          </cell>
          <cell r="T220">
            <v>1764613.934796799</v>
          </cell>
        </row>
        <row r="221">
          <cell r="P221">
            <v>935511.44753736479</v>
          </cell>
          <cell r="Q221">
            <v>0</v>
          </cell>
          <cell r="R221">
            <v>1041519.8300000001</v>
          </cell>
          <cell r="S221">
            <v>9579960</v>
          </cell>
          <cell r="T221">
            <v>1654915.0662350245</v>
          </cell>
        </row>
        <row r="222">
          <cell r="R222">
            <v>1943422.02</v>
          </cell>
          <cell r="S222">
            <v>830760.81019038707</v>
          </cell>
          <cell r="T222">
            <v>0</v>
          </cell>
        </row>
        <row r="223">
          <cell r="R223">
            <v>1857150.5096</v>
          </cell>
          <cell r="S223">
            <v>83939.170239231782</v>
          </cell>
          <cell r="T223">
            <v>0</v>
          </cell>
        </row>
        <row r="224">
          <cell r="R224">
            <v>1325372.3700000001</v>
          </cell>
          <cell r="S224">
            <v>2617432.0234862673</v>
          </cell>
          <cell r="T224">
            <v>0</v>
          </cell>
        </row>
        <row r="225">
          <cell r="R225">
            <v>1960747.23</v>
          </cell>
          <cell r="S225">
            <v>972570.26266483217</v>
          </cell>
          <cell r="T225">
            <v>0</v>
          </cell>
        </row>
        <row r="226">
          <cell r="R226">
            <v>6651991.1786065921</v>
          </cell>
          <cell r="S226">
            <v>0</v>
          </cell>
          <cell r="T226">
            <v>4.6566128730773926E-10</v>
          </cell>
        </row>
        <row r="227">
          <cell r="R227">
            <v>1443415.5630734027</v>
          </cell>
          <cell r="S227">
            <v>1371982.1239788854</v>
          </cell>
          <cell r="T227">
            <v>1.1641532182693481E-10</v>
          </cell>
        </row>
        <row r="228">
          <cell r="P228">
            <v>2375276.4681759998</v>
          </cell>
          <cell r="R228">
            <v>2523266.9500000002</v>
          </cell>
          <cell r="S228">
            <v>187022.45319296606</v>
          </cell>
          <cell r="T228">
            <v>0</v>
          </cell>
        </row>
        <row r="229">
          <cell r="R229">
            <v>1586967.3900000001</v>
          </cell>
          <cell r="S229">
            <v>2338295.9027938559</v>
          </cell>
          <cell r="T229">
            <v>0</v>
          </cell>
        </row>
        <row r="230">
          <cell r="R230">
            <v>7813607.9469999997</v>
          </cell>
          <cell r="S230">
            <v>26373490.128670823</v>
          </cell>
          <cell r="T230">
            <v>9.3132257461547852E-10</v>
          </cell>
        </row>
        <row r="231">
          <cell r="R231">
            <v>806677.09999999986</v>
          </cell>
          <cell r="S231">
            <v>3550208.4964561407</v>
          </cell>
        </row>
        <row r="232">
          <cell r="R232">
            <v>5617381.3413607851</v>
          </cell>
          <cell r="S232">
            <v>347565.68194596749</v>
          </cell>
          <cell r="T232">
            <v>0</v>
          </cell>
        </row>
        <row r="233">
          <cell r="R233">
            <v>4916517.9743421944</v>
          </cell>
          <cell r="S233">
            <v>0</v>
          </cell>
          <cell r="T233">
            <v>0</v>
          </cell>
        </row>
        <row r="234">
          <cell r="R234">
            <v>111696.62217059778</v>
          </cell>
          <cell r="S234">
            <v>2092778.0734971142</v>
          </cell>
          <cell r="T234">
            <v>0</v>
          </cell>
        </row>
        <row r="235">
          <cell r="R235">
            <v>1338332.7178491487</v>
          </cell>
          <cell r="S235">
            <v>0</v>
          </cell>
          <cell r="T235">
            <v>0</v>
          </cell>
        </row>
        <row r="236">
          <cell r="R236">
            <v>757569.21779999987</v>
          </cell>
          <cell r="S236">
            <v>1596773.0743141021</v>
          </cell>
          <cell r="T236">
            <v>0</v>
          </cell>
        </row>
        <row r="237">
          <cell r="R237">
            <v>1353266.2159999998</v>
          </cell>
          <cell r="S237">
            <v>498822.48321587243</v>
          </cell>
          <cell r="T237">
            <v>0</v>
          </cell>
        </row>
        <row r="238">
          <cell r="P238">
            <v>822035.24829823943</v>
          </cell>
          <cell r="R238">
            <v>0</v>
          </cell>
          <cell r="S238">
            <v>2525366.7744871946</v>
          </cell>
          <cell r="T238">
            <v>0</v>
          </cell>
        </row>
        <row r="239">
          <cell r="R239">
            <v>1074489.9400000002</v>
          </cell>
          <cell r="S239">
            <v>4002010.6975817271</v>
          </cell>
          <cell r="T239">
            <v>2.3283064365386963E-10</v>
          </cell>
        </row>
        <row r="240">
          <cell r="R240">
            <v>2232501.41</v>
          </cell>
          <cell r="S240">
            <v>1513577.6946375426</v>
          </cell>
          <cell r="T240">
            <v>0</v>
          </cell>
        </row>
        <row r="241">
          <cell r="R241">
            <v>1701231.8336</v>
          </cell>
          <cell r="S241">
            <v>4234669.5673709381</v>
          </cell>
          <cell r="T241">
            <v>2.3283064365386963E-10</v>
          </cell>
        </row>
        <row r="242">
          <cell r="P242">
            <v>20372250.93</v>
          </cell>
          <cell r="R242">
            <v>2069358.8800000001</v>
          </cell>
          <cell r="S242">
            <v>18052668.000000004</v>
          </cell>
          <cell r="T242">
            <v>1208109.6899999976</v>
          </cell>
        </row>
        <row r="243">
          <cell r="R243">
            <v>2589978.34</v>
          </cell>
          <cell r="S243">
            <v>15908180.089174457</v>
          </cell>
          <cell r="T243">
            <v>0</v>
          </cell>
        </row>
        <row r="244">
          <cell r="R244">
            <v>2658490.19</v>
          </cell>
          <cell r="S244">
            <v>15687110.699129095</v>
          </cell>
          <cell r="T244">
            <v>0</v>
          </cell>
        </row>
        <row r="245">
          <cell r="R245">
            <v>2658783.5799999996</v>
          </cell>
          <cell r="S245">
            <v>15758675.527653033</v>
          </cell>
          <cell r="T245">
            <v>0</v>
          </cell>
        </row>
        <row r="246">
          <cell r="Q246">
            <v>0</v>
          </cell>
          <cell r="R246">
            <v>2054828.4956</v>
          </cell>
          <cell r="S246">
            <v>9225217.5047191121</v>
          </cell>
          <cell r="T246">
            <v>2.3283064365386963E-10</v>
          </cell>
        </row>
        <row r="247">
          <cell r="R247">
            <v>1373583.9356</v>
          </cell>
          <cell r="S247">
            <v>10363374.606751824</v>
          </cell>
          <cell r="T247">
            <v>0</v>
          </cell>
        </row>
        <row r="248">
          <cell r="P248">
            <v>16600042.59</v>
          </cell>
          <cell r="R248">
            <v>1094226.5300000012</v>
          </cell>
        </row>
        <row r="249">
          <cell r="P249">
            <v>2237553.186666667</v>
          </cell>
          <cell r="R249">
            <v>561433.66999999993</v>
          </cell>
          <cell r="S249">
            <v>3378960</v>
          </cell>
          <cell r="T249">
            <v>3305576.864033334</v>
          </cell>
        </row>
        <row r="250">
          <cell r="P250">
            <v>906857.51333330001</v>
          </cell>
          <cell r="R250">
            <v>188618.4</v>
          </cell>
          <cell r="S250">
            <v>2747887.0827066656</v>
          </cell>
          <cell r="T250">
            <v>14765263.182560036</v>
          </cell>
        </row>
        <row r="251">
          <cell r="R251">
            <v>0</v>
          </cell>
          <cell r="S251">
            <v>3609894.245787648</v>
          </cell>
          <cell r="T251">
            <v>0</v>
          </cell>
        </row>
        <row r="252">
          <cell r="R252">
            <v>734493.91899999999</v>
          </cell>
          <cell r="S252">
            <v>1350918.8418436176</v>
          </cell>
          <cell r="T252">
            <v>0</v>
          </cell>
        </row>
        <row r="253">
          <cell r="P253">
            <v>3772182.5490253926</v>
          </cell>
          <cell r="R253">
            <v>1023686.0467999999</v>
          </cell>
          <cell r="S253">
            <v>7481735.5199999977</v>
          </cell>
          <cell r="T253">
            <v>7425400.8716507871</v>
          </cell>
        </row>
        <row r="254">
          <cell r="R254">
            <v>1883122.0537999999</v>
          </cell>
          <cell r="S254">
            <v>6006879.6440085173</v>
          </cell>
          <cell r="T254">
            <v>0</v>
          </cell>
        </row>
        <row r="255">
          <cell r="R255">
            <v>2235221.37</v>
          </cell>
          <cell r="S255">
            <v>8937132.3174326904</v>
          </cell>
          <cell r="T255">
            <v>9.3132257461547852E-10</v>
          </cell>
        </row>
        <row r="256">
          <cell r="R256">
            <v>2554358.16</v>
          </cell>
          <cell r="S256">
            <v>9744012.8078277018</v>
          </cell>
          <cell r="T256">
            <v>0</v>
          </cell>
        </row>
        <row r="257">
          <cell r="R257">
            <v>2890759.6999999997</v>
          </cell>
          <cell r="S257">
            <v>12939355.137610562</v>
          </cell>
          <cell r="T257">
            <v>0</v>
          </cell>
        </row>
        <row r="258">
          <cell r="R258">
            <v>1302890.54</v>
          </cell>
          <cell r="S258">
            <v>948621.5987999998</v>
          </cell>
          <cell r="T258">
            <v>0</v>
          </cell>
        </row>
        <row r="259">
          <cell r="R259">
            <v>2337821.67</v>
          </cell>
          <cell r="S259">
            <v>765123.23114799988</v>
          </cell>
          <cell r="T259">
            <v>0</v>
          </cell>
        </row>
        <row r="260">
          <cell r="R260">
            <v>182518.8</v>
          </cell>
          <cell r="S260">
            <v>238135.03436800186</v>
          </cell>
          <cell r="T260">
            <v>863090.78563199798</v>
          </cell>
        </row>
        <row r="261">
          <cell r="P261">
            <v>9113158.8490190003</v>
          </cell>
          <cell r="R261">
            <v>272879.95</v>
          </cell>
          <cell r="S261">
            <v>2039289.68</v>
          </cell>
          <cell r="T261">
            <v>0</v>
          </cell>
        </row>
        <row r="262">
          <cell r="R262">
            <v>1488007.09</v>
          </cell>
          <cell r="S262">
            <v>3038094.8787000002</v>
          </cell>
          <cell r="T262">
            <v>0</v>
          </cell>
        </row>
        <row r="263">
          <cell r="R263">
            <v>1158057.5900000001</v>
          </cell>
          <cell r="S263">
            <v>2499606.6227659052</v>
          </cell>
          <cell r="T263">
            <v>0</v>
          </cell>
        </row>
        <row r="264">
          <cell r="R264">
            <v>1141676.7975668802</v>
          </cell>
          <cell r="S264">
            <v>0</v>
          </cell>
          <cell r="T264">
            <v>0</v>
          </cell>
        </row>
        <row r="265">
          <cell r="R265">
            <v>0</v>
          </cell>
          <cell r="S265">
            <v>5487157.1376640005</v>
          </cell>
          <cell r="T265">
            <v>0</v>
          </cell>
        </row>
        <row r="266">
          <cell r="P266">
            <v>2983667.61</v>
          </cell>
          <cell r="R266">
            <v>0</v>
          </cell>
          <cell r="S266">
            <v>1551424.4745060005</v>
          </cell>
          <cell r="T266">
            <v>0</v>
          </cell>
        </row>
        <row r="267">
          <cell r="P267">
            <v>2760799.8602499994</v>
          </cell>
          <cell r="R267">
            <v>3566852.3591999998</v>
          </cell>
          <cell r="S267">
            <v>6408654.2547666216</v>
          </cell>
          <cell r="T267">
            <v>0</v>
          </cell>
        </row>
        <row r="268">
          <cell r="P268">
            <v>1020018.4912000014</v>
          </cell>
          <cell r="R268">
            <v>1668103.1164000002</v>
          </cell>
          <cell r="S268">
            <v>5342998.5382791795</v>
          </cell>
          <cell r="T268">
            <v>0</v>
          </cell>
        </row>
        <row r="269">
          <cell r="R269">
            <v>1069515.91491576</v>
          </cell>
          <cell r="S269">
            <v>0</v>
          </cell>
          <cell r="T269">
            <v>0</v>
          </cell>
        </row>
        <row r="270">
          <cell r="R270">
            <v>1137882.68042862</v>
          </cell>
          <cell r="S270">
            <v>0</v>
          </cell>
          <cell r="T270">
            <v>0</v>
          </cell>
        </row>
        <row r="271">
          <cell r="R271">
            <v>909628.81999999983</v>
          </cell>
          <cell r="S271">
            <v>409384.47641999996</v>
          </cell>
          <cell r="T271">
            <v>0</v>
          </cell>
        </row>
        <row r="272">
          <cell r="Q272">
            <v>0</v>
          </cell>
          <cell r="R272">
            <v>2621887.21</v>
          </cell>
          <cell r="S272">
            <v>2837549.08</v>
          </cell>
          <cell r="T272">
            <v>0</v>
          </cell>
        </row>
        <row r="273">
          <cell r="Q273">
            <v>0</v>
          </cell>
          <cell r="R273">
            <v>1965896.65</v>
          </cell>
          <cell r="S273">
            <v>1875485.4600000004</v>
          </cell>
          <cell r="T273">
            <v>0</v>
          </cell>
        </row>
        <row r="274">
          <cell r="R274">
            <v>1998837.3649560001</v>
          </cell>
          <cell r="S274">
            <v>0</v>
          </cell>
          <cell r="T274">
            <v>0</v>
          </cell>
        </row>
        <row r="275">
          <cell r="P275">
            <v>2143246.1167999995</v>
          </cell>
          <cell r="R275">
            <v>775614.69559999998</v>
          </cell>
          <cell r="S275">
            <v>4780661.1140000001</v>
          </cell>
          <cell r="T275">
            <v>2174995.8112999992</v>
          </cell>
        </row>
        <row r="276">
          <cell r="P276">
            <v>1511702.0514524882</v>
          </cell>
          <cell r="R276">
            <v>1989936.72</v>
          </cell>
          <cell r="S276">
            <v>6140229.3985475125</v>
          </cell>
          <cell r="T276">
            <v>0</v>
          </cell>
        </row>
        <row r="277">
          <cell r="R277">
            <v>2005001.28</v>
          </cell>
          <cell r="S277">
            <v>0</v>
          </cell>
          <cell r="T277">
            <v>0</v>
          </cell>
        </row>
        <row r="278">
          <cell r="P278">
            <v>989123.26378000085</v>
          </cell>
          <cell r="R278">
            <v>347473.2</v>
          </cell>
          <cell r="S278">
            <v>26483.948109999299</v>
          </cell>
          <cell r="T278">
            <v>0</v>
          </cell>
        </row>
        <row r="279">
          <cell r="P279">
            <v>5725470.5333099999</v>
          </cell>
          <cell r="R279">
            <v>2519251.88</v>
          </cell>
          <cell r="S279">
            <v>15606360</v>
          </cell>
          <cell r="T279">
            <v>6187545.1496315897</v>
          </cell>
        </row>
        <row r="280">
          <cell r="P280">
            <v>4224796.0526083997</v>
          </cell>
          <cell r="R280">
            <v>3054172.49</v>
          </cell>
          <cell r="S280">
            <v>4830083.3141653994</v>
          </cell>
          <cell r="T280">
            <v>0</v>
          </cell>
        </row>
        <row r="281">
          <cell r="R281">
            <v>2727972.42</v>
          </cell>
          <cell r="S281">
            <v>10090566.48</v>
          </cell>
          <cell r="T281">
            <v>0</v>
          </cell>
        </row>
        <row r="282">
          <cell r="P282">
            <v>3218407.5900000003</v>
          </cell>
          <cell r="R282">
            <v>876693.16999999993</v>
          </cell>
          <cell r="S282">
            <v>2589649.1953653195</v>
          </cell>
        </row>
        <row r="283">
          <cell r="P283">
            <v>4346316.5754666664</v>
          </cell>
          <cell r="R283">
            <v>823386.06360000011</v>
          </cell>
          <cell r="S283">
            <v>0</v>
          </cell>
          <cell r="T283">
            <v>22388067.084222913</v>
          </cell>
        </row>
        <row r="284">
          <cell r="P284">
            <v>4427463.1917000003</v>
          </cell>
          <cell r="R284">
            <v>444157.56489999988</v>
          </cell>
          <cell r="S284">
            <v>0</v>
          </cell>
          <cell r="T284">
            <v>21260658.953270167</v>
          </cell>
        </row>
        <row r="285">
          <cell r="P285">
            <v>9237039.6128709596</v>
          </cell>
          <cell r="R285">
            <v>1975744.77</v>
          </cell>
          <cell r="S285">
            <v>12450600</v>
          </cell>
          <cell r="T285">
            <v>27701426.017244324</v>
          </cell>
        </row>
        <row r="286">
          <cell r="R286">
            <v>1047518.0799999998</v>
          </cell>
          <cell r="S286">
            <v>313950.94000000018</v>
          </cell>
          <cell r="T286">
            <v>0</v>
          </cell>
        </row>
        <row r="287">
          <cell r="R287">
            <v>2458437.62</v>
          </cell>
          <cell r="S287">
            <v>1105816.6632919996</v>
          </cell>
          <cell r="T287">
            <v>0</v>
          </cell>
        </row>
        <row r="288">
          <cell r="P288">
            <v>15011639.890000001</v>
          </cell>
          <cell r="R288">
            <v>2814358.13</v>
          </cell>
          <cell r="S288">
            <v>17779320</v>
          </cell>
          <cell r="T288">
            <v>44132409.101219632</v>
          </cell>
        </row>
        <row r="289">
          <cell r="R289">
            <v>2840159.93</v>
          </cell>
          <cell r="S289">
            <v>17624443.109999999</v>
          </cell>
          <cell r="T289">
            <v>0</v>
          </cell>
        </row>
        <row r="290">
          <cell r="P290">
            <v>2008108.1622212788</v>
          </cell>
          <cell r="R290">
            <v>1664189.88</v>
          </cell>
          <cell r="S290">
            <v>11443239.939999999</v>
          </cell>
          <cell r="T290">
            <v>1003937.2710425612</v>
          </cell>
        </row>
        <row r="292">
          <cell r="R292">
            <v>3001913.7399999998</v>
          </cell>
          <cell r="S292">
            <v>17831411.999999996</v>
          </cell>
          <cell r="T292">
            <v>1331813.1199965626</v>
          </cell>
        </row>
        <row r="293">
          <cell r="P293">
            <v>860590.1024692799</v>
          </cell>
          <cell r="R293">
            <v>587126.38000000012</v>
          </cell>
          <cell r="S293">
            <v>0</v>
          </cell>
          <cell r="T293">
            <v>0</v>
          </cell>
        </row>
        <row r="294">
          <cell r="R294">
            <v>367035.4499999999</v>
          </cell>
          <cell r="S294">
            <v>884125.44500000007</v>
          </cell>
          <cell r="T294">
            <v>1.1641532182693481E-10</v>
          </cell>
        </row>
        <row r="295">
          <cell r="P295">
            <v>10420005.460000001</v>
          </cell>
          <cell r="R295">
            <v>729880.66454287991</v>
          </cell>
          <cell r="S295">
            <v>3736802.26</v>
          </cell>
          <cell r="T295">
            <v>0</v>
          </cell>
        </row>
        <row r="296">
          <cell r="R296">
            <v>1705810.5499999998</v>
          </cell>
          <cell r="S296">
            <v>719495.25599800004</v>
          </cell>
          <cell r="T296">
            <v>0</v>
          </cell>
        </row>
        <row r="297">
          <cell r="R297">
            <v>554474.5199999999</v>
          </cell>
          <cell r="S297">
            <v>2824696.6446039202</v>
          </cell>
          <cell r="T297">
            <v>0</v>
          </cell>
        </row>
        <row r="298">
          <cell r="P298">
            <v>6968602.897110614</v>
          </cell>
          <cell r="Q298">
            <v>0</v>
          </cell>
          <cell r="R298">
            <v>1239934.29</v>
          </cell>
          <cell r="S298">
            <v>7389000</v>
          </cell>
          <cell r="T298">
            <v>13051687.394221228</v>
          </cell>
        </row>
        <row r="299">
          <cell r="R299">
            <v>1618117.19564</v>
          </cell>
          <cell r="S299">
            <v>0</v>
          </cell>
          <cell r="T299">
            <v>0</v>
          </cell>
        </row>
        <row r="300">
          <cell r="P300">
            <v>3369695.1058486667</v>
          </cell>
          <cell r="R300">
            <v>101933.18000000005</v>
          </cell>
          <cell r="S300">
            <v>0</v>
          </cell>
          <cell r="T300">
            <v>6309576.9872653726</v>
          </cell>
        </row>
        <row r="301">
          <cell r="R301">
            <v>1535156.8941092999</v>
          </cell>
          <cell r="S301">
            <v>0</v>
          </cell>
          <cell r="T301">
            <v>0</v>
          </cell>
        </row>
        <row r="302">
          <cell r="R302">
            <v>1572957.3080766001</v>
          </cell>
          <cell r="S302">
            <v>0</v>
          </cell>
          <cell r="T302">
            <v>0</v>
          </cell>
        </row>
        <row r="303">
          <cell r="R303">
            <v>1352653.874176</v>
          </cell>
          <cell r="S303">
            <v>0</v>
          </cell>
          <cell r="T303">
            <v>0</v>
          </cell>
        </row>
        <row r="304">
          <cell r="R304">
            <v>1352798.894176</v>
          </cell>
          <cell r="S304">
            <v>0</v>
          </cell>
          <cell r="T304">
            <v>0</v>
          </cell>
        </row>
        <row r="305">
          <cell r="P305">
            <v>5099328.6800000006</v>
          </cell>
          <cell r="R305">
            <v>1189922.94</v>
          </cell>
          <cell r="S305">
            <v>8838000</v>
          </cell>
          <cell r="T305">
            <v>10096852.359999999</v>
          </cell>
        </row>
        <row r="306">
          <cell r="P306">
            <v>5122468.8333333321</v>
          </cell>
          <cell r="R306">
            <v>1400822.9600000002</v>
          </cell>
          <cell r="S306">
            <v>9406440</v>
          </cell>
          <cell r="T306">
            <v>9704815.8666666634</v>
          </cell>
        </row>
        <row r="307">
          <cell r="P307">
            <v>8252506.3266666681</v>
          </cell>
          <cell r="R307">
            <v>1403777.48</v>
          </cell>
          <cell r="S307">
            <v>9859680</v>
          </cell>
          <cell r="T307">
            <v>15980613.800933335</v>
          </cell>
        </row>
        <row r="308">
          <cell r="R308">
            <v>1263115.48</v>
          </cell>
          <cell r="S308">
            <v>0</v>
          </cell>
          <cell r="T308">
            <v>0</v>
          </cell>
        </row>
        <row r="309">
          <cell r="R309">
            <v>1874829.5699999998</v>
          </cell>
          <cell r="S309">
            <v>1129604.4097793046</v>
          </cell>
          <cell r="T309">
            <v>0</v>
          </cell>
        </row>
        <row r="310">
          <cell r="P310">
            <v>3679232.53</v>
          </cell>
          <cell r="R310">
            <v>0</v>
          </cell>
          <cell r="S310">
            <v>2492510.13</v>
          </cell>
          <cell r="T310">
            <v>1542935.652847081</v>
          </cell>
        </row>
        <row r="311">
          <cell r="P311">
            <v>2477837.44</v>
          </cell>
          <cell r="R311">
            <v>992982.4</v>
          </cell>
          <cell r="S311">
            <v>4937533.0449089203</v>
          </cell>
        </row>
        <row r="312">
          <cell r="R312">
            <v>2691688.4905999997</v>
          </cell>
          <cell r="S312">
            <v>1326978.7394000003</v>
          </cell>
          <cell r="T312">
            <v>0</v>
          </cell>
        </row>
        <row r="313">
          <cell r="P313">
            <v>9266556.7940246668</v>
          </cell>
          <cell r="R313">
            <v>371756.49000000022</v>
          </cell>
          <cell r="S313">
            <v>0</v>
          </cell>
          <cell r="T313">
            <v>8043783.3300081529</v>
          </cell>
        </row>
        <row r="314">
          <cell r="P314">
            <v>9563508.5829855986</v>
          </cell>
          <cell r="Q314">
            <v>0</v>
          </cell>
          <cell r="R314">
            <v>3376163.3</v>
          </cell>
          <cell r="S314">
            <v>22953600</v>
          </cell>
          <cell r="T314">
            <v>18580972.165971205</v>
          </cell>
        </row>
        <row r="315">
          <cell r="R315">
            <v>2325190.8199999998</v>
          </cell>
          <cell r="S315">
            <v>12350765.372334456</v>
          </cell>
          <cell r="T315">
            <v>4.6566128730773926E-10</v>
          </cell>
        </row>
        <row r="316">
          <cell r="R316">
            <v>494347.02441200003</v>
          </cell>
          <cell r="S316">
            <v>0</v>
          </cell>
          <cell r="T316">
            <v>0</v>
          </cell>
        </row>
        <row r="317">
          <cell r="P317">
            <v>2826319.835624001</v>
          </cell>
          <cell r="R317">
            <v>1128483.24</v>
          </cell>
          <cell r="S317">
            <v>0</v>
          </cell>
          <cell r="T317">
            <v>-2.3283064365386963E-10</v>
          </cell>
        </row>
        <row r="318">
          <cell r="R318">
            <v>3618454.07</v>
          </cell>
          <cell r="S318">
            <v>12397164.34</v>
          </cell>
          <cell r="T318">
            <v>4.6566128730773926E-10</v>
          </cell>
        </row>
        <row r="319">
          <cell r="P319">
            <v>614563.23999999987</v>
          </cell>
          <cell r="R319">
            <v>1696801.81</v>
          </cell>
          <cell r="S319">
            <v>5370829.2648302</v>
          </cell>
          <cell r="T319">
            <v>0</v>
          </cell>
        </row>
        <row r="320">
          <cell r="R320">
            <v>102987.15999999992</v>
          </cell>
          <cell r="S320">
            <v>2395116.9029126205</v>
          </cell>
          <cell r="T320">
            <v>0</v>
          </cell>
        </row>
        <row r="321">
          <cell r="P321">
            <v>0</v>
          </cell>
          <cell r="R321">
            <v>1024499.247894</v>
          </cell>
          <cell r="S321">
            <v>0</v>
          </cell>
          <cell r="T321">
            <v>0</v>
          </cell>
        </row>
        <row r="322">
          <cell r="P322">
            <v>1780478.1500000004</v>
          </cell>
          <cell r="Q322">
            <v>0</v>
          </cell>
          <cell r="R322">
            <v>1380626.28</v>
          </cell>
          <cell r="S322">
            <v>8769960</v>
          </cell>
          <cell r="T322">
            <v>0</v>
          </cell>
        </row>
        <row r="323">
          <cell r="R323">
            <v>907762.26</v>
          </cell>
          <cell r="S323">
            <v>927948.30090784002</v>
          </cell>
          <cell r="T323">
            <v>0</v>
          </cell>
        </row>
        <row r="324">
          <cell r="R324">
            <v>1024198.037306</v>
          </cell>
          <cell r="S324">
            <v>0</v>
          </cell>
          <cell r="T324">
            <v>0</v>
          </cell>
        </row>
        <row r="325">
          <cell r="R325">
            <v>1245038.665028</v>
          </cell>
          <cell r="S325">
            <v>0</v>
          </cell>
          <cell r="T325">
            <v>0</v>
          </cell>
        </row>
        <row r="327">
          <cell r="P327">
            <v>17605158.597932905</v>
          </cell>
          <cell r="Q327">
            <v>0</v>
          </cell>
          <cell r="R327">
            <v>2797375.72</v>
          </cell>
          <cell r="S327">
            <v>18228960</v>
          </cell>
          <cell r="T327">
            <v>34749418.19586581</v>
          </cell>
        </row>
        <row r="328">
          <cell r="P328">
            <v>17148929.116796475</v>
          </cell>
          <cell r="Q328">
            <v>0</v>
          </cell>
          <cell r="R328">
            <v>2911056.81</v>
          </cell>
          <cell r="S328">
            <v>18581400</v>
          </cell>
          <cell r="T328">
            <v>33054726.633592948</v>
          </cell>
        </row>
        <row r="329">
          <cell r="Q329">
            <v>0</v>
          </cell>
          <cell r="S329">
            <v>0</v>
          </cell>
          <cell r="T329">
            <v>2279305.75</v>
          </cell>
        </row>
        <row r="330">
          <cell r="S330">
            <v>1545862.696208</v>
          </cell>
          <cell r="T330">
            <v>0</v>
          </cell>
        </row>
        <row r="331">
          <cell r="Q331">
            <v>0</v>
          </cell>
          <cell r="R331">
            <v>1333089.1699999997</v>
          </cell>
          <cell r="S331">
            <v>818392.73702400015</v>
          </cell>
          <cell r="T331">
            <v>0</v>
          </cell>
        </row>
        <row r="332">
          <cell r="Q332">
            <v>0</v>
          </cell>
          <cell r="R332">
            <v>2154465.066112</v>
          </cell>
          <cell r="S332">
            <v>0</v>
          </cell>
          <cell r="T332">
            <v>0</v>
          </cell>
        </row>
        <row r="333">
          <cell r="P333">
            <v>2155250.5499999993</v>
          </cell>
          <cell r="Q333">
            <v>0</v>
          </cell>
          <cell r="R333">
            <v>1611087.2</v>
          </cell>
          <cell r="S333">
            <v>9810000</v>
          </cell>
          <cell r="T333">
            <v>4275332.0999999996</v>
          </cell>
        </row>
        <row r="334">
          <cell r="P334">
            <v>8083380.5966666685</v>
          </cell>
          <cell r="R334">
            <v>2600624.41</v>
          </cell>
          <cell r="S334">
            <v>18799560</v>
          </cell>
          <cell r="T334">
            <v>14126541.893333334</v>
          </cell>
        </row>
        <row r="335">
          <cell r="R335">
            <v>1982331.96</v>
          </cell>
          <cell r="S335">
            <v>220642.38624073984</v>
          </cell>
        </row>
        <row r="336">
          <cell r="P336">
            <v>705615.63750000019</v>
          </cell>
          <cell r="R336">
            <v>252901.75</v>
          </cell>
          <cell r="S336">
            <v>1269941.4002621998</v>
          </cell>
          <cell r="T336">
            <v>0</v>
          </cell>
        </row>
        <row r="337">
          <cell r="P337">
            <v>1932870.1700000009</v>
          </cell>
          <cell r="R337">
            <v>515460.06999999995</v>
          </cell>
          <cell r="S337">
            <v>3035783.2799999993</v>
          </cell>
          <cell r="T337">
            <v>0</v>
          </cell>
        </row>
        <row r="338">
          <cell r="P338">
            <v>1491506.5999999996</v>
          </cell>
          <cell r="R338">
            <v>848133.92999999993</v>
          </cell>
          <cell r="S338">
            <v>4956480</v>
          </cell>
          <cell r="T338">
            <v>2983013.1999999993</v>
          </cell>
        </row>
        <row r="339">
          <cell r="P339">
            <v>2735629.5699999994</v>
          </cell>
          <cell r="R339">
            <v>436046.95</v>
          </cell>
          <cell r="S339">
            <v>2624616</v>
          </cell>
          <cell r="T339">
            <v>0</v>
          </cell>
        </row>
        <row r="340">
          <cell r="P340">
            <v>1136928.2899999998</v>
          </cell>
          <cell r="R340">
            <v>496995.11</v>
          </cell>
          <cell r="S340">
            <v>2814740.7270599999</v>
          </cell>
          <cell r="T340">
            <v>0</v>
          </cell>
        </row>
        <row r="341">
          <cell r="P341">
            <v>2329938.9142360003</v>
          </cell>
          <cell r="R341">
            <v>535849.51</v>
          </cell>
          <cell r="S341">
            <v>4874760</v>
          </cell>
          <cell r="T341">
            <v>3490045.8284720015</v>
          </cell>
        </row>
        <row r="342">
          <cell r="R342">
            <v>1333462.67</v>
          </cell>
          <cell r="S342">
            <v>704724.4702397401</v>
          </cell>
          <cell r="T342">
            <v>0</v>
          </cell>
        </row>
        <row r="343">
          <cell r="R343">
            <v>229835.71999999997</v>
          </cell>
          <cell r="S343">
            <v>348644.39581599995</v>
          </cell>
        </row>
        <row r="344">
          <cell r="R344">
            <v>1566212.3599999999</v>
          </cell>
          <cell r="S344">
            <v>4881278.1777165607</v>
          </cell>
          <cell r="T344">
            <v>9.3132257461547852E-10</v>
          </cell>
        </row>
        <row r="345">
          <cell r="R345">
            <v>1244325.77</v>
          </cell>
          <cell r="S345">
            <v>1811928.0563249597</v>
          </cell>
          <cell r="T345">
            <v>0</v>
          </cell>
        </row>
        <row r="346">
          <cell r="R346">
            <v>292223.84999999998</v>
          </cell>
          <cell r="S346">
            <v>308968.169536</v>
          </cell>
        </row>
        <row r="347">
          <cell r="R347">
            <v>294150.18</v>
          </cell>
          <cell r="S347">
            <v>254934.43</v>
          </cell>
          <cell r="T347">
            <v>0</v>
          </cell>
        </row>
        <row r="348">
          <cell r="R348">
            <v>715787.88</v>
          </cell>
          <cell r="S348">
            <v>3319460.8316984079</v>
          </cell>
          <cell r="T348">
            <v>1.1641532182693481E-10</v>
          </cell>
        </row>
        <row r="349">
          <cell r="R349">
            <v>781595.57</v>
          </cell>
          <cell r="S349">
            <v>1166192.8674377711</v>
          </cell>
          <cell r="T349">
            <v>0</v>
          </cell>
        </row>
        <row r="350">
          <cell r="R350">
            <v>507657.83</v>
          </cell>
          <cell r="S350">
            <v>857549.6691366029</v>
          </cell>
          <cell r="T350">
            <v>0</v>
          </cell>
        </row>
        <row r="351">
          <cell r="R351">
            <v>1000336.4099999999</v>
          </cell>
          <cell r="S351">
            <v>5349695.0846001264</v>
          </cell>
          <cell r="T351">
            <v>0</v>
          </cell>
        </row>
        <row r="352">
          <cell r="R352">
            <v>657903.43999999994</v>
          </cell>
          <cell r="S352">
            <v>1291711.7472890539</v>
          </cell>
          <cell r="T352">
            <v>0</v>
          </cell>
        </row>
        <row r="353">
          <cell r="R353">
            <v>721179.51</v>
          </cell>
          <cell r="S353">
            <v>227393.49123749381</v>
          </cell>
          <cell r="T353">
            <v>0</v>
          </cell>
        </row>
        <row r="354">
          <cell r="R354">
            <v>176134.18</v>
          </cell>
          <cell r="S354">
            <v>545467.06847460382</v>
          </cell>
          <cell r="T354">
            <v>2.9103830456733704E-11</v>
          </cell>
        </row>
        <row r="355">
          <cell r="P355">
            <v>3326870.9585851147</v>
          </cell>
          <cell r="R355">
            <v>1067245.3</v>
          </cell>
          <cell r="S355">
            <v>10033560</v>
          </cell>
          <cell r="T355">
            <v>6665588.3171702288</v>
          </cell>
        </row>
        <row r="356">
          <cell r="R356">
            <v>328042.14999999997</v>
          </cell>
          <cell r="S356">
            <v>623428.97648802749</v>
          </cell>
          <cell r="T356">
            <v>0</v>
          </cell>
        </row>
        <row r="357">
          <cell r="P357">
            <v>1463463.5249940937</v>
          </cell>
          <cell r="R357">
            <v>729407.92999999993</v>
          </cell>
          <cell r="S357">
            <v>4724144.9042710308</v>
          </cell>
          <cell r="T357">
            <v>0</v>
          </cell>
        </row>
        <row r="358">
          <cell r="P358">
            <v>2175839.7215601779</v>
          </cell>
          <cell r="R358">
            <v>484836.6</v>
          </cell>
          <cell r="S358">
            <v>3455280</v>
          </cell>
          <cell r="T358">
            <v>2738342.275090361</v>
          </cell>
        </row>
        <row r="359">
          <cell r="R359">
            <v>706857.29</v>
          </cell>
          <cell r="S359">
            <v>758694.68244965025</v>
          </cell>
          <cell r="T359">
            <v>0</v>
          </cell>
        </row>
        <row r="360">
          <cell r="R360">
            <v>356038.84078929177</v>
          </cell>
          <cell r="S360">
            <v>3086914.8996206718</v>
          </cell>
          <cell r="T360">
            <v>0</v>
          </cell>
        </row>
        <row r="361">
          <cell r="R361">
            <v>1654968.55</v>
          </cell>
          <cell r="S361">
            <v>1937595.2237581315</v>
          </cell>
          <cell r="T361">
            <v>0</v>
          </cell>
        </row>
        <row r="362">
          <cell r="R362">
            <v>841384.12</v>
          </cell>
          <cell r="S362">
            <v>2285762.1555683129</v>
          </cell>
        </row>
        <row r="363">
          <cell r="R363">
            <v>1127247.27</v>
          </cell>
          <cell r="S363">
            <v>1898524.0797836999</v>
          </cell>
        </row>
        <row r="364">
          <cell r="P364">
            <v>707152.37000000011</v>
          </cell>
          <cell r="R364">
            <v>34758.819999999992</v>
          </cell>
          <cell r="S364">
            <v>677581.02</v>
          </cell>
          <cell r="T364">
            <v>2591.4000000000233</v>
          </cell>
        </row>
        <row r="365">
          <cell r="P365">
            <v>3116048.5975319995</v>
          </cell>
          <cell r="R365">
            <v>737257.37</v>
          </cell>
          <cell r="S365">
            <v>5243040</v>
          </cell>
          <cell r="T365">
            <v>0</v>
          </cell>
        </row>
        <row r="366">
          <cell r="P366">
            <v>8256452.290922001</v>
          </cell>
          <cell r="R366">
            <v>974902.85999999987</v>
          </cell>
          <cell r="S366">
            <v>5953412.3164553307</v>
          </cell>
          <cell r="T366">
            <v>0</v>
          </cell>
        </row>
        <row r="367">
          <cell r="Q367">
            <v>718272</v>
          </cell>
          <cell r="R367">
            <v>3024815.9801999996</v>
          </cell>
          <cell r="S367">
            <v>3439632.0198000004</v>
          </cell>
          <cell r="T367">
            <v>0</v>
          </cell>
        </row>
        <row r="368">
          <cell r="P368">
            <v>985967.48999999906</v>
          </cell>
          <cell r="R368">
            <v>591478.23</v>
          </cell>
          <cell r="S368">
            <v>184470.3653640009</v>
          </cell>
          <cell r="T368">
            <v>0</v>
          </cell>
        </row>
        <row r="369">
          <cell r="R369">
            <v>486776.28</v>
          </cell>
          <cell r="S369">
            <v>1249056.81863332</v>
          </cell>
          <cell r="T369">
            <v>0</v>
          </cell>
        </row>
        <row r="370">
          <cell r="R370">
            <v>641924.76</v>
          </cell>
          <cell r="S370">
            <v>17712.43081835995</v>
          </cell>
          <cell r="T370">
            <v>0</v>
          </cell>
        </row>
        <row r="371">
          <cell r="R371">
            <v>411767.56</v>
          </cell>
          <cell r="S371">
            <v>134185.52824800002</v>
          </cell>
          <cell r="T371">
            <v>0</v>
          </cell>
        </row>
        <row r="372">
          <cell r="R372">
            <v>1151990.4382</v>
          </cell>
          <cell r="S372">
            <v>172771.61975703994</v>
          </cell>
          <cell r="T372">
            <v>0</v>
          </cell>
        </row>
        <row r="373">
          <cell r="R373">
            <v>2726855.4739999999</v>
          </cell>
          <cell r="S373">
            <v>2847968.8659999999</v>
          </cell>
          <cell r="T373">
            <v>0</v>
          </cell>
        </row>
        <row r="374">
          <cell r="P374">
            <v>1633456.4588733336</v>
          </cell>
          <cell r="R374">
            <v>1074656.2037799999</v>
          </cell>
          <cell r="S374">
            <v>9008594.6039999984</v>
          </cell>
          <cell r="T374">
            <v>2876187.038146669</v>
          </cell>
        </row>
        <row r="375">
          <cell r="R375">
            <v>1371899.6118999999</v>
          </cell>
          <cell r="S375">
            <v>1099496.4881000002</v>
          </cell>
          <cell r="T375">
            <v>0</v>
          </cell>
        </row>
        <row r="376">
          <cell r="P376">
            <v>20522777.230000004</v>
          </cell>
          <cell r="R376">
            <v>3546012.3361999998</v>
          </cell>
          <cell r="S376">
            <v>10611481.079072803</v>
          </cell>
          <cell r="T376">
            <v>13380219.506258331</v>
          </cell>
        </row>
        <row r="377">
          <cell r="R377">
            <v>1397271.15</v>
          </cell>
          <cell r="S377">
            <v>1525382.5943820002</v>
          </cell>
          <cell r="T377">
            <v>0</v>
          </cell>
        </row>
        <row r="378">
          <cell r="R378">
            <v>1446929.3654</v>
          </cell>
          <cell r="S378">
            <v>883099.95760000031</v>
          </cell>
          <cell r="T378">
            <v>0</v>
          </cell>
        </row>
        <row r="379">
          <cell r="R379">
            <v>1293797.6600000001</v>
          </cell>
          <cell r="S379">
            <v>647568.09113399987</v>
          </cell>
          <cell r="T379">
            <v>0</v>
          </cell>
        </row>
        <row r="380">
          <cell r="R380">
            <v>589579.19999999995</v>
          </cell>
          <cell r="S380">
            <v>887703.17243999988</v>
          </cell>
          <cell r="T380">
            <v>1.1641532182693481E-10</v>
          </cell>
        </row>
        <row r="381">
          <cell r="R381">
            <v>899609.91</v>
          </cell>
          <cell r="S381">
            <v>989458.60886799998</v>
          </cell>
          <cell r="T381">
            <v>0</v>
          </cell>
        </row>
        <row r="382">
          <cell r="R382">
            <v>626793.46</v>
          </cell>
          <cell r="S382">
            <v>909227.6828999999</v>
          </cell>
          <cell r="T382">
            <v>0</v>
          </cell>
        </row>
        <row r="383">
          <cell r="R383">
            <v>992178.5199999999</v>
          </cell>
          <cell r="S383">
            <v>351826.20000000007</v>
          </cell>
          <cell r="T383">
            <v>0</v>
          </cell>
        </row>
        <row r="384">
          <cell r="R384">
            <v>727887.47</v>
          </cell>
          <cell r="S384">
            <v>825284.159552</v>
          </cell>
          <cell r="T384">
            <v>0</v>
          </cell>
        </row>
        <row r="385">
          <cell r="R385">
            <v>685177.66</v>
          </cell>
          <cell r="S385">
            <v>842489.14406399999</v>
          </cell>
          <cell r="T385">
            <v>0</v>
          </cell>
        </row>
        <row r="386">
          <cell r="P386">
            <v>2814922.1966666668</v>
          </cell>
          <cell r="R386">
            <v>710136.45</v>
          </cell>
          <cell r="S386">
            <v>4896000</v>
          </cell>
          <cell r="T386">
            <v>5250672.7093333341</v>
          </cell>
        </row>
        <row r="387">
          <cell r="P387">
            <v>5180548.3166666673</v>
          </cell>
          <cell r="R387">
            <v>1173314.25</v>
          </cell>
          <cell r="S387">
            <v>7494480</v>
          </cell>
          <cell r="T387">
            <v>10154221.582733333</v>
          </cell>
        </row>
        <row r="388">
          <cell r="R388">
            <v>1469363.46</v>
          </cell>
          <cell r="S388">
            <v>995942.70244400017</v>
          </cell>
          <cell r="T388">
            <v>0</v>
          </cell>
        </row>
        <row r="389">
          <cell r="R389">
            <v>680832.86</v>
          </cell>
          <cell r="S389">
            <v>902117.33376799978</v>
          </cell>
          <cell r="T389">
            <v>0</v>
          </cell>
        </row>
        <row r="390">
          <cell r="P390">
            <v>1384853.583333333</v>
          </cell>
          <cell r="R390">
            <v>665157.30000000005</v>
          </cell>
          <cell r="S390">
            <v>4622400</v>
          </cell>
          <cell r="T390">
            <v>1792744.1115666665</v>
          </cell>
        </row>
        <row r="391">
          <cell r="P391">
            <v>1355261.3500000003</v>
          </cell>
          <cell r="R391">
            <v>752711.21000000008</v>
          </cell>
          <cell r="S391">
            <v>4605120</v>
          </cell>
          <cell r="T391">
            <v>1750738.7203000002</v>
          </cell>
        </row>
        <row r="392">
          <cell r="R392">
            <v>578844.92999999993</v>
          </cell>
          <cell r="S392">
            <v>1021569.515874</v>
          </cell>
          <cell r="T392">
            <v>0</v>
          </cell>
        </row>
        <row r="393">
          <cell r="P393">
            <v>1285124.3091186676</v>
          </cell>
          <cell r="R393">
            <v>654136.55000000005</v>
          </cell>
          <cell r="S393">
            <v>4770324</v>
          </cell>
          <cell r="T393">
            <v>2396483.6482373355</v>
          </cell>
        </row>
        <row r="394">
          <cell r="P394">
            <v>1377978.3782219996</v>
          </cell>
          <cell r="R394">
            <v>714599.55</v>
          </cell>
          <cell r="S394">
            <v>4582800</v>
          </cell>
          <cell r="T394">
            <v>2582348.0564439995</v>
          </cell>
        </row>
        <row r="395">
          <cell r="R395">
            <v>1168598.31</v>
          </cell>
          <cell r="S395">
            <v>1941588.9100000001</v>
          </cell>
          <cell r="T395">
            <v>0</v>
          </cell>
        </row>
        <row r="396">
          <cell r="R396">
            <v>1009148.89</v>
          </cell>
          <cell r="S396">
            <v>5433939.0100000007</v>
          </cell>
          <cell r="T396">
            <v>0</v>
          </cell>
        </row>
        <row r="397">
          <cell r="P397">
            <v>3358599.8842666685</v>
          </cell>
          <cell r="R397">
            <v>1299043.8223999999</v>
          </cell>
          <cell r="S397">
            <v>9401926.3200000003</v>
          </cell>
          <cell r="T397">
            <v>5965625.253333332</v>
          </cell>
        </row>
        <row r="398">
          <cell r="P398">
            <v>3443225.4799953331</v>
          </cell>
          <cell r="R398">
            <v>1581149.0367999999</v>
          </cell>
          <cell r="S398">
            <v>9988626.2400000002</v>
          </cell>
          <cell r="T398">
            <v>6332855.848990662</v>
          </cell>
        </row>
        <row r="399">
          <cell r="R399">
            <v>2366806.17</v>
          </cell>
          <cell r="S399">
            <v>10241985.8531</v>
          </cell>
          <cell r="T399">
            <v>0</v>
          </cell>
        </row>
        <row r="400">
          <cell r="R400">
            <v>0</v>
          </cell>
          <cell r="S400">
            <v>11997336.196299998</v>
          </cell>
          <cell r="T400">
            <v>0</v>
          </cell>
        </row>
        <row r="401">
          <cell r="P401">
            <v>1179956.7183533337</v>
          </cell>
          <cell r="R401">
            <v>634170.78</v>
          </cell>
          <cell r="S401">
            <v>4912920</v>
          </cell>
          <cell r="T401">
            <v>2072389.0967066661</v>
          </cell>
        </row>
        <row r="402">
          <cell r="R402">
            <v>1140088.7800000003</v>
          </cell>
          <cell r="S402">
            <v>13962314.353742398</v>
          </cell>
          <cell r="T402">
            <v>0</v>
          </cell>
        </row>
        <row r="403">
          <cell r="R403">
            <v>1315469.3506400001</v>
          </cell>
          <cell r="S403">
            <v>4024866.1503632003</v>
          </cell>
          <cell r="T403">
            <v>0</v>
          </cell>
        </row>
        <row r="404">
          <cell r="R404">
            <v>5532618.585</v>
          </cell>
          <cell r="S404">
            <v>19668245.138121601</v>
          </cell>
          <cell r="T404">
            <v>9.3132257461547852E-10</v>
          </cell>
        </row>
        <row r="405">
          <cell r="R405">
            <v>1484681.68870748</v>
          </cell>
          <cell r="S405">
            <v>13424976.39851572</v>
          </cell>
          <cell r="T405">
            <v>0</v>
          </cell>
        </row>
        <row r="406">
          <cell r="P406">
            <v>11067050.84</v>
          </cell>
          <cell r="R406">
            <v>4700408.8283999991</v>
          </cell>
          <cell r="S406">
            <v>14473887.709999997</v>
          </cell>
          <cell r="T406">
            <v>9417233.2257820107</v>
          </cell>
        </row>
        <row r="407">
          <cell r="P407">
            <v>4675363.0278000021</v>
          </cell>
          <cell r="R407">
            <v>1721639.844</v>
          </cell>
          <cell r="S407">
            <v>11664367.199999999</v>
          </cell>
          <cell r="T407">
            <v>6334081.8528000005</v>
          </cell>
        </row>
        <row r="408">
          <cell r="R408">
            <v>1375698.0906</v>
          </cell>
          <cell r="S408">
            <v>7482476.0790719995</v>
          </cell>
          <cell r="T408">
            <v>0</v>
          </cell>
        </row>
        <row r="409">
          <cell r="R409">
            <v>1477419.7452</v>
          </cell>
          <cell r="S409">
            <v>6003938.2753419997</v>
          </cell>
          <cell r="T409">
            <v>0</v>
          </cell>
        </row>
        <row r="410">
          <cell r="R410">
            <v>1188247.6894</v>
          </cell>
          <cell r="S410">
            <v>1004353.9060139996</v>
          </cell>
          <cell r="T410">
            <v>0</v>
          </cell>
        </row>
        <row r="411">
          <cell r="R411">
            <v>1109273.1399999999</v>
          </cell>
          <cell r="S411">
            <v>4874050.1059000008</v>
          </cell>
          <cell r="T411">
            <v>0</v>
          </cell>
        </row>
        <row r="412">
          <cell r="R412">
            <v>597799.18099999998</v>
          </cell>
          <cell r="S412">
            <v>7283384.3099999987</v>
          </cell>
          <cell r="T412">
            <v>1934691.8931793217</v>
          </cell>
        </row>
        <row r="413">
          <cell r="R413">
            <v>779041.65720000002</v>
          </cell>
          <cell r="S413">
            <v>2416322.19264</v>
          </cell>
          <cell r="T413">
            <v>0</v>
          </cell>
        </row>
        <row r="414">
          <cell r="P414">
            <v>0</v>
          </cell>
          <cell r="R414">
            <v>2349964.75</v>
          </cell>
          <cell r="S414">
            <v>10775219.725528559</v>
          </cell>
          <cell r="T414">
            <v>0</v>
          </cell>
        </row>
        <row r="415">
          <cell r="P415">
            <v>0</v>
          </cell>
          <cell r="R415">
            <v>2600649.54</v>
          </cell>
          <cell r="S415">
            <v>17146607.954666998</v>
          </cell>
          <cell r="T415">
            <v>0</v>
          </cell>
        </row>
        <row r="416">
          <cell r="P416">
            <v>7143822.512739202</v>
          </cell>
          <cell r="R416">
            <v>674709.6</v>
          </cell>
          <cell r="S416">
            <v>16639730.8258608</v>
          </cell>
          <cell r="T416">
            <v>0</v>
          </cell>
        </row>
        <row r="417">
          <cell r="P417">
            <v>686514.50749999983</v>
          </cell>
          <cell r="R417">
            <v>1268360.26</v>
          </cell>
          <cell r="S417">
            <v>4495708.7175394017</v>
          </cell>
          <cell r="T417">
            <v>0</v>
          </cell>
        </row>
        <row r="418">
          <cell r="P418">
            <v>3489956.9766666661</v>
          </cell>
          <cell r="R418">
            <v>287079</v>
          </cell>
          <cell r="S418">
            <v>10132200</v>
          </cell>
          <cell r="T418">
            <v>2934371.0351833329</v>
          </cell>
        </row>
        <row r="419">
          <cell r="P419">
            <v>6483712.7524907999</v>
          </cell>
          <cell r="R419">
            <v>2568531.09</v>
          </cell>
          <cell r="S419">
            <v>19762920</v>
          </cell>
          <cell r="T419">
            <v>0</v>
          </cell>
        </row>
        <row r="420">
          <cell r="P420">
            <v>10129603.428118331</v>
          </cell>
          <cell r="R420">
            <v>2387600.1</v>
          </cell>
          <cell r="S420">
            <v>17701560</v>
          </cell>
          <cell r="T420">
            <v>2355249.3838146701</v>
          </cell>
        </row>
        <row r="421">
          <cell r="P421">
            <v>886090.96180000121</v>
          </cell>
          <cell r="R421">
            <v>2164436.5467999997</v>
          </cell>
          <cell r="S421">
            <v>17413302.239999998</v>
          </cell>
          <cell r="T421">
            <v>1546650.0814000033</v>
          </cell>
        </row>
        <row r="422">
          <cell r="P422">
            <v>930573.32250000024</v>
          </cell>
          <cell r="R422">
            <v>1062863.97</v>
          </cell>
          <cell r="S422">
            <v>1640052.0527695997</v>
          </cell>
          <cell r="T422">
            <v>0</v>
          </cell>
        </row>
        <row r="423">
          <cell r="P423">
            <v>1398916.8396544</v>
          </cell>
          <cell r="R423">
            <v>100255.8</v>
          </cell>
          <cell r="S423">
            <v>0</v>
          </cell>
          <cell r="T423">
            <v>333673.49010941229</v>
          </cell>
        </row>
        <row r="424">
          <cell r="P424">
            <v>2682675.2085677697</v>
          </cell>
          <cell r="R424">
            <v>133038.6</v>
          </cell>
          <cell r="S424">
            <v>4695480</v>
          </cell>
          <cell r="T424">
            <v>523226.15713554062</v>
          </cell>
        </row>
        <row r="425">
          <cell r="P425">
            <v>2843838.4141774648</v>
          </cell>
          <cell r="R425">
            <v>127673.4</v>
          </cell>
          <cell r="S425">
            <v>3216138.08</v>
          </cell>
          <cell r="T425">
            <v>3500756.3641976733</v>
          </cell>
        </row>
        <row r="426">
          <cell r="P426">
            <v>331357.31247093313</v>
          </cell>
          <cell r="R426">
            <v>466035.92</v>
          </cell>
          <cell r="S426">
            <v>4528440</v>
          </cell>
          <cell r="T426">
            <v>1322917.7649418665</v>
          </cell>
        </row>
        <row r="427">
          <cell r="P427">
            <v>1386547.1137890664</v>
          </cell>
          <cell r="R427">
            <v>231788.24</v>
          </cell>
          <cell r="S427">
            <v>4466725.7279000003</v>
          </cell>
          <cell r="T427">
            <v>3017508.3841176555</v>
          </cell>
        </row>
        <row r="428">
          <cell r="P428">
            <v>6571877.8117803605</v>
          </cell>
          <cell r="R428">
            <v>1145854.1600000001</v>
          </cell>
        </row>
        <row r="429">
          <cell r="P429">
            <v>3797418.9970000004</v>
          </cell>
          <cell r="R429">
            <v>1250766.44</v>
          </cell>
          <cell r="S429">
            <v>1113637.9096748391</v>
          </cell>
          <cell r="T429">
            <v>0</v>
          </cell>
        </row>
        <row r="430">
          <cell r="P430">
            <v>1276378.0712522666</v>
          </cell>
          <cell r="R430">
            <v>169987.72999999998</v>
          </cell>
          <cell r="S430">
            <v>4469610.4400000004</v>
          </cell>
          <cell r="T430">
            <v>2278320.1825045338</v>
          </cell>
        </row>
        <row r="431">
          <cell r="P431">
            <v>1104159.1966666665</v>
          </cell>
          <cell r="R431">
            <v>716576.24</v>
          </cell>
          <cell r="S431">
            <v>4853160</v>
          </cell>
          <cell r="T431">
            <v>767204.27575933374</v>
          </cell>
        </row>
        <row r="432">
          <cell r="R432">
            <v>495536.14</v>
          </cell>
          <cell r="S432">
            <v>3082024.4333999995</v>
          </cell>
          <cell r="T432">
            <v>5.8207660913467407E-11</v>
          </cell>
        </row>
        <row r="433">
          <cell r="P433">
            <v>3312889.3466666671</v>
          </cell>
          <cell r="R433">
            <v>1493518.79</v>
          </cell>
          <cell r="S433">
            <v>10619640</v>
          </cell>
          <cell r="T433">
            <v>2539401.0255113319</v>
          </cell>
        </row>
        <row r="434">
          <cell r="P434">
            <v>489303.72999999952</v>
          </cell>
          <cell r="R434">
            <v>863657.62</v>
          </cell>
          <cell r="S434">
            <v>6415920</v>
          </cell>
          <cell r="T434">
            <v>0</v>
          </cell>
        </row>
        <row r="435">
          <cell r="R435">
            <v>1643881.3900000001</v>
          </cell>
          <cell r="S435">
            <v>8520160.7199999988</v>
          </cell>
          <cell r="T435">
            <v>0</v>
          </cell>
        </row>
        <row r="436">
          <cell r="P436">
            <v>3324827.2333333329</v>
          </cell>
          <cell r="R436">
            <v>444526.31000000006</v>
          </cell>
          <cell r="S436">
            <v>3594082.05</v>
          </cell>
          <cell r="T436">
            <v>1958133.2646326674</v>
          </cell>
        </row>
        <row r="437">
          <cell r="R437">
            <v>370716.75999999995</v>
          </cell>
          <cell r="S437">
            <v>1440406.782842</v>
          </cell>
          <cell r="T437">
            <v>0</v>
          </cell>
        </row>
        <row r="438">
          <cell r="P438">
            <v>6153125.9248689683</v>
          </cell>
          <cell r="R438">
            <v>1380937.2</v>
          </cell>
          <cell r="S438">
            <v>9903600</v>
          </cell>
          <cell r="T438">
            <v>11046935.485299297</v>
          </cell>
        </row>
        <row r="439">
          <cell r="P439">
            <v>0</v>
          </cell>
          <cell r="R439">
            <v>1454282.82</v>
          </cell>
          <cell r="S439">
            <v>6398386.5260119997</v>
          </cell>
          <cell r="T439">
            <v>0</v>
          </cell>
        </row>
        <row r="440">
          <cell r="P440">
            <v>854862.32758393337</v>
          </cell>
          <cell r="R440">
            <v>179774.24599999998</v>
          </cell>
          <cell r="S440">
            <v>338499.6</v>
          </cell>
          <cell r="T440">
            <v>1419063.070167867</v>
          </cell>
        </row>
        <row r="441">
          <cell r="P441">
            <v>2042518.3920666666</v>
          </cell>
          <cell r="R441">
            <v>216869.5638</v>
          </cell>
          <cell r="S441">
            <v>448910.27999999997</v>
          </cell>
          <cell r="T441">
            <v>3928380.2241333337</v>
          </cell>
        </row>
        <row r="442">
          <cell r="P442">
            <v>572522.35835117346</v>
          </cell>
          <cell r="R442">
            <v>153563.35</v>
          </cell>
          <cell r="S442">
            <v>305868</v>
          </cell>
          <cell r="T442">
            <v>926588.10750234686</v>
          </cell>
        </row>
        <row r="443">
          <cell r="P443">
            <v>4932346.6957104206</v>
          </cell>
          <cell r="R443">
            <v>426341.73599999998</v>
          </cell>
          <cell r="S443">
            <v>939159.59999999986</v>
          </cell>
          <cell r="T443">
            <v>8333125.1423208397</v>
          </cell>
        </row>
        <row r="444">
          <cell r="P444">
            <v>2036554.7715932464</v>
          </cell>
          <cell r="R444">
            <v>182941.56399999998</v>
          </cell>
          <cell r="S444">
            <v>411260.39999999991</v>
          </cell>
          <cell r="T444">
            <v>3407951.6472864933</v>
          </cell>
        </row>
        <row r="445">
          <cell r="P445">
            <v>2190719.200666667</v>
          </cell>
          <cell r="R445">
            <v>229660.23199999999</v>
          </cell>
          <cell r="S445">
            <v>520657.19999999995</v>
          </cell>
          <cell r="T445">
            <v>4239251.4037333336</v>
          </cell>
        </row>
        <row r="446">
          <cell r="P446">
            <v>4726214.1316666668</v>
          </cell>
          <cell r="Q446">
            <v>809042.81499999994</v>
          </cell>
          <cell r="R446">
            <v>199998.12</v>
          </cell>
          <cell r="S446">
            <v>583451.99999999988</v>
          </cell>
          <cell r="T446">
            <v>10539705.663333334</v>
          </cell>
        </row>
        <row r="447">
          <cell r="P447">
            <v>1550168.3224000398</v>
          </cell>
          <cell r="Q447">
            <v>210000</v>
          </cell>
          <cell r="R447">
            <v>340980.2868</v>
          </cell>
          <cell r="S447">
            <v>804748.07999999984</v>
          </cell>
          <cell r="T447">
            <v>2565193.695800079</v>
          </cell>
        </row>
        <row r="448">
          <cell r="R448">
            <v>2262800.4500000002</v>
          </cell>
          <cell r="S448">
            <v>3946638.5555262594</v>
          </cell>
          <cell r="T448">
            <v>0</v>
          </cell>
        </row>
        <row r="449">
          <cell r="R449">
            <v>1050228.8737864401</v>
          </cell>
          <cell r="S449">
            <v>0</v>
          </cell>
          <cell r="T449">
            <v>0</v>
          </cell>
        </row>
        <row r="450">
          <cell r="R450">
            <v>293473.29564598005</v>
          </cell>
          <cell r="S450">
            <v>0</v>
          </cell>
          <cell r="T450">
            <v>0</v>
          </cell>
        </row>
        <row r="451">
          <cell r="R451">
            <v>321001.14</v>
          </cell>
          <cell r="S451">
            <v>0</v>
          </cell>
          <cell r="T451">
            <v>0</v>
          </cell>
        </row>
        <row r="452">
          <cell r="R452">
            <v>1873270.93</v>
          </cell>
          <cell r="S452">
            <v>0</v>
          </cell>
          <cell r="T452">
            <v>0</v>
          </cell>
        </row>
        <row r="453">
          <cell r="R453">
            <v>1393368.6</v>
          </cell>
          <cell r="S453">
            <v>858580.2353626797</v>
          </cell>
          <cell r="T453">
            <v>0</v>
          </cell>
        </row>
        <row r="454">
          <cell r="R454">
            <v>1363004.8699999999</v>
          </cell>
          <cell r="S454">
            <v>1079218.7512871202</v>
          </cell>
          <cell r="T454">
            <v>0</v>
          </cell>
        </row>
        <row r="455">
          <cell r="P455">
            <v>2605661.0315339789</v>
          </cell>
          <cell r="R455">
            <v>621865.63000000012</v>
          </cell>
          <cell r="S455">
            <v>2982539.2859612601</v>
          </cell>
          <cell r="T455">
            <v>0</v>
          </cell>
        </row>
        <row r="456">
          <cell r="P456">
            <v>0</v>
          </cell>
          <cell r="R456">
            <v>0</v>
          </cell>
          <cell r="S456">
            <v>340500.39751072001</v>
          </cell>
          <cell r="T456">
            <v>0</v>
          </cell>
        </row>
        <row r="457">
          <cell r="P457">
            <v>2067746.9300000002</v>
          </cell>
          <cell r="R457">
            <v>652968.09999999986</v>
          </cell>
          <cell r="S457">
            <v>10554072.310000001</v>
          </cell>
          <cell r="T457">
            <v>0</v>
          </cell>
        </row>
        <row r="459">
          <cell r="Q459">
            <v>0</v>
          </cell>
          <cell r="R459">
            <v>5412177.9005999994</v>
          </cell>
          <cell r="S459">
            <v>5361902.0994000006</v>
          </cell>
          <cell r="T459">
            <v>0</v>
          </cell>
        </row>
        <row r="460">
          <cell r="R460">
            <v>3109557.33</v>
          </cell>
          <cell r="S460">
            <v>0</v>
          </cell>
          <cell r="T460">
            <v>0</v>
          </cell>
        </row>
        <row r="461">
          <cell r="R461">
            <v>1171287.6801999998</v>
          </cell>
          <cell r="S461">
            <v>3441064.7740459521</v>
          </cell>
          <cell r="T461">
            <v>0</v>
          </cell>
        </row>
        <row r="462">
          <cell r="R462">
            <v>589325.33340000012</v>
          </cell>
          <cell r="S462">
            <v>4399990.7763349582</v>
          </cell>
          <cell r="T462">
            <v>0</v>
          </cell>
        </row>
        <row r="463">
          <cell r="R463">
            <v>4370409.08</v>
          </cell>
          <cell r="S463">
            <v>6604840.123776</v>
          </cell>
          <cell r="T463">
            <v>0</v>
          </cell>
        </row>
        <row r="464">
          <cell r="R464">
            <v>3475803.7290000003</v>
          </cell>
          <cell r="S464">
            <v>28472875.204052545</v>
          </cell>
          <cell r="T464">
            <v>0</v>
          </cell>
        </row>
        <row r="465">
          <cell r="P465">
            <v>3678482.7385679903</v>
          </cell>
          <cell r="Q465">
            <v>0</v>
          </cell>
          <cell r="R465">
            <v>1358690.65</v>
          </cell>
          <cell r="S465">
            <v>8795160</v>
          </cell>
          <cell r="T465">
            <v>14710804.04189761</v>
          </cell>
        </row>
        <row r="466">
          <cell r="P466">
            <v>3283800.1961900308</v>
          </cell>
          <cell r="Q466">
            <v>0</v>
          </cell>
          <cell r="R466">
            <v>1402191.16</v>
          </cell>
          <cell r="S466">
            <v>9167760</v>
          </cell>
          <cell r="T466">
            <v>10046894.151999481</v>
          </cell>
        </row>
        <row r="467">
          <cell r="P467">
            <v>2740842.16343422</v>
          </cell>
          <cell r="R467">
            <v>1218909.47</v>
          </cell>
          <cell r="S467">
            <v>15541920</v>
          </cell>
          <cell r="T467">
            <v>5373142.9411609992</v>
          </cell>
        </row>
        <row r="468">
          <cell r="P468">
            <v>3299198.8272420606</v>
          </cell>
          <cell r="R468">
            <v>706496.33</v>
          </cell>
          <cell r="S468">
            <v>13269140.084563842</v>
          </cell>
          <cell r="T468">
            <v>2823458.8841608651</v>
          </cell>
        </row>
        <row r="469">
          <cell r="P469">
            <v>1728310.2671391205</v>
          </cell>
          <cell r="R469">
            <v>1773436.21</v>
          </cell>
          <cell r="S469">
            <v>11076120</v>
          </cell>
          <cell r="T469">
            <v>3198089.7338004783</v>
          </cell>
        </row>
        <row r="470">
          <cell r="P470">
            <v>3325117.073269573</v>
          </cell>
          <cell r="R470">
            <v>893007.83000000007</v>
          </cell>
          <cell r="T470">
            <v>22606260.395474695</v>
          </cell>
        </row>
        <row r="471">
          <cell r="R471">
            <v>0</v>
          </cell>
          <cell r="S471">
            <v>7084313.3406541934</v>
          </cell>
          <cell r="T471">
            <v>0</v>
          </cell>
        </row>
        <row r="472">
          <cell r="R472">
            <v>276072.63532301196</v>
          </cell>
          <cell r="S472">
            <v>516245.47758200817</v>
          </cell>
          <cell r="T472">
            <v>5.8207660913467407E-11</v>
          </cell>
        </row>
        <row r="473">
          <cell r="P473">
            <v>3488737.6475839727</v>
          </cell>
          <cell r="R473">
            <v>0</v>
          </cell>
          <cell r="S473">
            <v>12767916.109760767</v>
          </cell>
          <cell r="T473">
            <v>7468580.5560530256</v>
          </cell>
        </row>
        <row r="474">
          <cell r="R474">
            <v>2596161.39</v>
          </cell>
          <cell r="S474">
            <v>12175359.900958851</v>
          </cell>
          <cell r="T474">
            <v>9.3132257461547852E-10</v>
          </cell>
        </row>
        <row r="475">
          <cell r="R475">
            <v>7265477.3361999998</v>
          </cell>
          <cell r="S475">
            <v>9083678.5264972188</v>
          </cell>
          <cell r="T475">
            <v>0</v>
          </cell>
        </row>
        <row r="476">
          <cell r="R476">
            <v>5227881.9578</v>
          </cell>
          <cell r="S476">
            <v>5546198.0422</v>
          </cell>
          <cell r="T476">
            <v>0</v>
          </cell>
        </row>
        <row r="477">
          <cell r="R477">
            <v>2921980.0100000002</v>
          </cell>
          <cell r="S477">
            <v>10728350.625379208</v>
          </cell>
          <cell r="T477">
            <v>0</v>
          </cell>
        </row>
        <row r="478">
          <cell r="P478">
            <v>453049.84037679993</v>
          </cell>
          <cell r="R478">
            <v>1421354.58</v>
          </cell>
          <cell r="S478">
            <v>15719613.43</v>
          </cell>
          <cell r="T478">
            <v>0</v>
          </cell>
        </row>
        <row r="479">
          <cell r="P479">
            <v>3571794.2067385912</v>
          </cell>
          <cell r="R479">
            <v>46238.970000000088</v>
          </cell>
          <cell r="S479">
            <v>10006846.59</v>
          </cell>
          <cell r="T479">
            <v>2451084.0779104792</v>
          </cell>
        </row>
        <row r="480">
          <cell r="S480">
            <v>4281809.6559070544</v>
          </cell>
        </row>
        <row r="481">
          <cell r="R481">
            <v>2473160.92</v>
          </cell>
          <cell r="S481">
            <v>13390746.94463787</v>
          </cell>
          <cell r="T481">
            <v>4.6566128730773926E-10</v>
          </cell>
        </row>
        <row r="482">
          <cell r="R482">
            <v>5277721.8474000003</v>
          </cell>
          <cell r="S482">
            <v>5496358.1525999997</v>
          </cell>
          <cell r="T482">
            <v>0</v>
          </cell>
        </row>
        <row r="483">
          <cell r="P483">
            <v>749476.04747032025</v>
          </cell>
          <cell r="R483">
            <v>557135.78</v>
          </cell>
          <cell r="S483">
            <v>1483225.731328845</v>
          </cell>
          <cell r="T483">
            <v>0</v>
          </cell>
        </row>
        <row r="484">
          <cell r="R484">
            <v>1901281.1421999999</v>
          </cell>
          <cell r="S484">
            <v>4360492.2103414061</v>
          </cell>
          <cell r="T484">
            <v>2.3283064365386963E-10</v>
          </cell>
        </row>
        <row r="485">
          <cell r="R485">
            <v>6977187.2571999999</v>
          </cell>
          <cell r="S485">
            <v>17662747.072313033</v>
          </cell>
          <cell r="T485">
            <v>0</v>
          </cell>
        </row>
        <row r="486">
          <cell r="P486">
            <v>0</v>
          </cell>
          <cell r="R486">
            <v>1789671.8205999997</v>
          </cell>
          <cell r="S486">
            <v>11825833.996154271</v>
          </cell>
          <cell r="T486">
            <v>0</v>
          </cell>
        </row>
        <row r="487">
          <cell r="P487">
            <v>3288504.7317224042</v>
          </cell>
          <cell r="R487">
            <v>2857758.32</v>
          </cell>
          <cell r="S487">
            <v>17785800</v>
          </cell>
          <cell r="T487">
            <v>6403404.9709526636</v>
          </cell>
        </row>
        <row r="488">
          <cell r="P488">
            <v>7716317.4366000015</v>
          </cell>
          <cell r="R488">
            <v>10240482.563399998</v>
          </cell>
        </row>
        <row r="489">
          <cell r="P489">
            <v>6843315.0602000002</v>
          </cell>
          <cell r="R489">
            <v>7749271.8798000002</v>
          </cell>
          <cell r="T489">
            <v>3364213.0599999996</v>
          </cell>
        </row>
        <row r="490">
          <cell r="R490">
            <v>1009698.5878754712</v>
          </cell>
          <cell r="S490">
            <v>265750.69702665368</v>
          </cell>
          <cell r="T490">
            <v>0</v>
          </cell>
        </row>
        <row r="491">
          <cell r="P491">
            <v>2733720.5987020801</v>
          </cell>
          <cell r="R491">
            <v>2624004.63</v>
          </cell>
          <cell r="S491">
            <v>16547040</v>
          </cell>
          <cell r="T491">
            <v>582694.80000000075</v>
          </cell>
        </row>
        <row r="492">
          <cell r="R492">
            <v>2103623.1689999998</v>
          </cell>
          <cell r="S492">
            <v>1316240.2452083402</v>
          </cell>
          <cell r="T492">
            <v>0</v>
          </cell>
        </row>
        <row r="493">
          <cell r="R493">
            <v>2214546.784</v>
          </cell>
          <cell r="S493">
            <v>9288655.1755069178</v>
          </cell>
          <cell r="T493">
            <v>0</v>
          </cell>
        </row>
        <row r="494">
          <cell r="R494">
            <v>2791378.78</v>
          </cell>
          <cell r="S494">
            <v>15721684.25403087</v>
          </cell>
          <cell r="T494">
            <v>0</v>
          </cell>
        </row>
        <row r="495">
          <cell r="R495">
            <v>2136734.9907999998</v>
          </cell>
          <cell r="T495">
            <v>1454625.0092000002</v>
          </cell>
        </row>
        <row r="496">
          <cell r="P496">
            <v>1140762.2226702368</v>
          </cell>
          <cell r="R496">
            <v>1819924.9996</v>
          </cell>
          <cell r="S496">
            <v>11198557.212003253</v>
          </cell>
        </row>
        <row r="497">
          <cell r="P497">
            <v>3090162.8634445257</v>
          </cell>
          <cell r="R497">
            <v>437725.94620000006</v>
          </cell>
          <cell r="S497">
            <v>12322887.476784125</v>
          </cell>
          <cell r="T497">
            <v>12300599.17478494</v>
          </cell>
        </row>
        <row r="498">
          <cell r="R498">
            <v>739592.79219999991</v>
          </cell>
          <cell r="S498">
            <v>6329542.682707618</v>
          </cell>
          <cell r="T498">
            <v>0</v>
          </cell>
        </row>
        <row r="499">
          <cell r="P499">
            <v>1268562.6795129601</v>
          </cell>
          <cell r="R499">
            <v>673546.79999999993</v>
          </cell>
          <cell r="S499">
            <v>3174310.8775531789</v>
          </cell>
          <cell r="T499">
            <v>0</v>
          </cell>
        </row>
        <row r="500">
          <cell r="P500">
            <v>1908022.4918</v>
          </cell>
          <cell r="R500">
            <v>1683337.5082</v>
          </cell>
          <cell r="S500">
            <v>0</v>
          </cell>
          <cell r="T500">
            <v>0</v>
          </cell>
        </row>
        <row r="501">
          <cell r="R501">
            <v>2103716.6800000002</v>
          </cell>
          <cell r="S501">
            <v>1620235.1889671171</v>
          </cell>
          <cell r="T501">
            <v>0</v>
          </cell>
        </row>
        <row r="502">
          <cell r="R502">
            <v>2110631.09</v>
          </cell>
          <cell r="S502">
            <v>3593908.37634</v>
          </cell>
          <cell r="T502">
            <v>0</v>
          </cell>
        </row>
        <row r="503">
          <cell r="R503">
            <v>2116179.3499999996</v>
          </cell>
          <cell r="S503">
            <v>5442432.9704800006</v>
          </cell>
          <cell r="T503">
            <v>4.6566128730773926E-10</v>
          </cell>
        </row>
        <row r="504">
          <cell r="P504">
            <v>1188980.4111846876</v>
          </cell>
          <cell r="R504">
            <v>995642.04</v>
          </cell>
          <cell r="S504">
            <v>6685920</v>
          </cell>
          <cell r="T504">
            <v>2103173.9414732046</v>
          </cell>
        </row>
        <row r="505">
          <cell r="R505">
            <v>1808425.52</v>
          </cell>
          <cell r="S505">
            <v>9467681.5061340202</v>
          </cell>
          <cell r="T505">
            <v>2.3283064365386963E-10</v>
          </cell>
        </row>
        <row r="506">
          <cell r="R506">
            <v>2863173.66</v>
          </cell>
          <cell r="S506">
            <v>6720055.6046912</v>
          </cell>
          <cell r="T506">
            <v>0</v>
          </cell>
        </row>
        <row r="507">
          <cell r="P507">
            <v>687023.047624161</v>
          </cell>
          <cell r="R507">
            <v>1425904.3699999999</v>
          </cell>
          <cell r="S507">
            <v>9996505.4600000009</v>
          </cell>
          <cell r="T507">
            <v>704433.06082281657</v>
          </cell>
        </row>
        <row r="508">
          <cell r="P508">
            <v>5162464.244825148</v>
          </cell>
          <cell r="R508">
            <v>0</v>
          </cell>
          <cell r="S508">
            <v>6559427.6825673096</v>
          </cell>
          <cell r="T508">
            <v>18599262.85736911</v>
          </cell>
        </row>
        <row r="509">
          <cell r="R509">
            <v>4082540.3367999997</v>
          </cell>
          <cell r="S509">
            <v>9661536.5234342795</v>
          </cell>
          <cell r="T509">
            <v>0</v>
          </cell>
        </row>
        <row r="510">
          <cell r="R510">
            <v>1799839.3219999999</v>
          </cell>
          <cell r="S510">
            <v>16819275.878956474</v>
          </cell>
        </row>
        <row r="511">
          <cell r="P511">
            <v>534822.96800000034</v>
          </cell>
          <cell r="R511">
            <v>603918.38</v>
          </cell>
          <cell r="S511">
            <v>3461760</v>
          </cell>
          <cell r="T511">
            <v>15433383.212000001</v>
          </cell>
        </row>
        <row r="512">
          <cell r="P512">
            <v>3288801.0671485327</v>
          </cell>
          <cell r="R512">
            <v>2704214.54</v>
          </cell>
          <cell r="S512">
            <v>17384760</v>
          </cell>
          <cell r="T512">
            <v>9608619.1565835811</v>
          </cell>
        </row>
        <row r="513">
          <cell r="R513">
            <v>5418954.5269999998</v>
          </cell>
          <cell r="S513">
            <v>2143891.4852871755</v>
          </cell>
          <cell r="T513">
            <v>0</v>
          </cell>
        </row>
        <row r="514">
          <cell r="P514">
            <v>1063992.5620395201</v>
          </cell>
          <cell r="R514">
            <v>647279.99</v>
          </cell>
          <cell r="S514">
            <v>4088520</v>
          </cell>
          <cell r="T514">
            <v>997816.33227279969</v>
          </cell>
        </row>
        <row r="515">
          <cell r="R515">
            <v>2453478.9500000002</v>
          </cell>
          <cell r="S515">
            <v>869629.53432209883</v>
          </cell>
          <cell r="T515">
            <v>0</v>
          </cell>
        </row>
        <row r="516">
          <cell r="P516">
            <v>0</v>
          </cell>
          <cell r="R516">
            <v>3647493.98</v>
          </cell>
          <cell r="S516">
            <v>22130030.950161468</v>
          </cell>
          <cell r="T516">
            <v>0</v>
          </cell>
        </row>
        <row r="517">
          <cell r="P517">
            <v>2937535.5499065467</v>
          </cell>
          <cell r="R517">
            <v>0</v>
          </cell>
          <cell r="S517">
            <v>6597178.9126290623</v>
          </cell>
          <cell r="T517">
            <v>4425214.320706496</v>
          </cell>
        </row>
        <row r="518">
          <cell r="R518">
            <v>3004626.7699999996</v>
          </cell>
          <cell r="S518">
            <v>4532024.3210547995</v>
          </cell>
          <cell r="T518">
            <v>0</v>
          </cell>
        </row>
        <row r="519">
          <cell r="P519">
            <v>5155802.1643344508</v>
          </cell>
          <cell r="R519">
            <v>3546652.9</v>
          </cell>
          <cell r="S519">
            <v>22244040</v>
          </cell>
          <cell r="T519">
            <v>15270010.988928385</v>
          </cell>
        </row>
        <row r="520">
          <cell r="R520">
            <v>2653756.7599999998</v>
          </cell>
          <cell r="S520">
            <v>973949.37059645494</v>
          </cell>
          <cell r="T520">
            <v>0</v>
          </cell>
        </row>
        <row r="521">
          <cell r="P521">
            <v>2102054.094579109</v>
          </cell>
          <cell r="R521">
            <v>4320165.2457999997</v>
          </cell>
          <cell r="S521">
            <v>28443790.440000005</v>
          </cell>
          <cell r="T521">
            <v>4817819.4587373249</v>
          </cell>
        </row>
        <row r="522">
          <cell r="R522">
            <v>3724080.84</v>
          </cell>
          <cell r="S522">
            <v>24963967.491907835</v>
          </cell>
          <cell r="T522">
            <v>0</v>
          </cell>
        </row>
        <row r="523">
          <cell r="P523">
            <v>1002935.5173789167</v>
          </cell>
          <cell r="R523">
            <v>2144471.5296</v>
          </cell>
          <cell r="S523">
            <v>13186763.279999999</v>
          </cell>
          <cell r="T523">
            <v>3419384.3553367518</v>
          </cell>
        </row>
        <row r="524">
          <cell r="R524">
            <v>2445791.54</v>
          </cell>
          <cell r="S524">
            <v>12598505.284234125</v>
          </cell>
          <cell r="T524">
            <v>4.6566128730773926E-10</v>
          </cell>
        </row>
        <row r="525">
          <cell r="P525">
            <v>1714925.7675000001</v>
          </cell>
          <cell r="R525">
            <v>552771.29</v>
          </cell>
          <cell r="S525">
            <v>3949200</v>
          </cell>
          <cell r="T525">
            <v>3692693.6309000002</v>
          </cell>
        </row>
        <row r="526">
          <cell r="R526">
            <v>2112725.9468</v>
          </cell>
          <cell r="S526">
            <v>7712878.9537436506</v>
          </cell>
          <cell r="T526">
            <v>0</v>
          </cell>
        </row>
        <row r="527">
          <cell r="P527">
            <v>3254083.8187434226</v>
          </cell>
          <cell r="R527">
            <v>389159.90639999998</v>
          </cell>
          <cell r="S527">
            <v>10694937.309999999</v>
          </cell>
        </row>
        <row r="528">
          <cell r="P528">
            <v>3538238.8867999995</v>
          </cell>
          <cell r="Q528">
            <v>0</v>
          </cell>
          <cell r="R528">
            <v>6241761.1132000005</v>
          </cell>
        </row>
        <row r="529">
          <cell r="R529">
            <v>1949895.9373999999</v>
          </cell>
          <cell r="S529">
            <v>8487096.6621205639</v>
          </cell>
          <cell r="T529">
            <v>4.6566128730773926E-10</v>
          </cell>
        </row>
        <row r="530">
          <cell r="P530">
            <v>2200544.6488000001</v>
          </cell>
          <cell r="R530">
            <v>1390815.3511999999</v>
          </cell>
        </row>
        <row r="531">
          <cell r="P531">
            <v>4650735.0838000001</v>
          </cell>
          <cell r="Q531">
            <v>0</v>
          </cell>
          <cell r="R531">
            <v>2531984.9161999999</v>
          </cell>
        </row>
        <row r="532">
          <cell r="R532">
            <v>1572282.99</v>
          </cell>
          <cell r="S532">
            <v>1411401.0800000003</v>
          </cell>
          <cell r="T532">
            <v>0</v>
          </cell>
        </row>
        <row r="533">
          <cell r="R533">
            <v>650714.24</v>
          </cell>
          <cell r="S533">
            <v>2739832.6399999997</v>
          </cell>
          <cell r="T533">
            <v>0</v>
          </cell>
        </row>
        <row r="534">
          <cell r="R534">
            <v>393369.2</v>
          </cell>
          <cell r="S534">
            <v>196198.39499999996</v>
          </cell>
          <cell r="T534">
            <v>0</v>
          </cell>
        </row>
        <row r="535">
          <cell r="R535">
            <v>214406.8</v>
          </cell>
          <cell r="S535">
            <v>295733.65280000004</v>
          </cell>
          <cell r="T535">
            <v>0</v>
          </cell>
        </row>
        <row r="536">
          <cell r="R536">
            <v>306771.38</v>
          </cell>
          <cell r="S536">
            <v>79875.565300000017</v>
          </cell>
          <cell r="T536">
            <v>0</v>
          </cell>
        </row>
        <row r="537">
          <cell r="P537">
            <v>0</v>
          </cell>
          <cell r="R537">
            <v>172568.74000000002</v>
          </cell>
          <cell r="S537">
            <v>1866187.7726</v>
          </cell>
          <cell r="T537">
            <v>0</v>
          </cell>
        </row>
        <row r="538">
          <cell r="Q538">
            <v>0</v>
          </cell>
          <cell r="R538">
            <v>11169257.9377</v>
          </cell>
          <cell r="S538">
            <v>10367630.278018933</v>
          </cell>
          <cell r="T538">
            <v>0</v>
          </cell>
        </row>
        <row r="539">
          <cell r="Q539">
            <v>0</v>
          </cell>
          <cell r="R539">
            <v>13086959.943799999</v>
          </cell>
          <cell r="S539">
            <v>12052560.056200001</v>
          </cell>
          <cell r="T539">
            <v>0</v>
          </cell>
        </row>
        <row r="540">
          <cell r="Q540">
            <v>0</v>
          </cell>
          <cell r="R540">
            <v>6693999.8041399997</v>
          </cell>
          <cell r="S540">
            <v>7697493.4512813147</v>
          </cell>
          <cell r="T540">
            <v>0</v>
          </cell>
        </row>
        <row r="541">
          <cell r="P541">
            <v>127594.26226869</v>
          </cell>
          <cell r="R541">
            <v>4101886.91</v>
          </cell>
          <cell r="S541">
            <v>27054000</v>
          </cell>
          <cell r="T541">
            <v>8320001.4558427483</v>
          </cell>
        </row>
        <row r="542">
          <cell r="P542">
            <v>3200622.2373585771</v>
          </cell>
          <cell r="R542">
            <v>1253870.0724331199</v>
          </cell>
          <cell r="S542">
            <v>14180040</v>
          </cell>
          <cell r="T542">
            <v>4601161.9519343041</v>
          </cell>
        </row>
        <row r="543">
          <cell r="P543">
            <v>566089.32750000013</v>
          </cell>
          <cell r="R543">
            <v>273418.77</v>
          </cell>
          <cell r="S543">
            <v>2422440</v>
          </cell>
          <cell r="T543">
            <v>922339.09169999976</v>
          </cell>
        </row>
        <row r="544">
          <cell r="P544">
            <v>2032936.2280000001</v>
          </cell>
          <cell r="R544">
            <v>1722849.2049833797</v>
          </cell>
          <cell r="S544">
            <v>29890060.559999999</v>
          </cell>
          <cell r="T544">
            <v>7548754.287016619</v>
          </cell>
        </row>
        <row r="545">
          <cell r="P545">
            <v>3038566.1072513652</v>
          </cell>
          <cell r="R545">
            <v>648286.88</v>
          </cell>
          <cell r="S545">
            <v>4623480</v>
          </cell>
          <cell r="T545">
            <v>9134578.5217540953</v>
          </cell>
        </row>
        <row r="546">
          <cell r="R546">
            <v>928129.97294748016</v>
          </cell>
          <cell r="S546">
            <v>4071369.0388525194</v>
          </cell>
          <cell r="T546">
            <v>4.6566128730773926E-10</v>
          </cell>
        </row>
        <row r="547">
          <cell r="R547">
            <v>2221077.79</v>
          </cell>
          <cell r="S547">
            <v>91518.012499999721</v>
          </cell>
          <cell r="T547">
            <v>0</v>
          </cell>
        </row>
        <row r="548">
          <cell r="R548">
            <v>1578343.95</v>
          </cell>
          <cell r="S548">
            <v>0</v>
          </cell>
          <cell r="T548">
            <v>0</v>
          </cell>
        </row>
        <row r="549">
          <cell r="R549">
            <v>960081.54</v>
          </cell>
          <cell r="S549">
            <v>7281781.2859200006</v>
          </cell>
          <cell r="T549">
            <v>0</v>
          </cell>
        </row>
        <row r="550">
          <cell r="P550">
            <v>2512560.0679270476</v>
          </cell>
          <cell r="Q550">
            <v>0</v>
          </cell>
          <cell r="R550">
            <v>682851.66</v>
          </cell>
          <cell r="S550">
            <v>4601880</v>
          </cell>
          <cell r="T550">
            <v>11485318.241979901</v>
          </cell>
        </row>
        <row r="551">
          <cell r="R551">
            <v>764918.96504399984</v>
          </cell>
          <cell r="S551">
            <v>11057692.125712002</v>
          </cell>
          <cell r="T551">
            <v>0</v>
          </cell>
        </row>
        <row r="552">
          <cell r="R552">
            <v>1090383.0156</v>
          </cell>
          <cell r="S552">
            <v>0</v>
          </cell>
          <cell r="T552">
            <v>0</v>
          </cell>
        </row>
        <row r="553">
          <cell r="P553">
            <v>6350229.8080000002</v>
          </cell>
          <cell r="R553">
            <v>2630243.4499999997</v>
          </cell>
          <cell r="S553">
            <v>18028440</v>
          </cell>
          <cell r="T553">
            <v>25607268.711999997</v>
          </cell>
        </row>
        <row r="554">
          <cell r="P554">
            <v>3677895.9417703999</v>
          </cell>
          <cell r="R554">
            <v>1462998.8499999999</v>
          </cell>
          <cell r="S554">
            <v>9807202.6400000006</v>
          </cell>
          <cell r="T554">
            <v>10764374.292081598</v>
          </cell>
        </row>
        <row r="555">
          <cell r="P555">
            <v>0</v>
          </cell>
          <cell r="R555">
            <v>449546.89999999997</v>
          </cell>
          <cell r="S555">
            <v>4822867.6245999988</v>
          </cell>
          <cell r="T555">
            <v>0</v>
          </cell>
        </row>
        <row r="556">
          <cell r="P556">
            <v>8517894.7578108646</v>
          </cell>
          <cell r="Q556">
            <v>0</v>
          </cell>
          <cell r="R556">
            <v>1208620.8999999999</v>
          </cell>
          <cell r="S556">
            <v>12792600</v>
          </cell>
          <cell r="T556">
            <v>31591743.488071643</v>
          </cell>
        </row>
        <row r="557">
          <cell r="P557">
            <v>4581465.5337166088</v>
          </cell>
          <cell r="Q557">
            <v>0</v>
          </cell>
          <cell r="R557">
            <v>2060779.94</v>
          </cell>
          <cell r="S557">
            <v>13014720</v>
          </cell>
          <cell r="T557">
            <v>17602491.334866434</v>
          </cell>
        </row>
        <row r="558">
          <cell r="P558">
            <v>1511702.0514524882</v>
          </cell>
          <cell r="R558">
            <v>1989936.72</v>
          </cell>
          <cell r="S558">
            <v>12354840</v>
          </cell>
          <cell r="T558">
            <v>4548433.3543574661</v>
          </cell>
        </row>
        <row r="559">
          <cell r="P559">
            <v>3119886.4825000009</v>
          </cell>
          <cell r="Q559">
            <v>0</v>
          </cell>
          <cell r="R559">
            <v>1715789.03</v>
          </cell>
          <cell r="S559">
            <v>10263240</v>
          </cell>
          <cell r="T559">
            <v>9376688.6475000009</v>
          </cell>
        </row>
        <row r="560">
          <cell r="P560">
            <v>1145305.2433538393</v>
          </cell>
          <cell r="R560">
            <v>347473.2</v>
          </cell>
          <cell r="T560">
            <v>4314398.2410461605</v>
          </cell>
        </row>
        <row r="561">
          <cell r="P561">
            <v>1067670.11489175</v>
          </cell>
          <cell r="R561">
            <v>2077227.6700000002</v>
          </cell>
          <cell r="S561">
            <v>12479040</v>
          </cell>
          <cell r="T561">
            <v>3203380.5446752515</v>
          </cell>
        </row>
        <row r="562">
          <cell r="P562">
            <v>2077670.4749999989</v>
          </cell>
          <cell r="R562">
            <v>2069895.47</v>
          </cell>
          <cell r="S562">
            <v>12341160</v>
          </cell>
          <cell r="T562">
            <v>3745811.0002999995</v>
          </cell>
        </row>
        <row r="563">
          <cell r="P563">
            <v>1222282.7049824998</v>
          </cell>
          <cell r="R563">
            <v>442180.2</v>
          </cell>
          <cell r="S563">
            <v>0</v>
          </cell>
          <cell r="T563">
            <v>2878083.7305474998</v>
          </cell>
        </row>
        <row r="564">
          <cell r="P564">
            <v>4305404.6954799788</v>
          </cell>
          <cell r="R564">
            <v>1466157.9235001002</v>
          </cell>
          <cell r="S564">
            <v>6946044.4906000076</v>
          </cell>
          <cell r="T564">
            <v>12625976.482219916</v>
          </cell>
        </row>
        <row r="565">
          <cell r="P565">
            <v>8300255.7228212012</v>
          </cell>
          <cell r="R565">
            <v>1480640.4100000001</v>
          </cell>
          <cell r="S565">
            <v>5574535.4132261984</v>
          </cell>
          <cell r="T565">
            <v>21404430.323158603</v>
          </cell>
        </row>
        <row r="566">
          <cell r="P566">
            <v>1952415.092709831</v>
          </cell>
          <cell r="R566">
            <v>4622259.3600000003</v>
          </cell>
          <cell r="S566">
            <v>9064913.4816539548</v>
          </cell>
          <cell r="T566">
            <v>0</v>
          </cell>
        </row>
        <row r="567">
          <cell r="R567">
            <v>5319513.9239999996</v>
          </cell>
          <cell r="S567">
            <v>5454566.0760000004</v>
          </cell>
          <cell r="T567">
            <v>0</v>
          </cell>
        </row>
        <row r="568">
          <cell r="P568">
            <v>1226851.3124999998</v>
          </cell>
          <cell r="R568">
            <v>109631.77999999962</v>
          </cell>
          <cell r="S568">
            <v>0</v>
          </cell>
          <cell r="T568">
            <v>3241139.561100001</v>
          </cell>
        </row>
        <row r="569">
          <cell r="R569">
            <v>2278497.5199999996</v>
          </cell>
          <cell r="S569">
            <v>1284019.9607000006</v>
          </cell>
          <cell r="T569">
            <v>0</v>
          </cell>
        </row>
        <row r="570">
          <cell r="R570">
            <v>2323481.64</v>
          </cell>
          <cell r="S570">
            <v>0</v>
          </cell>
          <cell r="T570">
            <v>0</v>
          </cell>
        </row>
        <row r="571">
          <cell r="R571">
            <v>1630698.28</v>
          </cell>
          <cell r="S571">
            <v>0</v>
          </cell>
          <cell r="T571">
            <v>0</v>
          </cell>
        </row>
        <row r="572">
          <cell r="R572">
            <v>3712329.4699999997</v>
          </cell>
          <cell r="S572">
            <v>9651414.3309412003</v>
          </cell>
          <cell r="T572">
            <v>0</v>
          </cell>
        </row>
        <row r="573">
          <cell r="R573">
            <v>1398280.95</v>
          </cell>
          <cell r="S573">
            <v>1255267.7028289547</v>
          </cell>
          <cell r="T573">
            <v>0</v>
          </cell>
        </row>
        <row r="574">
          <cell r="R574">
            <v>2621907.0299999998</v>
          </cell>
          <cell r="S574">
            <v>7847553.7410000004</v>
          </cell>
          <cell r="T574">
            <v>0</v>
          </cell>
        </row>
        <row r="575">
          <cell r="R575">
            <v>1946518.9788139998</v>
          </cell>
          <cell r="S575">
            <v>3285919.4450719994</v>
          </cell>
          <cell r="T575">
            <v>0</v>
          </cell>
        </row>
        <row r="576">
          <cell r="R576">
            <v>2865626.9831999997</v>
          </cell>
          <cell r="S576">
            <v>30582189.575911004</v>
          </cell>
          <cell r="T576">
            <v>0</v>
          </cell>
        </row>
        <row r="577">
          <cell r="R577">
            <v>2369206.8372</v>
          </cell>
          <cell r="S577">
            <v>15670650.873989839</v>
          </cell>
          <cell r="T577">
            <v>4.6566128730773926E-10</v>
          </cell>
        </row>
        <row r="578">
          <cell r="R578">
            <v>1635770.6579999998</v>
          </cell>
          <cell r="S578">
            <v>1955589.3420000002</v>
          </cell>
          <cell r="T578">
            <v>0</v>
          </cell>
        </row>
        <row r="579">
          <cell r="Q579">
            <v>0</v>
          </cell>
          <cell r="R579">
            <v>1761672.902208</v>
          </cell>
          <cell r="S579">
            <v>0</v>
          </cell>
          <cell r="T579">
            <v>0</v>
          </cell>
        </row>
        <row r="580">
          <cell r="Q580">
            <v>0</v>
          </cell>
          <cell r="R580">
            <v>1715973.7068479999</v>
          </cell>
          <cell r="S580">
            <v>0</v>
          </cell>
          <cell r="T580">
            <v>0</v>
          </cell>
        </row>
        <row r="581">
          <cell r="Q581">
            <v>0</v>
          </cell>
          <cell r="R581">
            <v>1736233.9121119999</v>
          </cell>
          <cell r="S581">
            <v>0</v>
          </cell>
          <cell r="T581">
            <v>0</v>
          </cell>
        </row>
        <row r="582">
          <cell r="R582">
            <v>1435447.13</v>
          </cell>
          <cell r="S582">
            <v>10223852.123600002</v>
          </cell>
          <cell r="T582">
            <v>0</v>
          </cell>
        </row>
        <row r="583">
          <cell r="R583">
            <v>1479357.3299999998</v>
          </cell>
          <cell r="S583">
            <v>1242522.117150645</v>
          </cell>
          <cell r="T583">
            <v>0</v>
          </cell>
        </row>
        <row r="584">
          <cell r="P584">
            <v>4171397.8607790703</v>
          </cell>
          <cell r="R584">
            <v>701977.97</v>
          </cell>
          <cell r="S584">
            <v>4905360</v>
          </cell>
          <cell r="T584">
            <v>16667821.843116283</v>
          </cell>
        </row>
        <row r="585">
          <cell r="P585">
            <v>1272584.8299999998</v>
          </cell>
          <cell r="R585">
            <v>787242.06</v>
          </cell>
          <cell r="S585">
            <v>4776120</v>
          </cell>
          <cell r="T585">
            <v>2853089.0001999997</v>
          </cell>
        </row>
        <row r="586">
          <cell r="P586">
            <v>2747451.5274999994</v>
          </cell>
          <cell r="R586">
            <v>2248197.27</v>
          </cell>
          <cell r="S586">
            <v>15641280</v>
          </cell>
          <cell r="T586">
            <v>5173043.2386999987</v>
          </cell>
        </row>
        <row r="587">
          <cell r="P587">
            <v>7237936.3654399998</v>
          </cell>
          <cell r="Q587">
            <v>0</v>
          </cell>
          <cell r="R587">
            <v>3536143.6345600002</v>
          </cell>
        </row>
        <row r="588">
          <cell r="Q588">
            <v>0</v>
          </cell>
          <cell r="R588">
            <v>7110316.7841999996</v>
          </cell>
          <cell r="S588">
            <v>7302662.8536640927</v>
          </cell>
          <cell r="T588">
            <v>0</v>
          </cell>
        </row>
        <row r="589">
          <cell r="P589">
            <v>9934187.5640000012</v>
          </cell>
          <cell r="R589">
            <v>439915.8</v>
          </cell>
          <cell r="S589">
            <v>11789637.74</v>
          </cell>
          <cell r="T589">
            <v>27947581.716000006</v>
          </cell>
        </row>
        <row r="590">
          <cell r="R590">
            <v>695448.19</v>
          </cell>
          <cell r="S590">
            <v>3690845.4130662554</v>
          </cell>
          <cell r="T590">
            <v>1.1641532182693481E-10</v>
          </cell>
        </row>
        <row r="591">
          <cell r="R591">
            <v>1308728.82</v>
          </cell>
          <cell r="S591">
            <v>3016791.7952716993</v>
          </cell>
          <cell r="T591">
            <v>0</v>
          </cell>
        </row>
        <row r="592">
          <cell r="P592">
            <v>4053855.5148114995</v>
          </cell>
          <cell r="R592">
            <v>0</v>
          </cell>
          <cell r="S592">
            <v>9647352</v>
          </cell>
          <cell r="T592">
            <v>25103935.231378898</v>
          </cell>
        </row>
        <row r="593">
          <cell r="R593">
            <v>1567951.74</v>
          </cell>
          <cell r="S593">
            <v>4843181.5199999996</v>
          </cell>
          <cell r="T593">
            <v>0</v>
          </cell>
        </row>
        <row r="594">
          <cell r="P594">
            <v>3352595.9358166102</v>
          </cell>
          <cell r="R594">
            <v>1864767.02</v>
          </cell>
          <cell r="S594">
            <v>4623840</v>
          </cell>
          <cell r="T594">
            <v>9939323.8074498307</v>
          </cell>
        </row>
        <row r="595">
          <cell r="R595">
            <v>669586.68582399981</v>
          </cell>
          <cell r="S595">
            <v>7337757.9763519987</v>
          </cell>
          <cell r="T595">
            <v>0</v>
          </cell>
        </row>
        <row r="596">
          <cell r="R596">
            <v>2027468.3699999999</v>
          </cell>
          <cell r="S596">
            <v>3854047.2199999997</v>
          </cell>
          <cell r="T596">
            <v>0</v>
          </cell>
        </row>
        <row r="597">
          <cell r="P597">
            <v>8196713.8379999995</v>
          </cell>
          <cell r="R597">
            <v>645170.4</v>
          </cell>
          <cell r="T597">
            <v>28203863.081100002</v>
          </cell>
        </row>
        <row r="598">
          <cell r="R598">
            <v>991969.75</v>
          </cell>
          <cell r="S598">
            <v>581527.31469999999</v>
          </cell>
          <cell r="T598">
            <v>0</v>
          </cell>
        </row>
        <row r="599">
          <cell r="R599">
            <v>1136857.68</v>
          </cell>
          <cell r="S599">
            <v>0</v>
          </cell>
          <cell r="T599">
            <v>0</v>
          </cell>
        </row>
        <row r="600">
          <cell r="R600">
            <v>1428033.91</v>
          </cell>
          <cell r="S600">
            <v>1108911.5840698306</v>
          </cell>
          <cell r="T600">
            <v>0</v>
          </cell>
        </row>
        <row r="601">
          <cell r="P601">
            <v>703831.2975000001</v>
          </cell>
          <cell r="R601">
            <v>312313.8</v>
          </cell>
          <cell r="S601">
            <v>1767725.9436000003</v>
          </cell>
          <cell r="T601">
            <v>0</v>
          </cell>
        </row>
        <row r="602">
          <cell r="Q602">
            <v>0</v>
          </cell>
          <cell r="R602">
            <v>1970236.371824</v>
          </cell>
          <cell r="S602">
            <v>0</v>
          </cell>
          <cell r="T602">
            <v>0</v>
          </cell>
        </row>
        <row r="603">
          <cell r="P603">
            <v>3904301.1978000002</v>
          </cell>
          <cell r="Q603">
            <v>0</v>
          </cell>
          <cell r="R603">
            <v>3278418.8021999998</v>
          </cell>
        </row>
        <row r="604">
          <cell r="R604">
            <v>495408.60210599989</v>
          </cell>
          <cell r="S604">
            <v>8704565.8319880012</v>
          </cell>
          <cell r="T604">
            <v>0</v>
          </cell>
        </row>
        <row r="605">
          <cell r="P605">
            <v>3590029.1775467205</v>
          </cell>
          <cell r="Q605">
            <v>0</v>
          </cell>
          <cell r="R605">
            <v>2823396.44</v>
          </cell>
          <cell r="S605">
            <v>16677720</v>
          </cell>
          <cell r="T605">
            <v>1710923.3326401599</v>
          </cell>
        </row>
        <row r="606">
          <cell r="P606">
            <v>11125815.399917353</v>
          </cell>
          <cell r="Q606">
            <v>0</v>
          </cell>
          <cell r="R606">
            <v>2754412.5300000003</v>
          </cell>
          <cell r="S606">
            <v>16670880</v>
          </cell>
          <cell r="T606">
            <v>44372543.979669407</v>
          </cell>
        </row>
        <row r="607">
          <cell r="Q607">
            <v>0</v>
          </cell>
          <cell r="R607">
            <v>2039953.34</v>
          </cell>
          <cell r="S607">
            <v>0</v>
          </cell>
          <cell r="T607">
            <v>0</v>
          </cell>
        </row>
        <row r="608">
          <cell r="P608">
            <v>4540950.7992002573</v>
          </cell>
          <cell r="Q608">
            <v>0</v>
          </cell>
          <cell r="R608">
            <v>2332635.02</v>
          </cell>
          <cell r="S608">
            <v>14187960</v>
          </cell>
          <cell r="T608">
            <v>12694098.196801025</v>
          </cell>
        </row>
        <row r="609">
          <cell r="P609">
            <v>8914366.6864420418</v>
          </cell>
          <cell r="Q609">
            <v>0</v>
          </cell>
          <cell r="R609">
            <v>1944483.79</v>
          </cell>
          <cell r="S609">
            <v>12436560</v>
          </cell>
          <cell r="T609">
            <v>35662612.525768168</v>
          </cell>
        </row>
        <row r="610">
          <cell r="R610">
            <v>165503.35497199994</v>
          </cell>
          <cell r="S610">
            <v>2138665.7069340004</v>
          </cell>
          <cell r="T610">
            <v>0</v>
          </cell>
        </row>
        <row r="611">
          <cell r="P611">
            <v>6666221.4034400824</v>
          </cell>
          <cell r="Q611">
            <v>0</v>
          </cell>
          <cell r="R611">
            <v>2807456.47</v>
          </cell>
          <cell r="S611">
            <v>17897760</v>
          </cell>
          <cell r="T611">
            <v>20056045.210320249</v>
          </cell>
        </row>
        <row r="612">
          <cell r="P612">
            <v>18114073.308878101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P613">
            <v>4793742.1716</v>
          </cell>
          <cell r="R613">
            <v>1172060.5684</v>
          </cell>
        </row>
        <row r="614">
          <cell r="R614">
            <v>1502454.86</v>
          </cell>
          <cell r="S614">
            <v>8954640</v>
          </cell>
          <cell r="T614">
            <v>6715215.5302300081</v>
          </cell>
        </row>
        <row r="615">
          <cell r="P615">
            <v>3855238.9237903948</v>
          </cell>
          <cell r="R615">
            <v>1622844.307</v>
          </cell>
          <cell r="S615">
            <v>7287254.250604419</v>
          </cell>
          <cell r="T615">
            <v>2689458.0595051832</v>
          </cell>
        </row>
        <row r="616">
          <cell r="P616">
            <v>4253791.2577114999</v>
          </cell>
          <cell r="R616">
            <v>1267186.1455999999</v>
          </cell>
          <cell r="S616">
            <v>6603959.1275602179</v>
          </cell>
          <cell r="T616">
            <v>3372879.0797742838</v>
          </cell>
        </row>
        <row r="617">
          <cell r="P617">
            <v>4373889.0319999987</v>
          </cell>
          <cell r="R617">
            <v>893514.12000000011</v>
          </cell>
          <cell r="S617">
            <v>6756840</v>
          </cell>
          <cell r="T617">
            <v>14383346.494799998</v>
          </cell>
        </row>
        <row r="618">
          <cell r="P618">
            <v>5150859.8834408009</v>
          </cell>
          <cell r="R618">
            <v>1910551.2177600001</v>
          </cell>
          <cell r="S618">
            <v>22696560</v>
          </cell>
          <cell r="T618">
            <v>13336149.481203206</v>
          </cell>
        </row>
        <row r="619">
          <cell r="R619">
            <v>1955455.68</v>
          </cell>
          <cell r="S619">
            <v>12012502.720000001</v>
          </cell>
          <cell r="T619">
            <v>0</v>
          </cell>
        </row>
        <row r="620">
          <cell r="P620">
            <v>9745896.1752586551</v>
          </cell>
          <cell r="R620">
            <v>3455766.3000000003</v>
          </cell>
          <cell r="S620">
            <v>22373280</v>
          </cell>
          <cell r="T620">
            <v>27147907.096634626</v>
          </cell>
        </row>
        <row r="621">
          <cell r="P621">
            <v>4263457.8798470004</v>
          </cell>
          <cell r="R621">
            <v>1279294.3112000001</v>
          </cell>
          <cell r="S621">
            <v>7843284.0034900587</v>
          </cell>
          <cell r="T621">
            <v>2085797.7693509366</v>
          </cell>
        </row>
        <row r="622">
          <cell r="P622">
            <v>590238.2375000004</v>
          </cell>
          <cell r="R622">
            <v>910232.0199999999</v>
          </cell>
          <cell r="S622">
            <v>6384960</v>
          </cell>
          <cell r="T622">
            <v>815075.7340000011</v>
          </cell>
        </row>
        <row r="623">
          <cell r="P623">
            <v>549981.94500000007</v>
          </cell>
          <cell r="R623">
            <v>636134.18999999994</v>
          </cell>
          <cell r="S623">
            <v>1317036.33</v>
          </cell>
          <cell r="T623">
            <v>20942.688299999805</v>
          </cell>
        </row>
        <row r="624">
          <cell r="P624">
            <v>0</v>
          </cell>
          <cell r="R624">
            <v>0</v>
          </cell>
          <cell r="S624">
            <v>420332.95579999994</v>
          </cell>
          <cell r="T624">
            <v>0</v>
          </cell>
        </row>
        <row r="625">
          <cell r="R625">
            <v>380233.89</v>
          </cell>
          <cell r="S625">
            <v>142312.80680000002</v>
          </cell>
          <cell r="T625">
            <v>0</v>
          </cell>
        </row>
        <row r="626">
          <cell r="P626">
            <v>503219.86890000058</v>
          </cell>
          <cell r="R626">
            <v>422090.76</v>
          </cell>
          <cell r="S626">
            <v>2572307.9999999995</v>
          </cell>
          <cell r="T626">
            <v>0</v>
          </cell>
        </row>
        <row r="627">
          <cell r="P627">
            <v>299229.82999999996</v>
          </cell>
          <cell r="R627">
            <v>73388.679999999978</v>
          </cell>
          <cell r="S627">
            <v>350222.60670000006</v>
          </cell>
          <cell r="T627">
            <v>0</v>
          </cell>
        </row>
        <row r="628">
          <cell r="P628">
            <v>508425.41750000021</v>
          </cell>
          <cell r="R628">
            <v>254173.46</v>
          </cell>
          <cell r="S628">
            <v>2130480</v>
          </cell>
          <cell r="T628">
            <v>1080329.9423000012</v>
          </cell>
        </row>
        <row r="629">
          <cell r="R629">
            <v>91300.090000000055</v>
          </cell>
          <cell r="S629">
            <v>455350.16529999999</v>
          </cell>
          <cell r="T629">
            <v>0</v>
          </cell>
        </row>
        <row r="630">
          <cell r="R630">
            <v>87262.269999999975</v>
          </cell>
          <cell r="S630">
            <v>423644.08120000002</v>
          </cell>
          <cell r="T630">
            <v>0</v>
          </cell>
        </row>
        <row r="631">
          <cell r="R631">
            <v>119974.64999999995</v>
          </cell>
          <cell r="S631">
            <v>416955.31900000008</v>
          </cell>
          <cell r="T631">
            <v>0</v>
          </cell>
        </row>
        <row r="632">
          <cell r="R632">
            <v>306089.34999999998</v>
          </cell>
          <cell r="S632">
            <v>1301242.2675056942</v>
          </cell>
          <cell r="T632">
            <v>0</v>
          </cell>
        </row>
        <row r="633">
          <cell r="R633">
            <v>1011727.4448999999</v>
          </cell>
          <cell r="S633">
            <v>0</v>
          </cell>
          <cell r="T633">
            <v>0</v>
          </cell>
        </row>
        <row r="634">
          <cell r="P634">
            <v>353690.84750000015</v>
          </cell>
          <cell r="R634">
            <v>315412.39</v>
          </cell>
          <cell r="S634">
            <v>2503043.9999999995</v>
          </cell>
          <cell r="T634">
            <v>0</v>
          </cell>
        </row>
        <row r="635">
          <cell r="R635">
            <v>68416.530000000013</v>
          </cell>
          <cell r="S635">
            <v>477590.85159999994</v>
          </cell>
          <cell r="T635">
            <v>0</v>
          </cell>
        </row>
        <row r="636">
          <cell r="R636">
            <v>91115.91</v>
          </cell>
          <cell r="S636">
            <v>440362.47079999989</v>
          </cell>
          <cell r="T636">
            <v>0</v>
          </cell>
        </row>
        <row r="637">
          <cell r="R637">
            <v>166996.36000000002</v>
          </cell>
          <cell r="S637">
            <v>359767.60180000006</v>
          </cell>
          <cell r="T637">
            <v>0</v>
          </cell>
        </row>
        <row r="638">
          <cell r="R638">
            <v>315441.84999999998</v>
          </cell>
          <cell r="S638">
            <v>1845481.6399999997</v>
          </cell>
          <cell r="T638">
            <v>1.1641532182693481E-10</v>
          </cell>
        </row>
        <row r="639">
          <cell r="P639">
            <v>1280621.8600000008</v>
          </cell>
          <cell r="R639">
            <v>134568.26</v>
          </cell>
          <cell r="S639">
            <v>1257300</v>
          </cell>
          <cell r="T639">
            <v>63933.539999999804</v>
          </cell>
        </row>
        <row r="640">
          <cell r="R640">
            <v>495672.16</v>
          </cell>
          <cell r="S640">
            <v>2881287.33</v>
          </cell>
          <cell r="T640">
            <v>0</v>
          </cell>
        </row>
        <row r="641">
          <cell r="R641">
            <v>240041.57999999996</v>
          </cell>
          <cell r="S641">
            <v>1144072.5004000003</v>
          </cell>
          <cell r="T641">
            <v>0</v>
          </cell>
        </row>
        <row r="642">
          <cell r="R642">
            <v>678579.41999999993</v>
          </cell>
          <cell r="S642">
            <v>4663104.4154999992</v>
          </cell>
          <cell r="T642">
            <v>0</v>
          </cell>
        </row>
        <row r="643">
          <cell r="P643">
            <v>666884.95870000031</v>
          </cell>
          <cell r="R643">
            <v>644334.12</v>
          </cell>
          <cell r="S643">
            <v>4744080</v>
          </cell>
          <cell r="T643">
            <v>0</v>
          </cell>
        </row>
        <row r="644">
          <cell r="P644">
            <v>1321634.5791319686</v>
          </cell>
          <cell r="R644">
            <v>861801.35000000009</v>
          </cell>
          <cell r="S644">
            <v>5633640</v>
          </cell>
          <cell r="T644">
            <v>1147475.4271326456</v>
          </cell>
        </row>
        <row r="645">
          <cell r="P645">
            <v>1920678.6675</v>
          </cell>
          <cell r="R645">
            <v>591478.23</v>
          </cell>
          <cell r="S645">
            <v>3336994.5446359999</v>
          </cell>
          <cell r="T645">
            <v>1206102.9512639996</v>
          </cell>
        </row>
        <row r="646">
          <cell r="P646">
            <v>1460525.3899999997</v>
          </cell>
          <cell r="R646">
            <v>436891.19000000006</v>
          </cell>
          <cell r="S646">
            <v>3770010.74</v>
          </cell>
          <cell r="T646">
            <v>4583397.6222999981</v>
          </cell>
        </row>
        <row r="647">
          <cell r="P647">
            <v>6467982.027999999</v>
          </cell>
          <cell r="R647">
            <v>439706.48</v>
          </cell>
          <cell r="S647">
            <v>3795480</v>
          </cell>
          <cell r="T647">
            <v>25444836.906999994</v>
          </cell>
        </row>
        <row r="648">
          <cell r="P648">
            <v>6526236.7062411997</v>
          </cell>
          <cell r="R648">
            <v>452296.52999999997</v>
          </cell>
          <cell r="S648">
            <v>3846240</v>
          </cell>
          <cell r="T648">
            <v>25698309.796364799</v>
          </cell>
        </row>
        <row r="649">
          <cell r="P649">
            <v>4845301.1875000009</v>
          </cell>
          <cell r="R649">
            <v>113485.2</v>
          </cell>
          <cell r="S649">
            <v>2852736.69136668</v>
          </cell>
          <cell r="T649">
            <v>11517497.121133324</v>
          </cell>
        </row>
        <row r="650">
          <cell r="P650">
            <v>6554730.6119999988</v>
          </cell>
          <cell r="R650">
            <v>497825.82</v>
          </cell>
          <cell r="S650">
            <v>3866400</v>
          </cell>
          <cell r="T650">
            <v>22320137.795299996</v>
          </cell>
        </row>
        <row r="651">
          <cell r="P651">
            <v>1342375.9173957503</v>
          </cell>
          <cell r="R651">
            <v>128632.2</v>
          </cell>
          <cell r="S651">
            <v>3442990.0791816399</v>
          </cell>
          <cell r="T651">
            <v>214957.20070561068</v>
          </cell>
        </row>
        <row r="652">
          <cell r="P652">
            <v>2546073</v>
          </cell>
          <cell r="R652">
            <v>117351</v>
          </cell>
          <cell r="S652">
            <v>1779268.1378032002</v>
          </cell>
          <cell r="T652">
            <v>5030654.3061967995</v>
          </cell>
        </row>
        <row r="653">
          <cell r="P653">
            <v>3168000.6575000002</v>
          </cell>
          <cell r="R653">
            <v>676632.91</v>
          </cell>
          <cell r="S653">
            <v>5096880</v>
          </cell>
          <cell r="T653">
            <v>9257060.0649999995</v>
          </cell>
        </row>
        <row r="654">
          <cell r="P654">
            <v>3371309.4466504906</v>
          </cell>
          <cell r="R654">
            <v>647651.78</v>
          </cell>
          <cell r="S654">
            <v>5359680</v>
          </cell>
          <cell r="T654">
            <v>9102817.6013514716</v>
          </cell>
        </row>
        <row r="655">
          <cell r="P655">
            <v>6983424.6841790471</v>
          </cell>
          <cell r="R655">
            <v>1837349.24</v>
          </cell>
          <cell r="S655">
            <v>13652640</v>
          </cell>
          <cell r="T655">
            <v>29635370.080844365</v>
          </cell>
        </row>
        <row r="656">
          <cell r="P656">
            <v>7052461.9983708654</v>
          </cell>
          <cell r="R656">
            <v>1767334.38</v>
          </cell>
          <cell r="S656">
            <v>16048080</v>
          </cell>
          <cell r="T656">
            <v>28414740.962283455</v>
          </cell>
        </row>
        <row r="657">
          <cell r="P657">
            <v>3961606.8484471501</v>
          </cell>
          <cell r="R657">
            <v>567325.17000000004</v>
          </cell>
          <cell r="S657">
            <v>5429520</v>
          </cell>
          <cell r="T657">
            <v>9354861.5543414503</v>
          </cell>
        </row>
        <row r="658">
          <cell r="P658">
            <v>6585721.5913083674</v>
          </cell>
          <cell r="R658">
            <v>1681347.92</v>
          </cell>
          <cell r="S658">
            <v>13511160</v>
          </cell>
          <cell r="T658">
            <v>24451948.560833462</v>
          </cell>
        </row>
        <row r="659">
          <cell r="P659">
            <v>3367479.3183452347</v>
          </cell>
          <cell r="R659">
            <v>623128.77</v>
          </cell>
          <cell r="S659">
            <v>5009760</v>
          </cell>
          <cell r="T659">
            <v>9371852.2271357067</v>
          </cell>
        </row>
        <row r="660">
          <cell r="P660">
            <v>2833048.3496888997</v>
          </cell>
          <cell r="R660">
            <v>1148817.4000000001</v>
          </cell>
          <cell r="S660">
            <v>14820770.130000003</v>
          </cell>
          <cell r="T660">
            <v>4273761.1246666983</v>
          </cell>
        </row>
        <row r="661">
          <cell r="P661">
            <v>1384418.6154499999</v>
          </cell>
          <cell r="R661">
            <v>289630.06999999995</v>
          </cell>
          <cell r="S661">
            <v>3066568.9802429616</v>
          </cell>
          <cell r="T661">
            <v>530563.48480703915</v>
          </cell>
        </row>
        <row r="662">
          <cell r="R662">
            <v>2807335.7788</v>
          </cell>
          <cell r="S662">
            <v>4375384.2212000005</v>
          </cell>
        </row>
        <row r="663">
          <cell r="P663">
            <v>0</v>
          </cell>
          <cell r="Q663">
            <v>0</v>
          </cell>
          <cell r="R663">
            <v>0</v>
          </cell>
          <cell r="S663">
            <v>7182720</v>
          </cell>
          <cell r="T663">
            <v>0</v>
          </cell>
        </row>
        <row r="664">
          <cell r="P664">
            <v>20048286.631156877</v>
          </cell>
          <cell r="R664">
            <v>5456010.6915999996</v>
          </cell>
          <cell r="S664">
            <v>38472464.879999995</v>
          </cell>
          <cell r="T664">
            <v>77867403.670000002</v>
          </cell>
        </row>
        <row r="665">
          <cell r="R665">
            <v>1451751.6596799998</v>
          </cell>
          <cell r="S665">
            <v>853447.68032000051</v>
          </cell>
          <cell r="T665">
            <v>0</v>
          </cell>
        </row>
        <row r="666">
          <cell r="P666">
            <v>3007275.9718176005</v>
          </cell>
          <cell r="R666">
            <v>0</v>
          </cell>
          <cell r="S666">
            <v>8167617.4056179998</v>
          </cell>
          <cell r="T666">
            <v>10862392.818070401</v>
          </cell>
        </row>
        <row r="667">
          <cell r="P667">
            <v>5009763.3724291995</v>
          </cell>
          <cell r="R667">
            <v>0</v>
          </cell>
          <cell r="S667">
            <v>7179911.9088660004</v>
          </cell>
          <cell r="T667">
            <v>18749068.661316801</v>
          </cell>
        </row>
        <row r="668">
          <cell r="P668">
            <v>1919629.1910700002</v>
          </cell>
          <cell r="R668">
            <v>0</v>
          </cell>
          <cell r="S668">
            <v>4040696.8275600001</v>
          </cell>
          <cell r="T668">
            <v>5190102.5302099995</v>
          </cell>
        </row>
        <row r="669">
          <cell r="P669">
            <v>1452195.0248139997</v>
          </cell>
          <cell r="R669">
            <v>0</v>
          </cell>
          <cell r="S669">
            <v>5450941.3911319999</v>
          </cell>
          <cell r="T669">
            <v>4123672.8100419985</v>
          </cell>
        </row>
        <row r="670">
          <cell r="R670">
            <v>8535516.9905999992</v>
          </cell>
          <cell r="S670">
            <v>13012643.009400001</v>
          </cell>
          <cell r="T670">
            <v>0</v>
          </cell>
        </row>
        <row r="671">
          <cell r="R671">
            <v>0</v>
          </cell>
          <cell r="S671">
            <v>4064823.6560380002</v>
          </cell>
          <cell r="T671">
            <v>0</v>
          </cell>
        </row>
        <row r="672">
          <cell r="P672">
            <v>2077460.7349500002</v>
          </cell>
          <cell r="R672">
            <v>0</v>
          </cell>
          <cell r="S672">
            <v>3700275.840448</v>
          </cell>
          <cell r="T672">
            <v>5985930.7944499999</v>
          </cell>
        </row>
        <row r="673">
          <cell r="P673">
            <v>0</v>
          </cell>
          <cell r="R673">
            <v>0</v>
          </cell>
          <cell r="S673">
            <v>3984511.2353214002</v>
          </cell>
          <cell r="T673">
            <v>0</v>
          </cell>
        </row>
        <row r="674">
          <cell r="P674">
            <v>1497757.0491000004</v>
          </cell>
          <cell r="R674">
            <v>1360732.8177999998</v>
          </cell>
          <cell r="S674">
            <v>9373118.0399999991</v>
          </cell>
          <cell r="T674">
            <v>4087525.2091000006</v>
          </cell>
        </row>
        <row r="675">
          <cell r="P675">
            <v>417931.19377368968</v>
          </cell>
          <cell r="R675">
            <v>0</v>
          </cell>
          <cell r="S675">
            <v>7970577.2975559998</v>
          </cell>
          <cell r="T675">
            <v>727618.34132107161</v>
          </cell>
        </row>
        <row r="676">
          <cell r="P676">
            <v>182520.66723549983</v>
          </cell>
          <cell r="R676">
            <v>0</v>
          </cell>
          <cell r="S676">
            <v>3735582.6662320001</v>
          </cell>
          <cell r="T676">
            <v>273232.04270650027</v>
          </cell>
        </row>
        <row r="677">
          <cell r="P677">
            <v>1025873.1100000001</v>
          </cell>
          <cell r="R677">
            <v>130968</v>
          </cell>
          <cell r="S677">
            <v>0</v>
          </cell>
          <cell r="T677">
            <v>2704868.9142000005</v>
          </cell>
        </row>
        <row r="678">
          <cell r="P678">
            <v>1025712.6925</v>
          </cell>
          <cell r="R678">
            <v>130478.39999999999</v>
          </cell>
          <cell r="S678">
            <v>0</v>
          </cell>
          <cell r="T678">
            <v>2704915.0697000008</v>
          </cell>
        </row>
        <row r="679">
          <cell r="R679">
            <v>0</v>
          </cell>
          <cell r="S679">
            <v>4238137.3835959993</v>
          </cell>
          <cell r="T679">
            <v>0</v>
          </cell>
        </row>
        <row r="680">
          <cell r="P680">
            <v>1032644.9850015</v>
          </cell>
          <cell r="R680">
            <v>135159.18</v>
          </cell>
          <cell r="S680">
            <v>0</v>
          </cell>
          <cell r="T680">
            <v>2921343.3848044998</v>
          </cell>
        </row>
        <row r="681">
          <cell r="P681">
            <v>1051075.2086485</v>
          </cell>
          <cell r="R681">
            <v>129846</v>
          </cell>
          <cell r="S681">
            <v>0</v>
          </cell>
          <cell r="T681">
            <v>2976389.7405455001</v>
          </cell>
        </row>
        <row r="682">
          <cell r="P682">
            <v>981537.54032600031</v>
          </cell>
          <cell r="R682">
            <v>139199.4</v>
          </cell>
          <cell r="S682">
            <v>0</v>
          </cell>
          <cell r="T682">
            <v>2810596.1825780007</v>
          </cell>
        </row>
        <row r="683">
          <cell r="P683">
            <v>4707435.7713200003</v>
          </cell>
          <cell r="R683">
            <v>842274.75119999982</v>
          </cell>
          <cell r="S683">
            <v>0</v>
          </cell>
          <cell r="T683">
            <v>15950624.063580001</v>
          </cell>
        </row>
        <row r="684">
          <cell r="P684">
            <v>4959238.5646800017</v>
          </cell>
          <cell r="R684">
            <v>4228044.5309999995</v>
          </cell>
          <cell r="S684">
            <v>29230291.799999993</v>
          </cell>
          <cell r="T684">
            <v>13038962.852420006</v>
          </cell>
        </row>
        <row r="685">
          <cell r="R685">
            <v>3029155.0006399998</v>
          </cell>
          <cell r="S685">
            <v>1314965.79336</v>
          </cell>
          <cell r="T685">
            <v>0</v>
          </cell>
        </row>
        <row r="686">
          <cell r="R686">
            <v>1485822.2269000001</v>
          </cell>
          <cell r="S686">
            <v>1781029.1636999999</v>
          </cell>
          <cell r="T686">
            <v>0</v>
          </cell>
        </row>
        <row r="687">
          <cell r="R687">
            <v>1415988.7621999998</v>
          </cell>
          <cell r="S687">
            <v>1721284.8762000003</v>
          </cell>
          <cell r="T687">
            <v>2.3283064365386963E-10</v>
          </cell>
        </row>
        <row r="688">
          <cell r="R688">
            <v>0</v>
          </cell>
          <cell r="S688">
            <v>3602238.3189560003</v>
          </cell>
          <cell r="T688">
            <v>0</v>
          </cell>
        </row>
        <row r="689">
          <cell r="Q689">
            <v>0</v>
          </cell>
          <cell r="R689">
            <v>770202.03700000001</v>
          </cell>
          <cell r="S689">
            <v>2821157.963</v>
          </cell>
          <cell r="T689">
            <v>0</v>
          </cell>
        </row>
        <row r="690">
          <cell r="R690">
            <v>994262.34</v>
          </cell>
          <cell r="S690">
            <v>5454577.7572000008</v>
          </cell>
          <cell r="T690">
            <v>0</v>
          </cell>
        </row>
        <row r="691">
          <cell r="P691">
            <v>1931757.0175000001</v>
          </cell>
          <cell r="R691">
            <v>256326</v>
          </cell>
          <cell r="S691">
            <v>4551091.2824605983</v>
          </cell>
          <cell r="T691">
            <v>586601.33273940161</v>
          </cell>
        </row>
        <row r="692">
          <cell r="P692">
            <v>1004622.6900000002</v>
          </cell>
          <cell r="R692">
            <v>590869.3600000001</v>
          </cell>
          <cell r="S692">
            <v>4537489.25</v>
          </cell>
          <cell r="T692">
            <v>1136634.9804999996</v>
          </cell>
        </row>
        <row r="693">
          <cell r="P693">
            <v>1061810.4948814395</v>
          </cell>
          <cell r="Q693">
            <v>0</v>
          </cell>
          <cell r="R693">
            <v>735428.12</v>
          </cell>
          <cell r="S693">
            <v>6187320</v>
          </cell>
          <cell r="T693">
            <v>5508985.098339038</v>
          </cell>
        </row>
        <row r="694">
          <cell r="P694">
            <v>1455759.210889759</v>
          </cell>
          <cell r="Q694">
            <v>0</v>
          </cell>
          <cell r="R694">
            <v>961935.16</v>
          </cell>
          <cell r="S694">
            <v>9740988.0000000019</v>
          </cell>
          <cell r="T694">
            <v>5324700.564280156</v>
          </cell>
        </row>
        <row r="695">
          <cell r="P695">
            <v>3458722.2639504001</v>
          </cell>
          <cell r="Q695">
            <v>0</v>
          </cell>
          <cell r="R695">
            <v>922746.27</v>
          </cell>
          <cell r="S695">
            <v>9374040</v>
          </cell>
          <cell r="T695">
            <v>12195976.363807667</v>
          </cell>
        </row>
        <row r="696">
          <cell r="P696">
            <v>4241300.1245600004</v>
          </cell>
          <cell r="Q696">
            <v>0</v>
          </cell>
          <cell r="R696">
            <v>1131941.27</v>
          </cell>
          <cell r="S696">
            <v>14838480</v>
          </cell>
          <cell r="T696">
            <v>13558992.761326943</v>
          </cell>
        </row>
        <row r="697">
          <cell r="P697">
            <v>1006870.2874999999</v>
          </cell>
          <cell r="Q697">
            <v>0</v>
          </cell>
          <cell r="R697">
            <v>616679.91</v>
          </cell>
          <cell r="S697">
            <v>5819760</v>
          </cell>
          <cell r="T697">
            <v>4301767.8475906961</v>
          </cell>
        </row>
        <row r="698">
          <cell r="P698">
            <v>4716196.3342839032</v>
          </cell>
          <cell r="Q698">
            <v>0</v>
          </cell>
          <cell r="R698">
            <v>627921.55000000005</v>
          </cell>
          <cell r="S698">
            <v>8245980</v>
          </cell>
          <cell r="T698">
            <v>19681027.005364705</v>
          </cell>
        </row>
        <row r="699">
          <cell r="Q699">
            <v>0</v>
          </cell>
          <cell r="R699">
            <v>1075491.9000000001</v>
          </cell>
          <cell r="S699">
            <v>7376220.7778820973</v>
          </cell>
          <cell r="T699">
            <v>2.3283064365386963E-10</v>
          </cell>
        </row>
        <row r="700">
          <cell r="Q700">
            <v>0</v>
          </cell>
          <cell r="R700">
            <v>1101469.82</v>
          </cell>
          <cell r="S700">
            <v>6423287.8454845184</v>
          </cell>
          <cell r="T700">
            <v>0</v>
          </cell>
        </row>
        <row r="701">
          <cell r="P701">
            <v>992724.08210077998</v>
          </cell>
          <cell r="R701">
            <v>28772.465999999997</v>
          </cell>
          <cell r="S701">
            <v>0</v>
          </cell>
          <cell r="T701">
            <v>2574244.4951023404</v>
          </cell>
        </row>
        <row r="702">
          <cell r="P702">
            <v>81633.803878679973</v>
          </cell>
          <cell r="R702">
            <v>25998.780000000002</v>
          </cell>
          <cell r="S702">
            <v>0</v>
          </cell>
          <cell r="T702">
            <v>0</v>
          </cell>
        </row>
        <row r="703">
          <cell r="P703">
            <v>1647930.1753248754</v>
          </cell>
          <cell r="R703">
            <v>79828.565999999992</v>
          </cell>
          <cell r="S703">
            <v>0</v>
          </cell>
          <cell r="T703">
            <v>4273248.0984746255</v>
          </cell>
        </row>
        <row r="704">
          <cell r="P704">
            <v>1036056.2405274999</v>
          </cell>
          <cell r="R704">
            <v>44255.861999999994</v>
          </cell>
          <cell r="S704">
            <v>0</v>
          </cell>
          <cell r="T704">
            <v>2499835.6603824999</v>
          </cell>
        </row>
        <row r="705">
          <cell r="P705">
            <v>666824.07274607487</v>
          </cell>
          <cell r="R705">
            <v>34957.133999999991</v>
          </cell>
          <cell r="S705">
            <v>0</v>
          </cell>
          <cell r="T705">
            <v>1726439.662738225</v>
          </cell>
        </row>
        <row r="706">
          <cell r="R706">
            <v>1513766.7257999999</v>
          </cell>
          <cell r="S706">
            <v>0</v>
          </cell>
          <cell r="T706">
            <v>0</v>
          </cell>
        </row>
        <row r="707">
          <cell r="R707">
            <v>0</v>
          </cell>
          <cell r="S707">
            <v>543894.30090000003</v>
          </cell>
          <cell r="T707">
            <v>0</v>
          </cell>
        </row>
        <row r="708">
          <cell r="R708">
            <v>0</v>
          </cell>
          <cell r="S708">
            <v>536732.4389999999</v>
          </cell>
          <cell r="T708">
            <v>0</v>
          </cell>
        </row>
        <row r="709">
          <cell r="R709">
            <v>367776.86744473106</v>
          </cell>
          <cell r="S709">
            <v>0</v>
          </cell>
          <cell r="T709">
            <v>0</v>
          </cell>
        </row>
        <row r="710">
          <cell r="R710">
            <v>1746851.7199999997</v>
          </cell>
          <cell r="S710">
            <v>396310.40830000024</v>
          </cell>
          <cell r="T710">
            <v>0</v>
          </cell>
        </row>
        <row r="711">
          <cell r="R711">
            <v>1196439.7000000002</v>
          </cell>
          <cell r="S711">
            <v>472478.10049999994</v>
          </cell>
          <cell r="T711">
            <v>0</v>
          </cell>
        </row>
        <row r="712">
          <cell r="R712">
            <v>1090164.3753000002</v>
          </cell>
          <cell r="S712">
            <v>0</v>
          </cell>
          <cell r="T712">
            <v>0</v>
          </cell>
        </row>
        <row r="713">
          <cell r="R713">
            <v>1458644.1368999998</v>
          </cell>
          <cell r="S713">
            <v>0</v>
          </cell>
          <cell r="T713">
            <v>0</v>
          </cell>
        </row>
        <row r="714">
          <cell r="P714">
            <v>1751097.6945964801</v>
          </cell>
          <cell r="R714">
            <v>373252.68000000005</v>
          </cell>
          <cell r="S714">
            <v>2133720</v>
          </cell>
          <cell r="T714">
            <v>0</v>
          </cell>
        </row>
        <row r="715">
          <cell r="Q715">
            <v>0</v>
          </cell>
          <cell r="R715">
            <v>2666641.9500000002</v>
          </cell>
          <cell r="S715">
            <v>8276125.0099179232</v>
          </cell>
          <cell r="T715">
            <v>0</v>
          </cell>
        </row>
        <row r="716">
          <cell r="P716">
            <v>1760352.89</v>
          </cell>
          <cell r="R716">
            <v>316207.04435401992</v>
          </cell>
          <cell r="S716">
            <v>2961216.8026459804</v>
          </cell>
          <cell r="T716">
            <v>0</v>
          </cell>
        </row>
        <row r="717">
          <cell r="P717">
            <v>0</v>
          </cell>
          <cell r="R717">
            <v>203932.15</v>
          </cell>
          <cell r="S717">
            <v>4792923.4461000003</v>
          </cell>
          <cell r="T717">
            <v>0</v>
          </cell>
        </row>
        <row r="718">
          <cell r="P718">
            <v>3867495.7968583526</v>
          </cell>
          <cell r="Q718">
            <v>0</v>
          </cell>
          <cell r="R718">
            <v>332408.91000000003</v>
          </cell>
          <cell r="S718">
            <v>2601082.8799999999</v>
          </cell>
          <cell r="T718">
            <v>14067.599999999627</v>
          </cell>
        </row>
        <row r="719">
          <cell r="P719">
            <v>3397803.4296157993</v>
          </cell>
          <cell r="R719">
            <v>154434.46</v>
          </cell>
          <cell r="S719">
            <v>1352160</v>
          </cell>
          <cell r="T719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1"/>
    </sheetNames>
    <sheetDataSet>
      <sheetData sheetId="0">
        <row r="70">
          <cell r="N70">
            <v>4592465.8816174399</v>
          </cell>
          <cell r="R70">
            <v>761274.89161743969</v>
          </cell>
          <cell r="S70">
            <v>3831190.99</v>
          </cell>
        </row>
        <row r="125">
          <cell r="P125">
            <v>3041730.66</v>
          </cell>
          <cell r="S125">
            <v>2922430.3493955806</v>
          </cell>
        </row>
        <row r="350">
          <cell r="R350">
            <v>715787.88</v>
          </cell>
          <cell r="S350">
            <v>3319460.8316984079</v>
          </cell>
        </row>
        <row r="364">
          <cell r="R364">
            <v>530132.51</v>
          </cell>
          <cell r="S364">
            <v>0</v>
          </cell>
        </row>
        <row r="365">
          <cell r="R365">
            <v>706857.29</v>
          </cell>
          <cell r="S365">
            <v>758694.68244965025</v>
          </cell>
        </row>
        <row r="366">
          <cell r="R366">
            <v>356038.84078929177</v>
          </cell>
          <cell r="S366">
            <v>3086914.8996206718</v>
          </cell>
        </row>
        <row r="405">
          <cell r="R405">
            <v>287932.7</v>
          </cell>
          <cell r="S405">
            <v>0</v>
          </cell>
        </row>
      </sheetData>
      <sheetData sheetId="1">
        <row r="70">
          <cell r="E70">
            <v>4592465.8816174399</v>
          </cell>
        </row>
        <row r="125">
          <cell r="E125">
            <v>5964161.0093955807</v>
          </cell>
        </row>
        <row r="350">
          <cell r="E350">
            <v>4035248.7116984078</v>
          </cell>
        </row>
        <row r="364">
          <cell r="E364">
            <v>530132.51</v>
          </cell>
        </row>
        <row r="365">
          <cell r="E365">
            <v>1465551.9724496503</v>
          </cell>
        </row>
        <row r="366">
          <cell r="E366">
            <v>3442953.7404099633</v>
          </cell>
        </row>
        <row r="405">
          <cell r="E405">
            <v>287932.7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152">
          <cell r="I152">
            <v>4809786.58</v>
          </cell>
        </row>
        <row r="189">
          <cell r="I189">
            <v>1184931.19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757"/>
  <sheetViews>
    <sheetView showZeros="0" tabSelected="1" view="pageBreakPreview" zoomScale="85" zoomScaleNormal="85" zoomScaleSheetLayoutView="8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18" sqref="G18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41.85546875" style="1" customWidth="1"/>
    <col min="4" max="4" width="77.570312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3.42578125" style="1" customWidth="1"/>
    <col min="13" max="13" width="12.7109375" style="1" customWidth="1"/>
    <col min="14" max="14" width="21" style="1" customWidth="1"/>
    <col min="15" max="15" width="17" style="1" hidden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hidden="1" customWidth="1"/>
    <col min="23" max="23" width="17.1406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bestFit="1" customWidth="1"/>
    <col min="43" max="43" width="14.5703125" style="1" customWidth="1"/>
    <col min="44" max="44" width="9.140625" style="1" customWidth="1"/>
    <col min="45" max="45" width="17.28515625" style="1" customWidth="1"/>
    <col min="46" max="46" width="18.140625" style="1" customWidth="1"/>
    <col min="47" max="47" width="17.7109375" style="1" customWidth="1"/>
    <col min="48" max="50" width="12.42578125" style="1" customWidth="1"/>
    <col min="51" max="51" width="11" style="1" customWidth="1"/>
    <col min="52" max="16384" width="9.140625" style="1"/>
  </cols>
  <sheetData>
    <row r="1" spans="1:45" ht="20.25" x14ac:dyDescent="0.3">
      <c r="T1" s="116" t="s">
        <v>0</v>
      </c>
      <c r="W1" s="3"/>
    </row>
    <row r="2" spans="1:45" ht="20.25" x14ac:dyDescent="0.3">
      <c r="N2" s="4"/>
      <c r="T2" s="116" t="s">
        <v>1218</v>
      </c>
      <c r="W2" s="3"/>
    </row>
    <row r="3" spans="1:45" ht="20.25" x14ac:dyDescent="0.3">
      <c r="N3" s="4"/>
      <c r="T3" s="116" t="s">
        <v>1219</v>
      </c>
      <c r="W3" s="3"/>
    </row>
    <row r="5" spans="1:45" x14ac:dyDescent="0.25">
      <c r="AP5" s="4">
        <f>P14-P28-P32-P40-P42-P53</f>
        <v>465135669.2221629</v>
      </c>
      <c r="AQ5" s="4">
        <f>AP5+'Приложение №3'!P12</f>
        <v>466072213.38216293</v>
      </c>
    </row>
    <row r="6" spans="1:45" s="5" customFormat="1" ht="20.25" x14ac:dyDescent="0.25">
      <c r="A6" s="182" t="s">
        <v>640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AP6" s="155">
        <f>AP10-P28-P32-P40-P42-P53</f>
        <v>457870517.62646502</v>
      </c>
    </row>
    <row r="7" spans="1:45" s="5" customFormat="1" ht="16.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/>
      <c r="P7" s="7"/>
      <c r="Q7" s="6"/>
      <c r="R7" s="6"/>
      <c r="S7" s="6"/>
      <c r="T7" s="6"/>
      <c r="U7" s="6"/>
      <c r="V7" s="6"/>
      <c r="W7" s="6"/>
      <c r="AP7" s="155">
        <f>AP8+'Приложение №3'!P12</f>
        <v>466072213.38216287</v>
      </c>
    </row>
    <row r="8" spans="1:45" s="5" customFormat="1" x14ac:dyDescent="0.25">
      <c r="A8" s="8"/>
      <c r="B8" s="8"/>
      <c r="C8" s="8"/>
      <c r="D8" s="8"/>
      <c r="E8" s="9"/>
      <c r="F8" s="9"/>
      <c r="G8" s="9"/>
      <c r="H8" s="9"/>
      <c r="I8" s="10"/>
      <c r="J8" s="11"/>
      <c r="K8" s="11"/>
      <c r="L8" s="11"/>
      <c r="M8" s="12"/>
      <c r="N8" s="13"/>
      <c r="O8" s="13"/>
      <c r="P8" s="13"/>
      <c r="Q8" s="13"/>
      <c r="R8" s="13"/>
      <c r="S8" s="13"/>
      <c r="T8" s="13"/>
      <c r="U8" s="14"/>
      <c r="V8" s="14"/>
      <c r="W8" s="9"/>
      <c r="AP8" s="155">
        <f>P14-AP9</f>
        <v>465135669.22216284</v>
      </c>
    </row>
    <row r="9" spans="1:45" s="15" customFormat="1" ht="14.25" customHeight="1" x14ac:dyDescent="0.25">
      <c r="A9" s="183" t="s">
        <v>1</v>
      </c>
      <c r="B9" s="183" t="s">
        <v>1</v>
      </c>
      <c r="C9" s="180" t="s">
        <v>2</v>
      </c>
      <c r="D9" s="180" t="s">
        <v>3</v>
      </c>
      <c r="E9" s="185" t="s">
        <v>4</v>
      </c>
      <c r="F9" s="186"/>
      <c r="G9" s="180" t="s">
        <v>5</v>
      </c>
      <c r="H9" s="180" t="s">
        <v>6</v>
      </c>
      <c r="I9" s="187" t="s">
        <v>7</v>
      </c>
      <c r="J9" s="189" t="s">
        <v>8</v>
      </c>
      <c r="K9" s="192" t="s">
        <v>9</v>
      </c>
      <c r="L9" s="193"/>
      <c r="M9" s="194" t="s">
        <v>10</v>
      </c>
      <c r="N9" s="197" t="s">
        <v>11</v>
      </c>
      <c r="O9" s="198"/>
      <c r="P9" s="198"/>
      <c r="Q9" s="198"/>
      <c r="R9" s="198"/>
      <c r="S9" s="198"/>
      <c r="T9" s="199"/>
      <c r="U9" s="177" t="s">
        <v>12</v>
      </c>
      <c r="V9" s="177" t="s">
        <v>13</v>
      </c>
      <c r="W9" s="180" t="s">
        <v>14</v>
      </c>
      <c r="X9" s="15">
        <v>540274945.17642701</v>
      </c>
      <c r="Z9" s="203" t="s">
        <v>15</v>
      </c>
      <c r="AA9" s="206" t="s">
        <v>540</v>
      </c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157">
        <f>P28+P32+P40+P42+P53</f>
        <v>82404427.549962014</v>
      </c>
    </row>
    <row r="10" spans="1:45" s="15" customFormat="1" ht="14.25" x14ac:dyDescent="0.25">
      <c r="A10" s="184"/>
      <c r="B10" s="184"/>
      <c r="C10" s="181"/>
      <c r="D10" s="181"/>
      <c r="E10" s="180" t="s">
        <v>16</v>
      </c>
      <c r="F10" s="180" t="s">
        <v>17</v>
      </c>
      <c r="G10" s="181"/>
      <c r="H10" s="181"/>
      <c r="I10" s="188"/>
      <c r="J10" s="190"/>
      <c r="K10" s="189" t="s">
        <v>18</v>
      </c>
      <c r="L10" s="189" t="s">
        <v>19</v>
      </c>
      <c r="M10" s="195"/>
      <c r="N10" s="177" t="s">
        <v>20</v>
      </c>
      <c r="O10" s="200" t="s">
        <v>21</v>
      </c>
      <c r="P10" s="201"/>
      <c r="Q10" s="201"/>
      <c r="R10" s="201"/>
      <c r="S10" s="201"/>
      <c r="T10" s="202"/>
      <c r="U10" s="178"/>
      <c r="V10" s="178"/>
      <c r="W10" s="181"/>
      <c r="X10" s="128">
        <f>P14-X9</f>
        <v>7265151.5956978798</v>
      </c>
      <c r="Z10" s="204"/>
      <c r="AA10" s="207" t="s">
        <v>22</v>
      </c>
      <c r="AB10" s="207"/>
      <c r="AC10" s="207"/>
      <c r="AD10" s="207"/>
      <c r="AE10" s="207"/>
      <c r="AF10" s="207"/>
      <c r="AG10" s="207"/>
      <c r="AH10" s="207" t="s">
        <v>544</v>
      </c>
      <c r="AI10" s="207" t="s">
        <v>24</v>
      </c>
      <c r="AJ10" s="207" t="s">
        <v>25</v>
      </c>
      <c r="AK10" s="207" t="s">
        <v>26</v>
      </c>
      <c r="AL10" s="207" t="s">
        <v>27</v>
      </c>
      <c r="AM10" s="207" t="s">
        <v>537</v>
      </c>
      <c r="AN10" s="207" t="s">
        <v>538</v>
      </c>
      <c r="AO10" s="207" t="s">
        <v>552</v>
      </c>
      <c r="AP10" s="15">
        <v>540274945.17642701</v>
      </c>
    </row>
    <row r="11" spans="1:45" s="15" customFormat="1" ht="78.75" customHeight="1" x14ac:dyDescent="0.25">
      <c r="A11" s="184"/>
      <c r="B11" s="184"/>
      <c r="C11" s="181"/>
      <c r="D11" s="181"/>
      <c r="E11" s="181"/>
      <c r="F11" s="181"/>
      <c r="G11" s="181"/>
      <c r="H11" s="181"/>
      <c r="I11" s="188"/>
      <c r="J11" s="191"/>
      <c r="K11" s="191"/>
      <c r="L11" s="191"/>
      <c r="M11" s="196"/>
      <c r="N11" s="179"/>
      <c r="O11" s="16" t="s">
        <v>28</v>
      </c>
      <c r="P11" s="16" t="s">
        <v>29</v>
      </c>
      <c r="Q11" s="16" t="s">
        <v>30</v>
      </c>
      <c r="R11" s="16" t="s">
        <v>31</v>
      </c>
      <c r="S11" s="16" t="s">
        <v>32</v>
      </c>
      <c r="T11" s="16" t="s">
        <v>677</v>
      </c>
      <c r="U11" s="179"/>
      <c r="V11" s="179"/>
      <c r="W11" s="181"/>
      <c r="Z11" s="205"/>
      <c r="AA11" s="17" t="s">
        <v>33</v>
      </c>
      <c r="AB11" s="17" t="s">
        <v>34</v>
      </c>
      <c r="AC11" s="17" t="s">
        <v>35</v>
      </c>
      <c r="AD11" s="17" t="s">
        <v>36</v>
      </c>
      <c r="AE11" s="17" t="s">
        <v>37</v>
      </c>
      <c r="AF11" s="17" t="s">
        <v>38</v>
      </c>
      <c r="AG11" s="17" t="s">
        <v>23</v>
      </c>
      <c r="AH11" s="207"/>
      <c r="AI11" s="207"/>
      <c r="AJ11" s="207"/>
      <c r="AK11" s="207"/>
      <c r="AL11" s="207"/>
      <c r="AM11" s="207"/>
      <c r="AN11" s="207"/>
      <c r="AO11" s="207"/>
      <c r="AP11" s="128">
        <f>AP10-(P14+'Приложение №3'!P12)</f>
        <v>-8201695.7556978464</v>
      </c>
      <c r="AQ11" s="15" t="s">
        <v>642</v>
      </c>
      <c r="AR11" s="15" t="s">
        <v>643</v>
      </c>
      <c r="AS11" s="15" t="s">
        <v>644</v>
      </c>
    </row>
    <row r="12" spans="1:45" s="21" customFormat="1" ht="14.25" x14ac:dyDescent="0.25">
      <c r="A12" s="184"/>
      <c r="B12" s="184"/>
      <c r="C12" s="181"/>
      <c r="D12" s="181"/>
      <c r="E12" s="181"/>
      <c r="F12" s="181"/>
      <c r="G12" s="181"/>
      <c r="H12" s="181"/>
      <c r="I12" s="188"/>
      <c r="J12" s="18" t="s">
        <v>39</v>
      </c>
      <c r="K12" s="18" t="s">
        <v>39</v>
      </c>
      <c r="L12" s="18" t="s">
        <v>39</v>
      </c>
      <c r="M12" s="19" t="s">
        <v>40</v>
      </c>
      <c r="N12" s="20" t="s">
        <v>41</v>
      </c>
      <c r="O12" s="20" t="s">
        <v>41</v>
      </c>
      <c r="P12" s="20"/>
      <c r="Q12" s="20" t="s">
        <v>41</v>
      </c>
      <c r="R12" s="20" t="s">
        <v>41</v>
      </c>
      <c r="S12" s="20" t="s">
        <v>41</v>
      </c>
      <c r="T12" s="20"/>
      <c r="U12" s="20" t="s">
        <v>42</v>
      </c>
      <c r="V12" s="20" t="s">
        <v>42</v>
      </c>
      <c r="W12" s="181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20" t="s">
        <v>41</v>
      </c>
      <c r="AH12" s="20" t="s">
        <v>41</v>
      </c>
      <c r="AI12" s="20" t="s">
        <v>41</v>
      </c>
      <c r="AJ12" s="20" t="s">
        <v>41</v>
      </c>
      <c r="AK12" s="20" t="s">
        <v>41</v>
      </c>
      <c r="AL12" s="20" t="s">
        <v>41</v>
      </c>
      <c r="AM12" s="20" t="s">
        <v>41</v>
      </c>
      <c r="AN12" s="20" t="s">
        <v>41</v>
      </c>
      <c r="AO12" s="20" t="s">
        <v>41</v>
      </c>
    </row>
    <row r="13" spans="1:45" s="21" customFormat="1" ht="14.25" x14ac:dyDescent="0.25">
      <c r="A13" s="168"/>
      <c r="B13" s="45"/>
      <c r="C13" s="46"/>
      <c r="D13" s="169"/>
      <c r="E13" s="218"/>
      <c r="F13" s="169"/>
      <c r="G13" s="174"/>
      <c r="H13" s="174"/>
      <c r="I13" s="219"/>
      <c r="J13" s="220"/>
      <c r="K13" s="170"/>
      <c r="L13" s="170"/>
      <c r="M13" s="171"/>
      <c r="N13" s="172">
        <f t="shared" ref="N13:T13" si="0">+N14+N205+N480</f>
        <v>8457731478.1594944</v>
      </c>
      <c r="O13" s="48">
        <f t="shared" si="0"/>
        <v>0</v>
      </c>
      <c r="P13" s="173">
        <f t="shared" si="0"/>
        <v>1439283196.7793174</v>
      </c>
      <c r="Q13" s="173">
        <f t="shared" si="0"/>
        <v>3737314.8149999999</v>
      </c>
      <c r="R13" s="173">
        <f t="shared" si="0"/>
        <v>1101210434.4495595</v>
      </c>
      <c r="S13" s="47">
        <f t="shared" si="0"/>
        <v>3843858804.2970476</v>
      </c>
      <c r="T13" s="48">
        <f t="shared" si="0"/>
        <v>2069641727.8185701</v>
      </c>
      <c r="U13" s="48"/>
      <c r="V13" s="48"/>
      <c r="W13" s="174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5" s="25" customFormat="1" x14ac:dyDescent="0.25">
      <c r="A14" s="175"/>
      <c r="B14" s="50"/>
      <c r="C14" s="50"/>
      <c r="D14" s="50" t="s">
        <v>554</v>
      </c>
      <c r="E14" s="50"/>
      <c r="F14" s="50"/>
      <c r="G14" s="50"/>
      <c r="H14" s="50"/>
      <c r="I14" s="50"/>
      <c r="J14" s="51">
        <f>SUM(J17:J476)</f>
        <v>2636457.0499999998</v>
      </c>
      <c r="K14" s="51">
        <f>SUM(K17:K476)</f>
        <v>2189497.7699999991</v>
      </c>
      <c r="L14" s="51">
        <f>SUM(L17:L476)</f>
        <v>140148.52999999994</v>
      </c>
      <c r="M14" s="51">
        <f>SUM(M17:M476)</f>
        <v>93299</v>
      </c>
      <c r="N14" s="172">
        <f>+P14+Q14+R14+S14+T14</f>
        <v>1940692648.3191597</v>
      </c>
      <c r="O14" s="51">
        <f>SUM(O17:O476)</f>
        <v>0</v>
      </c>
      <c r="P14" s="51">
        <f>SUM(P15:P204)</f>
        <v>547540096.77212489</v>
      </c>
      <c r="Q14" s="51">
        <f>SUM(Q15:Q204)</f>
        <v>2000000</v>
      </c>
      <c r="R14" s="51">
        <f>SUM(R15:R204)</f>
        <v>267888774.77174065</v>
      </c>
      <c r="S14" s="51">
        <f>SUM(S15:S204)</f>
        <v>876046801.61210942</v>
      </c>
      <c r="T14" s="51">
        <f>SUM(T15:T204)</f>
        <v>247216975.16318497</v>
      </c>
      <c r="U14" s="51"/>
      <c r="V14" s="51"/>
      <c r="W14" s="51"/>
      <c r="X14" s="23" t="e">
        <f>+#REF!+#REF!+#REF!+#REF!+#REF!+#REF!</f>
        <v>#REF!</v>
      </c>
      <c r="Y14" s="23" t="e">
        <f>+#REF!+#REF!+#REF!+#REF!+#REF!+#REF!</f>
        <v>#REF!</v>
      </c>
      <c r="Z14" s="23" t="e">
        <f>+#REF!+#REF!+#REF!+#REF!+#REF!+#REF!</f>
        <v>#REF!</v>
      </c>
      <c r="AA14" s="23" t="e">
        <f>+#REF!+#REF!+#REF!+#REF!+#REF!+#REF!</f>
        <v>#REF!</v>
      </c>
      <c r="AB14" s="23" t="e">
        <f>+#REF!+#REF!+#REF!+#REF!+#REF!+#REF!</f>
        <v>#REF!</v>
      </c>
      <c r="AC14" s="23" t="e">
        <f>+#REF!+#REF!+#REF!+#REF!+#REF!+#REF!</f>
        <v>#REF!</v>
      </c>
      <c r="AD14" s="23" t="e">
        <f>+#REF!+#REF!+#REF!+#REF!+#REF!+#REF!</f>
        <v>#REF!</v>
      </c>
      <c r="AE14" s="23" t="e">
        <f>+#REF!+#REF!+#REF!+#REF!+#REF!+#REF!</f>
        <v>#REF!</v>
      </c>
      <c r="AF14" s="23" t="e">
        <f>+#REF!+#REF!+#REF!+#REF!+#REF!+#REF!</f>
        <v>#REF!</v>
      </c>
      <c r="AG14" s="23" t="e">
        <f>+#REF!+#REF!+#REF!+#REF!+#REF!+#REF!</f>
        <v>#REF!</v>
      </c>
      <c r="AH14" s="23" t="e">
        <f>+#REF!+#REF!+#REF!+#REF!+#REF!+#REF!</f>
        <v>#REF!</v>
      </c>
      <c r="AI14" s="23" t="e">
        <f>+#REF!+#REF!+#REF!+#REF!+#REF!+#REF!</f>
        <v>#REF!</v>
      </c>
      <c r="AJ14" s="23" t="e">
        <f>+#REF!+#REF!+#REF!+#REF!+#REF!+#REF!</f>
        <v>#REF!</v>
      </c>
      <c r="AK14" s="23" t="e">
        <f>+#REF!+#REF!+#REF!+#REF!+#REF!+#REF!</f>
        <v>#REF!</v>
      </c>
      <c r="AL14" s="23" t="e">
        <f>+#REF!+#REF!+#REF!+#REF!+#REF!+#REF!</f>
        <v>#REF!</v>
      </c>
      <c r="AM14" s="23" t="e">
        <f>+#REF!+#REF!+#REF!+#REF!+#REF!+#REF!</f>
        <v>#REF!</v>
      </c>
      <c r="AN14" s="23" t="e">
        <f>+#REF!+#REF!+#REF!+#REF!+#REF!+#REF!</f>
        <v>#REF!</v>
      </c>
      <c r="AO14" s="23" t="e">
        <f>+#REF!+#REF!+#REF!+#REF!+#REF!+#REF!</f>
        <v>#REF!</v>
      </c>
      <c r="AP14" s="84">
        <f>+N14-'Приложение №2'!E14</f>
        <v>0</v>
      </c>
    </row>
    <row r="15" spans="1:45" s="25" customFormat="1" x14ac:dyDescent="0.25">
      <c r="A15" s="175"/>
      <c r="B15" s="50"/>
      <c r="C15" s="50"/>
      <c r="D15" s="50" t="s">
        <v>1136</v>
      </c>
      <c r="E15" s="50"/>
      <c r="F15" s="50"/>
      <c r="G15" s="50"/>
      <c r="H15" s="50"/>
      <c r="I15" s="50"/>
      <c r="J15" s="51"/>
      <c r="K15" s="51"/>
      <c r="L15" s="51"/>
      <c r="M15" s="51"/>
      <c r="N15" s="172">
        <f t="shared" ref="N15:N27" si="1">+P15+Q15+R15+S15+T15</f>
        <v>149536241.57999992</v>
      </c>
      <c r="O15" s="51"/>
      <c r="P15" s="51">
        <v>149536241.57999992</v>
      </c>
      <c r="Q15" s="51"/>
      <c r="R15" s="51"/>
      <c r="S15" s="51"/>
      <c r="T15" s="51"/>
      <c r="U15" s="51"/>
      <c r="V15" s="51"/>
      <c r="W15" s="122"/>
      <c r="X15" s="120"/>
      <c r="Y15" s="120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19"/>
      <c r="AP15" s="84"/>
    </row>
    <row r="16" spans="1:45" s="25" customFormat="1" x14ac:dyDescent="0.25">
      <c r="A16" s="175"/>
      <c r="B16" s="50"/>
      <c r="C16" s="50"/>
      <c r="D16" s="50" t="s">
        <v>1153</v>
      </c>
      <c r="E16" s="50"/>
      <c r="F16" s="50"/>
      <c r="G16" s="50"/>
      <c r="H16" s="50"/>
      <c r="I16" s="50"/>
      <c r="J16" s="51"/>
      <c r="K16" s="51"/>
      <c r="L16" s="51"/>
      <c r="M16" s="51"/>
      <c r="N16" s="48">
        <f t="shared" si="1"/>
        <v>4547441.6000000006</v>
      </c>
      <c r="O16" s="51"/>
      <c r="P16" s="51">
        <f>4292023.99+255417.61</f>
        <v>4547441.6000000006</v>
      </c>
      <c r="Q16" s="51"/>
      <c r="R16" s="51"/>
      <c r="S16" s="51"/>
      <c r="T16" s="51"/>
      <c r="U16" s="51"/>
      <c r="V16" s="51"/>
      <c r="W16" s="122"/>
      <c r="X16" s="120"/>
      <c r="Y16" s="120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19"/>
      <c r="AP16" s="84"/>
    </row>
    <row r="17" spans="1:46" x14ac:dyDescent="0.25">
      <c r="A17" s="76">
        <v>1</v>
      </c>
      <c r="B17" s="77">
        <v>1</v>
      </c>
      <c r="C17" s="77" t="s">
        <v>59</v>
      </c>
      <c r="D17" s="77" t="s">
        <v>120</v>
      </c>
      <c r="E17" s="78">
        <v>1981</v>
      </c>
      <c r="F17" s="78">
        <v>2011</v>
      </c>
      <c r="G17" s="78" t="s">
        <v>44</v>
      </c>
      <c r="H17" s="78">
        <v>5</v>
      </c>
      <c r="I17" s="78">
        <v>6</v>
      </c>
      <c r="J17" s="44">
        <v>5474.4</v>
      </c>
      <c r="K17" s="44">
        <v>4591</v>
      </c>
      <c r="L17" s="44">
        <v>74.8</v>
      </c>
      <c r="M17" s="79">
        <v>142</v>
      </c>
      <c r="N17" s="72">
        <f t="shared" si="1"/>
        <v>35883420.902660385</v>
      </c>
      <c r="O17" s="75"/>
      <c r="P17" s="161">
        <v>6584690.7694666684</v>
      </c>
      <c r="Q17" s="161">
        <v>1000000</v>
      </c>
      <c r="R17" s="161">
        <f>+AQ17+AR17-140393.650533333</f>
        <v>2702980.2694666674</v>
      </c>
      <c r="S17" s="161">
        <v>21119848.48</v>
      </c>
      <c r="T17" s="161">
        <f>+'Приложение №2'!E17-'Приложение №1'!P17-'Приложение №1'!Q17-'Приложение №1'!R17-'Приложение №1'!S17</f>
        <v>4475901.3837270476</v>
      </c>
      <c r="U17" s="44">
        <f t="shared" ref="U17:V27" si="2">$N17/($K17+$L17)</f>
        <v>7690.7327580822976</v>
      </c>
      <c r="V17" s="44">
        <f t="shared" si="2"/>
        <v>7690.7327580822976</v>
      </c>
      <c r="W17" s="80">
        <v>2022</v>
      </c>
      <c r="X17" s="29" t="e">
        <f>+#REF!-'[1]Приложение №1'!$P553</f>
        <v>#REF!</v>
      </c>
      <c r="Z17" s="28">
        <f t="shared" ref="Z17:Z27" si="3">SUM(AA17:AO17)</f>
        <v>55434949.75906302</v>
      </c>
      <c r="AA17" s="27">
        <v>13084371.274765186</v>
      </c>
      <c r="AB17" s="27">
        <v>6792071.8799999999</v>
      </c>
      <c r="AC17" s="27"/>
      <c r="AD17" s="27">
        <v>2807007.18</v>
      </c>
      <c r="AE17" s="27">
        <v>0</v>
      </c>
      <c r="AF17" s="27"/>
      <c r="AG17" s="27">
        <v>422606.15206366888</v>
      </c>
      <c r="AH17" s="27">
        <v>0</v>
      </c>
      <c r="AI17" s="27">
        <v>18902393.048395503</v>
      </c>
      <c r="AJ17" s="27">
        <v>8467593.2400000002</v>
      </c>
      <c r="AK17" s="27">
        <v>0</v>
      </c>
      <c r="AL17" s="27">
        <v>0</v>
      </c>
      <c r="AM17" s="27">
        <v>3733539.2883253875</v>
      </c>
      <c r="AN17" s="27">
        <v>375954.61581589025</v>
      </c>
      <c r="AO17" s="30">
        <v>849413.07969738182</v>
      </c>
      <c r="AP17" s="84">
        <f>+N17-'Приложение №2'!E17</f>
        <v>0</v>
      </c>
      <c r="AQ17" s="1">
        <v>2359832.7200000002</v>
      </c>
      <c r="AR17" s="1">
        <f t="shared" ref="AR17:AR26" si="4">+(K17*10+L17*20)*12*0.85</f>
        <v>483541.2</v>
      </c>
      <c r="AS17" s="1">
        <f t="shared" ref="AS17:AS25" si="5">+(K17*10+L17*20)*12*30</f>
        <v>17066160</v>
      </c>
      <c r="AT17" s="29">
        <f t="shared" ref="AT17:AT77" si="6">+S17-AS17</f>
        <v>4053688.4800000004</v>
      </c>
    </row>
    <row r="18" spans="1:46" x14ac:dyDescent="0.25">
      <c r="A18" s="76">
        <f t="shared" ref="A18:A81" si="7">+A17+1</f>
        <v>2</v>
      </c>
      <c r="B18" s="77">
        <f t="shared" ref="B18:B81" si="8">+B17+1</f>
        <v>2</v>
      </c>
      <c r="C18" s="77" t="s">
        <v>59</v>
      </c>
      <c r="D18" s="77" t="s">
        <v>121</v>
      </c>
      <c r="E18" s="78">
        <v>1982</v>
      </c>
      <c r="F18" s="78">
        <v>2011</v>
      </c>
      <c r="G18" s="78" t="s">
        <v>44</v>
      </c>
      <c r="H18" s="78">
        <v>5</v>
      </c>
      <c r="I18" s="78">
        <v>6</v>
      </c>
      <c r="J18" s="44">
        <v>4657</v>
      </c>
      <c r="K18" s="44">
        <v>4657</v>
      </c>
      <c r="L18" s="44">
        <v>0</v>
      </c>
      <c r="M18" s="79">
        <v>172</v>
      </c>
      <c r="N18" s="72">
        <f t="shared" si="1"/>
        <v>34138401.5</v>
      </c>
      <c r="O18" s="75"/>
      <c r="P18" s="161">
        <v>4521209.8100000015</v>
      </c>
      <c r="Q18" s="161">
        <v>1000000</v>
      </c>
      <c r="R18" s="161">
        <f>+AQ18+AR18</f>
        <v>2932021.84</v>
      </c>
      <c r="S18" s="161">
        <f>+AS18</f>
        <v>16765200</v>
      </c>
      <c r="T18" s="161">
        <f>+'Приложение №2'!E18-'Приложение №1'!P18-'Приложение №1'!Q18-'Приложение №1'!R18-'Приложение №1'!S18</f>
        <v>8919969.8499999978</v>
      </c>
      <c r="U18" s="44">
        <f t="shared" si="2"/>
        <v>7330.5564741249727</v>
      </c>
      <c r="V18" s="44">
        <f t="shared" si="2"/>
        <v>7330.5564741249727</v>
      </c>
      <c r="W18" s="80">
        <v>2022</v>
      </c>
      <c r="X18" s="29" t="e">
        <f>+#REF!-'[1]Приложение №1'!$P554</f>
        <v>#REF!</v>
      </c>
      <c r="Z18" s="28">
        <f t="shared" si="3"/>
        <v>55631222.155761994</v>
      </c>
      <c r="AA18" s="27">
        <v>13087181.552321568</v>
      </c>
      <c r="AB18" s="27">
        <v>6304509.4247438349</v>
      </c>
      <c r="AC18" s="27"/>
      <c r="AD18" s="27">
        <v>2789523</v>
      </c>
      <c r="AE18" s="27">
        <v>0</v>
      </c>
      <c r="AF18" s="27"/>
      <c r="AG18" s="27">
        <v>422696.91993928124</v>
      </c>
      <c r="AH18" s="27">
        <v>0</v>
      </c>
      <c r="AI18" s="27">
        <v>18906452.927913617</v>
      </c>
      <c r="AJ18" s="27">
        <v>8471863.8000000007</v>
      </c>
      <c r="AK18" s="27">
        <v>0</v>
      </c>
      <c r="AL18" s="27">
        <v>0</v>
      </c>
      <c r="AM18" s="27">
        <v>4266399.7839222131</v>
      </c>
      <c r="AN18" s="27">
        <v>445086.13631034014</v>
      </c>
      <c r="AO18" s="30">
        <v>937508.61061115132</v>
      </c>
      <c r="AP18" s="84">
        <f>+N18-'Приложение №2'!E18</f>
        <v>0</v>
      </c>
      <c r="AQ18" s="1">
        <v>2457007.84</v>
      </c>
      <c r="AR18" s="1">
        <f t="shared" si="4"/>
        <v>475014</v>
      </c>
      <c r="AS18" s="1">
        <f t="shared" si="5"/>
        <v>16765200</v>
      </c>
      <c r="AT18" s="29">
        <f t="shared" si="6"/>
        <v>0</v>
      </c>
    </row>
    <row r="19" spans="1:46" x14ac:dyDescent="0.25">
      <c r="A19" s="76">
        <f t="shared" si="7"/>
        <v>3</v>
      </c>
      <c r="B19" s="77">
        <f t="shared" si="8"/>
        <v>3</v>
      </c>
      <c r="C19" s="77" t="s">
        <v>59</v>
      </c>
      <c r="D19" s="77" t="s">
        <v>122</v>
      </c>
      <c r="E19" s="78">
        <v>1983</v>
      </c>
      <c r="F19" s="78">
        <v>2011</v>
      </c>
      <c r="G19" s="78" t="s">
        <v>44</v>
      </c>
      <c r="H19" s="78">
        <v>5</v>
      </c>
      <c r="I19" s="78">
        <v>4</v>
      </c>
      <c r="J19" s="44">
        <v>3725.7</v>
      </c>
      <c r="K19" s="44">
        <v>3170.6</v>
      </c>
      <c r="L19" s="44">
        <v>0</v>
      </c>
      <c r="M19" s="79">
        <v>120</v>
      </c>
      <c r="N19" s="129">
        <f t="shared" si="1"/>
        <v>21804481.706755411</v>
      </c>
      <c r="O19" s="75"/>
      <c r="P19" s="162">
        <f>2891231.49+1297400.88</f>
        <v>4188632.37</v>
      </c>
      <c r="Q19" s="162">
        <v>0</v>
      </c>
      <c r="R19" s="162">
        <f>+AQ19+AR19</f>
        <v>1877886.64</v>
      </c>
      <c r="S19" s="162">
        <f>+AS19</f>
        <v>11414160</v>
      </c>
      <c r="T19" s="161">
        <f>+'Приложение №2'!E19-'Приложение №1'!P19-'Приложение №1'!Q19-'Приложение №1'!R19-'Приложение №1'!S19</f>
        <v>4323802.696755413</v>
      </c>
      <c r="U19" s="68">
        <f t="shared" si="2"/>
        <v>6877.0837402243778</v>
      </c>
      <c r="V19" s="68">
        <f t="shared" si="2"/>
        <v>6877.0837402243778</v>
      </c>
      <c r="W19" s="80">
        <v>2022</v>
      </c>
      <c r="X19" s="29" t="e">
        <f>+#REF!-'[1]Приложение №1'!$P555</f>
        <v>#REF!</v>
      </c>
      <c r="Z19" s="31">
        <f t="shared" si="3"/>
        <v>17332985.384287372</v>
      </c>
      <c r="AA19" s="27">
        <v>8910266.0202690158</v>
      </c>
      <c r="AB19" s="27">
        <v>4292357.0577192558</v>
      </c>
      <c r="AC19" s="27"/>
      <c r="AD19" s="27">
        <v>1766460.1357282575</v>
      </c>
      <c r="AE19" s="27">
        <v>0</v>
      </c>
      <c r="AF19" s="27"/>
      <c r="AG19" s="27">
        <v>287788.6264166045</v>
      </c>
      <c r="AH19" s="27">
        <v>0</v>
      </c>
      <c r="AI19" s="27">
        <v>0</v>
      </c>
      <c r="AJ19" s="27"/>
      <c r="AK19" s="27">
        <v>0</v>
      </c>
      <c r="AL19" s="27">
        <v>0</v>
      </c>
      <c r="AM19" s="27">
        <v>1569146.8035559531</v>
      </c>
      <c r="AN19" s="32">
        <v>173329.85384287377</v>
      </c>
      <c r="AO19" s="33">
        <v>333636.88675541501</v>
      </c>
      <c r="AP19" s="84">
        <f>+N19-'Приложение №2'!E19</f>
        <v>0</v>
      </c>
      <c r="AQ19" s="1">
        <v>1554485.44</v>
      </c>
      <c r="AR19" s="1">
        <f t="shared" si="4"/>
        <v>323401.2</v>
      </c>
      <c r="AS19" s="1">
        <f t="shared" si="5"/>
        <v>11414160</v>
      </c>
      <c r="AT19" s="29">
        <f t="shared" si="6"/>
        <v>0</v>
      </c>
    </row>
    <row r="20" spans="1:46" x14ac:dyDescent="0.25">
      <c r="A20" s="76">
        <f t="shared" si="7"/>
        <v>4</v>
      </c>
      <c r="B20" s="77">
        <f t="shared" si="8"/>
        <v>4</v>
      </c>
      <c r="C20" s="77" t="s">
        <v>275</v>
      </c>
      <c r="D20" s="77" t="s">
        <v>276</v>
      </c>
      <c r="E20" s="78">
        <v>1995</v>
      </c>
      <c r="F20" s="78">
        <v>2013</v>
      </c>
      <c r="G20" s="78" t="s">
        <v>44</v>
      </c>
      <c r="H20" s="78">
        <v>3</v>
      </c>
      <c r="I20" s="78">
        <v>4</v>
      </c>
      <c r="J20" s="44">
        <v>2740.5</v>
      </c>
      <c r="K20" s="44">
        <v>1849.2</v>
      </c>
      <c r="L20" s="44">
        <v>0</v>
      </c>
      <c r="M20" s="79">
        <v>67</v>
      </c>
      <c r="N20" s="129">
        <f t="shared" si="1"/>
        <v>6683521.8589600008</v>
      </c>
      <c r="O20" s="44"/>
      <c r="P20" s="162"/>
      <c r="Q20" s="162"/>
      <c r="R20" s="162">
        <f>+AQ20+AR20</f>
        <v>1097135.0899999999</v>
      </c>
      <c r="S20" s="162">
        <f>+'Приложение №2'!E20-'Приложение №1'!P20-'Приложение №1'!Q20-'Приложение №1'!R20</f>
        <v>5586386.7689600009</v>
      </c>
      <c r="T20" s="161">
        <f>+'Приложение №2'!E20-'Приложение №1'!P20-'Приложение №1'!Q20-'Приложение №1'!R20-'Приложение №1'!S20</f>
        <v>0</v>
      </c>
      <c r="U20" s="68">
        <f t="shared" si="2"/>
        <v>3614.2774491455766</v>
      </c>
      <c r="V20" s="68">
        <f t="shared" si="2"/>
        <v>3614.2774491455766</v>
      </c>
      <c r="W20" s="80">
        <v>2022</v>
      </c>
      <c r="X20" s="29" t="e">
        <f>+#REF!-'[1]Приложение №1'!$P909</f>
        <v>#REF!</v>
      </c>
      <c r="Z20" s="31">
        <f t="shared" si="3"/>
        <v>17794596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/>
      <c r="AG20" s="27">
        <v>0</v>
      </c>
      <c r="AH20" s="27">
        <v>0</v>
      </c>
      <c r="AI20" s="27">
        <v>15672412.481039999</v>
      </c>
      <c r="AJ20" s="27">
        <v>0</v>
      </c>
      <c r="AK20" s="27">
        <v>0</v>
      </c>
      <c r="AL20" s="27">
        <v>0</v>
      </c>
      <c r="AM20" s="27">
        <v>1601513.64</v>
      </c>
      <c r="AN20" s="32">
        <v>177945.96</v>
      </c>
      <c r="AO20" s="33">
        <v>342723.91895999998</v>
      </c>
      <c r="AP20" s="84">
        <f>+N20-'Приложение №2'!E20</f>
        <v>0</v>
      </c>
      <c r="AQ20" s="34">
        <v>908516.69</v>
      </c>
      <c r="AR20" s="1">
        <f t="shared" si="4"/>
        <v>188618.4</v>
      </c>
      <c r="AS20" s="1">
        <f t="shared" si="5"/>
        <v>6657120</v>
      </c>
      <c r="AT20" s="29">
        <f t="shared" si="6"/>
        <v>-1070733.2310399991</v>
      </c>
    </row>
    <row r="21" spans="1:46" x14ac:dyDescent="0.25">
      <c r="A21" s="76">
        <f t="shared" si="7"/>
        <v>5</v>
      </c>
      <c r="B21" s="77">
        <f t="shared" si="8"/>
        <v>5</v>
      </c>
      <c r="C21" s="77" t="s">
        <v>275</v>
      </c>
      <c r="D21" s="77" t="s">
        <v>277</v>
      </c>
      <c r="E21" s="78">
        <v>1994</v>
      </c>
      <c r="F21" s="78">
        <v>2013</v>
      </c>
      <c r="G21" s="78" t="s">
        <v>44</v>
      </c>
      <c r="H21" s="78">
        <v>3</v>
      </c>
      <c r="I21" s="78">
        <v>2</v>
      </c>
      <c r="J21" s="44">
        <v>1781.6</v>
      </c>
      <c r="K21" s="44">
        <v>1210.5999999999999</v>
      </c>
      <c r="L21" s="44">
        <v>0</v>
      </c>
      <c r="M21" s="79">
        <v>67</v>
      </c>
      <c r="N21" s="129">
        <f t="shared" si="1"/>
        <v>1380495.8153303184</v>
      </c>
      <c r="O21" s="44"/>
      <c r="P21" s="162"/>
      <c r="Q21" s="162"/>
      <c r="R21" s="162">
        <v>428000.15</v>
      </c>
      <c r="S21" s="162">
        <f>+'Приложение №2'!E21-'Приложение №1'!P21-'Приложение №1'!Q21-'Приложение №1'!R21</f>
        <v>952495.66533031838</v>
      </c>
      <c r="T21" s="161">
        <f>+'Приложение №2'!E21-'Приложение №1'!P21-'Приложение №1'!Q21-'Приложение №1'!R21-'Приложение №1'!S21</f>
        <v>0</v>
      </c>
      <c r="U21" s="68">
        <f t="shared" si="2"/>
        <v>1140.3401745665938</v>
      </c>
      <c r="V21" s="68">
        <f t="shared" si="2"/>
        <v>1140.3401745665938</v>
      </c>
      <c r="W21" s="80">
        <v>2022</v>
      </c>
      <c r="X21" s="29" t="e">
        <f>+#REF!-'[1]Приложение №1'!$P910</f>
        <v>#REF!</v>
      </c>
      <c r="Z21" s="31">
        <f t="shared" si="3"/>
        <v>5516150.6245547542</v>
      </c>
      <c r="AA21" s="27">
        <v>4565756.2689250316</v>
      </c>
      <c r="AB21" s="27">
        <v>0</v>
      </c>
      <c r="AC21" s="27">
        <v>0</v>
      </c>
      <c r="AD21" s="27">
        <v>0</v>
      </c>
      <c r="AE21" s="27">
        <v>0</v>
      </c>
      <c r="AF21" s="27"/>
      <c r="AG21" s="27">
        <v>373174.61155392334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414053.82249993231</v>
      </c>
      <c r="AN21" s="32">
        <v>55161.506245547534</v>
      </c>
      <c r="AO21" s="33">
        <v>108004.41533031844</v>
      </c>
      <c r="AP21" s="84">
        <f>+N21-'Приложение №2'!E21</f>
        <v>0</v>
      </c>
      <c r="AQ21" s="34">
        <v>581248.32999999996</v>
      </c>
      <c r="AR21" s="1">
        <f t="shared" si="4"/>
        <v>123481.2</v>
      </c>
      <c r="AS21" s="1">
        <f t="shared" si="5"/>
        <v>4358160</v>
      </c>
      <c r="AT21" s="29">
        <f t="shared" si="6"/>
        <v>-3405664.3346696817</v>
      </c>
    </row>
    <row r="22" spans="1:46" x14ac:dyDescent="0.25">
      <c r="A22" s="76">
        <f t="shared" si="7"/>
        <v>6</v>
      </c>
      <c r="B22" s="77">
        <f t="shared" si="8"/>
        <v>6</v>
      </c>
      <c r="C22" s="77" t="s">
        <v>275</v>
      </c>
      <c r="D22" s="77" t="s">
        <v>278</v>
      </c>
      <c r="E22" s="78">
        <v>1993</v>
      </c>
      <c r="F22" s="78">
        <v>2013</v>
      </c>
      <c r="G22" s="78" t="s">
        <v>44</v>
      </c>
      <c r="H22" s="78">
        <v>2</v>
      </c>
      <c r="I22" s="78">
        <v>0</v>
      </c>
      <c r="J22" s="44">
        <v>868.3</v>
      </c>
      <c r="K22" s="44">
        <v>868.3</v>
      </c>
      <c r="L22" s="44">
        <v>0</v>
      </c>
      <c r="M22" s="79">
        <v>31</v>
      </c>
      <c r="N22" s="129">
        <f t="shared" si="1"/>
        <v>2472986.52</v>
      </c>
      <c r="O22" s="44"/>
      <c r="P22" s="163"/>
      <c r="Q22" s="162"/>
      <c r="R22" s="162">
        <f>+AQ22+AR22</f>
        <v>505278.45999999996</v>
      </c>
      <c r="S22" s="162">
        <f>+'Приложение №2'!E22-'Приложение №1'!P22-'Приложение №1'!R22</f>
        <v>1967708.06</v>
      </c>
      <c r="T22" s="161">
        <f>+'Приложение №2'!E22-'Приложение №1'!P22-'Приложение №1'!Q22-'Приложение №1'!R22-'Приложение №1'!S22</f>
        <v>0</v>
      </c>
      <c r="U22" s="68">
        <f t="shared" si="2"/>
        <v>2848.0784521478754</v>
      </c>
      <c r="V22" s="68">
        <f t="shared" si="2"/>
        <v>2848.0784521478754</v>
      </c>
      <c r="W22" s="80">
        <v>2022</v>
      </c>
      <c r="X22" s="29" t="e">
        <f>+#REF!-'[1]Приложение №1'!$P911</f>
        <v>#REF!</v>
      </c>
      <c r="Z22" s="31">
        <f t="shared" si="3"/>
        <v>3949769.5149232973</v>
      </c>
      <c r="AA22" s="27">
        <v>3597070.04</v>
      </c>
      <c r="AB22" s="27">
        <v>0</v>
      </c>
      <c r="AC22" s="27">
        <v>0</v>
      </c>
      <c r="AD22" s="27">
        <v>0</v>
      </c>
      <c r="AE22" s="27">
        <v>0</v>
      </c>
      <c r="AF22" s="27"/>
      <c r="AG22" s="27">
        <v>269001.86492329749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28876.78</v>
      </c>
      <c r="AN22" s="32">
        <v>10000</v>
      </c>
      <c r="AO22" s="33">
        <v>44820.83</v>
      </c>
      <c r="AP22" s="84">
        <f>+N22-'Приложение №2'!E22</f>
        <v>0</v>
      </c>
      <c r="AQ22" s="34">
        <v>416711.86</v>
      </c>
      <c r="AR22" s="1">
        <f t="shared" si="4"/>
        <v>88566.599999999991</v>
      </c>
      <c r="AS22" s="1">
        <f t="shared" si="5"/>
        <v>3125880</v>
      </c>
      <c r="AT22" s="29">
        <f t="shared" si="6"/>
        <v>-1158171.94</v>
      </c>
    </row>
    <row r="23" spans="1:46" x14ac:dyDescent="0.25">
      <c r="A23" s="76">
        <f t="shared" si="7"/>
        <v>7</v>
      </c>
      <c r="B23" s="77">
        <f t="shared" si="8"/>
        <v>7</v>
      </c>
      <c r="C23" s="77" t="s">
        <v>60</v>
      </c>
      <c r="D23" s="77" t="s">
        <v>124</v>
      </c>
      <c r="E23" s="78">
        <v>1993</v>
      </c>
      <c r="F23" s="78">
        <v>2012</v>
      </c>
      <c r="G23" s="78" t="s">
        <v>44</v>
      </c>
      <c r="H23" s="78">
        <v>3</v>
      </c>
      <c r="I23" s="78">
        <v>1</v>
      </c>
      <c r="J23" s="44">
        <v>1090</v>
      </c>
      <c r="K23" s="44">
        <v>942.47</v>
      </c>
      <c r="L23" s="44">
        <v>0</v>
      </c>
      <c r="M23" s="79">
        <v>33</v>
      </c>
      <c r="N23" s="129">
        <f t="shared" si="1"/>
        <v>113078.26467698808</v>
      </c>
      <c r="O23" s="75"/>
      <c r="P23" s="162"/>
      <c r="Q23" s="162"/>
      <c r="R23" s="162">
        <f>+'Приложение №2'!E23</f>
        <v>113078.26467698808</v>
      </c>
      <c r="S23" s="162">
        <f>+'Приложение №2'!E23-'Приложение №1'!R23</f>
        <v>0</v>
      </c>
      <c r="T23" s="161">
        <f>+'Приложение №2'!E23-'Приложение №1'!P23-'Приложение №1'!Q23-'Приложение №1'!R23-'Приложение №1'!S23</f>
        <v>0</v>
      </c>
      <c r="U23" s="68">
        <f t="shared" si="2"/>
        <v>119.98075766548334</v>
      </c>
      <c r="V23" s="68">
        <f t="shared" si="2"/>
        <v>119.98075766548334</v>
      </c>
      <c r="W23" s="80">
        <v>2022</v>
      </c>
      <c r="X23" s="29" t="e">
        <f>+#REF!-'[1]Приложение №1'!$P556</f>
        <v>#REF!</v>
      </c>
      <c r="Z23" s="31">
        <f t="shared" si="3"/>
        <v>1353938.3335296002</v>
      </c>
      <c r="AA23" s="27">
        <v>0</v>
      </c>
      <c r="AB23" s="27">
        <v>0</v>
      </c>
      <c r="AC23" s="27">
        <v>766834.98031195218</v>
      </c>
      <c r="AD23" s="27">
        <v>398482.47555609996</v>
      </c>
      <c r="AE23" s="27">
        <v>0</v>
      </c>
      <c r="AF23" s="27"/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149598.36173318402</v>
      </c>
      <c r="AN23" s="32">
        <v>13539.383335296003</v>
      </c>
      <c r="AO23" s="33">
        <v>25483.132593067974</v>
      </c>
      <c r="AP23" s="84">
        <f>+N23-'Приложение №2'!E23</f>
        <v>0</v>
      </c>
      <c r="AQ23" s="1">
        <v>502001.62</v>
      </c>
      <c r="AR23" s="1">
        <f t="shared" si="4"/>
        <v>96131.94</v>
      </c>
      <c r="AS23" s="1">
        <f t="shared" si="5"/>
        <v>3392892.0000000005</v>
      </c>
      <c r="AT23" s="29">
        <f t="shared" si="6"/>
        <v>-3392892.0000000005</v>
      </c>
    </row>
    <row r="24" spans="1:46" x14ac:dyDescent="0.25">
      <c r="A24" s="76">
        <f t="shared" si="7"/>
        <v>8</v>
      </c>
      <c r="B24" s="77">
        <f t="shared" si="8"/>
        <v>8</v>
      </c>
      <c r="C24" s="77" t="s">
        <v>60</v>
      </c>
      <c r="D24" s="77" t="s">
        <v>279</v>
      </c>
      <c r="E24" s="78">
        <v>1990</v>
      </c>
      <c r="F24" s="78">
        <v>1990</v>
      </c>
      <c r="G24" s="78" t="s">
        <v>44</v>
      </c>
      <c r="H24" s="78">
        <v>5</v>
      </c>
      <c r="I24" s="78">
        <v>6</v>
      </c>
      <c r="J24" s="44">
        <v>5208.7</v>
      </c>
      <c r="K24" s="44">
        <v>4621.34</v>
      </c>
      <c r="L24" s="44">
        <v>0</v>
      </c>
      <c r="M24" s="79">
        <v>157</v>
      </c>
      <c r="N24" s="129">
        <f t="shared" si="1"/>
        <v>5366313.5354361599</v>
      </c>
      <c r="O24" s="44"/>
      <c r="P24" s="162"/>
      <c r="Q24" s="162"/>
      <c r="R24" s="162">
        <v>1998629.62</v>
      </c>
      <c r="S24" s="162">
        <f>+'Приложение №2'!E24-'Приложение №1'!R24</f>
        <v>3367683.9154361598</v>
      </c>
      <c r="T24" s="161">
        <f>+'Приложение №2'!E24-'Приложение №1'!P24-'Приложение №1'!Q24-'Приложение №1'!R24-'Приложение №1'!S24</f>
        <v>0</v>
      </c>
      <c r="U24" s="68">
        <f t="shared" si="2"/>
        <v>1161.2029271674794</v>
      </c>
      <c r="V24" s="68">
        <f t="shared" si="2"/>
        <v>1161.2029271674794</v>
      </c>
      <c r="W24" s="80">
        <v>2022</v>
      </c>
      <c r="X24" s="29" t="e">
        <f>+#REF!-'[1]Приложение №1'!$P1317</f>
        <v>#REF!</v>
      </c>
      <c r="Z24" s="31">
        <f t="shared" si="3"/>
        <v>24135948.530553602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/>
      <c r="AG24" s="27">
        <v>0</v>
      </c>
      <c r="AH24" s="27">
        <v>0</v>
      </c>
      <c r="AI24" s="27">
        <v>0</v>
      </c>
      <c r="AJ24" s="27">
        <v>7798620.4989638412</v>
      </c>
      <c r="AK24" s="27">
        <v>9725868.7576821167</v>
      </c>
      <c r="AL24" s="27">
        <v>3496811.6598338219</v>
      </c>
      <c r="AM24" s="27">
        <v>2413594.8530553603</v>
      </c>
      <c r="AN24" s="32">
        <v>241359.48530553601</v>
      </c>
      <c r="AO24" s="33">
        <v>459693.27571292385</v>
      </c>
      <c r="AP24" s="84">
        <f>+N24-'Приложение №2'!E24</f>
        <v>0</v>
      </c>
      <c r="AQ24" s="1">
        <v>2233749.27</v>
      </c>
      <c r="AR24" s="1">
        <f t="shared" si="4"/>
        <v>471376.68000000005</v>
      </c>
      <c r="AS24" s="1">
        <f t="shared" si="5"/>
        <v>16636824.000000002</v>
      </c>
      <c r="AT24" s="29">
        <f t="shared" si="6"/>
        <v>-13269140.084563842</v>
      </c>
    </row>
    <row r="25" spans="1:46" x14ac:dyDescent="0.25">
      <c r="A25" s="76">
        <f t="shared" si="7"/>
        <v>9</v>
      </c>
      <c r="B25" s="77">
        <f t="shared" si="8"/>
        <v>9</v>
      </c>
      <c r="C25" s="77" t="s">
        <v>60</v>
      </c>
      <c r="D25" s="77" t="s">
        <v>125</v>
      </c>
      <c r="E25" s="78">
        <v>1985</v>
      </c>
      <c r="F25" s="78">
        <v>1985</v>
      </c>
      <c r="G25" s="78" t="s">
        <v>44</v>
      </c>
      <c r="H25" s="78">
        <v>4</v>
      </c>
      <c r="I25" s="78">
        <v>2</v>
      </c>
      <c r="J25" s="44">
        <v>1511.1</v>
      </c>
      <c r="K25" s="44">
        <v>1366.85</v>
      </c>
      <c r="L25" s="44">
        <v>0</v>
      </c>
      <c r="M25" s="79">
        <v>62</v>
      </c>
      <c r="N25" s="129">
        <f t="shared" si="1"/>
        <v>3697130.3492353396</v>
      </c>
      <c r="O25" s="44"/>
      <c r="P25" s="162"/>
      <c r="Q25" s="162"/>
      <c r="R25" s="162">
        <v>399040.08999999997</v>
      </c>
      <c r="S25" s="162">
        <f>+'Приложение №2'!E25-'Приложение №1'!R25-T25</f>
        <v>3206331.2592353397</v>
      </c>
      <c r="T25" s="161">
        <v>91759</v>
      </c>
      <c r="U25" s="68">
        <f t="shared" si="2"/>
        <v>2704.8544823757834</v>
      </c>
      <c r="V25" s="68">
        <f t="shared" si="2"/>
        <v>2704.8544823757834</v>
      </c>
      <c r="W25" s="80">
        <v>2022</v>
      </c>
      <c r="X25" s="29" t="e">
        <f>+#REF!-'[1]Приложение №1'!$P404</f>
        <v>#REF!</v>
      </c>
      <c r="Z25" s="31">
        <f t="shared" si="3"/>
        <v>7089248.6021132804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/>
      <c r="AG25" s="27">
        <v>0</v>
      </c>
      <c r="AH25" s="27">
        <v>0</v>
      </c>
      <c r="AI25" s="27">
        <v>0</v>
      </c>
      <c r="AJ25" s="27">
        <v>2448913.4700000002</v>
      </c>
      <c r="AK25" s="27">
        <v>3110879.85</v>
      </c>
      <c r="AL25" s="27">
        <v>1036083.9228779406</v>
      </c>
      <c r="AM25" s="27">
        <v>392917.04065692797</v>
      </c>
      <c r="AN25" s="32">
        <v>18562.626065692799</v>
      </c>
      <c r="AO25" s="33">
        <v>81891.69251271851</v>
      </c>
      <c r="AP25" s="84">
        <f>+N25-'Приложение №2'!E25</f>
        <v>0</v>
      </c>
      <c r="AQ25" s="1">
        <v>593500.14</v>
      </c>
      <c r="AR25" s="1">
        <f t="shared" si="4"/>
        <v>139418.69999999998</v>
      </c>
      <c r="AS25" s="1">
        <f t="shared" si="5"/>
        <v>4920660</v>
      </c>
      <c r="AT25" s="29">
        <f t="shared" si="6"/>
        <v>-1714328.7407646603</v>
      </c>
    </row>
    <row r="26" spans="1:46" x14ac:dyDescent="0.25">
      <c r="A26" s="76">
        <f t="shared" si="7"/>
        <v>10</v>
      </c>
      <c r="B26" s="77">
        <f t="shared" si="8"/>
        <v>10</v>
      </c>
      <c r="C26" s="77" t="s">
        <v>545</v>
      </c>
      <c r="D26" s="77" t="s">
        <v>457</v>
      </c>
      <c r="E26" s="78">
        <v>1991</v>
      </c>
      <c r="F26" s="78">
        <v>1992</v>
      </c>
      <c r="G26" s="78" t="s">
        <v>547</v>
      </c>
      <c r="H26" s="78">
        <v>5</v>
      </c>
      <c r="I26" s="78">
        <v>6</v>
      </c>
      <c r="J26" s="44">
        <v>5213.3</v>
      </c>
      <c r="K26" s="44">
        <v>4504.3999999999996</v>
      </c>
      <c r="L26" s="44">
        <v>150</v>
      </c>
      <c r="M26" s="79">
        <v>215</v>
      </c>
      <c r="N26" s="129">
        <f t="shared" si="1"/>
        <v>3712081.5291589973</v>
      </c>
      <c r="O26" s="44"/>
      <c r="P26" s="162"/>
      <c r="Q26" s="162"/>
      <c r="R26" s="162">
        <v>458250.55</v>
      </c>
      <c r="S26" s="162">
        <f>+'Приложение №2'!E26-'Приложение №1'!R26</f>
        <v>3253830.9791589975</v>
      </c>
      <c r="T26" s="161">
        <f>+'Приложение №2'!E26-'Приложение №1'!P26-'Приложение №1'!Q26-'Приложение №1'!R26-'Приложение №1'!S26</f>
        <v>0</v>
      </c>
      <c r="U26" s="68">
        <f t="shared" si="2"/>
        <v>797.54243923147942</v>
      </c>
      <c r="V26" s="68">
        <f t="shared" si="2"/>
        <v>797.54243923147942</v>
      </c>
      <c r="W26" s="80">
        <v>2022</v>
      </c>
      <c r="X26" s="29" t="e">
        <f>+#REF!-'[1]Приложение №1'!$P1324</f>
        <v>#REF!</v>
      </c>
      <c r="Z26" s="31">
        <f t="shared" si="3"/>
        <v>22984871.147637237</v>
      </c>
      <c r="AA26" s="27">
        <v>8923099.0413838681</v>
      </c>
      <c r="AB26" s="27">
        <v>3819284.0558351283</v>
      </c>
      <c r="AC26" s="27">
        <v>3409399.7983082924</v>
      </c>
      <c r="AD26" s="27">
        <v>3601025.7724938672</v>
      </c>
      <c r="AE26" s="27">
        <v>0</v>
      </c>
      <c r="AF26" s="27"/>
      <c r="AG26" s="27">
        <v>370474.89045708859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2191683.422796627</v>
      </c>
      <c r="AN26" s="32">
        <v>229848.71147637241</v>
      </c>
      <c r="AO26" s="33">
        <v>440055.45488599484</v>
      </c>
      <c r="AP26" s="84">
        <f>+N26-'Приложение №2'!E26</f>
        <v>0</v>
      </c>
      <c r="AQ26" s="1">
        <f>2134189.71-1374751.67</f>
        <v>759438.04</v>
      </c>
      <c r="AR26" s="1">
        <f t="shared" si="4"/>
        <v>490048.8</v>
      </c>
      <c r="AS26" s="1">
        <f>+(K26*10+L26*20)*12*30-2680584.06</f>
        <v>14615255.939999999</v>
      </c>
      <c r="AT26" s="29">
        <f t="shared" si="6"/>
        <v>-11361424.960841002</v>
      </c>
    </row>
    <row r="27" spans="1:46" x14ac:dyDescent="0.25">
      <c r="A27" s="76">
        <f t="shared" si="7"/>
        <v>11</v>
      </c>
      <c r="B27" s="77">
        <f t="shared" si="8"/>
        <v>11</v>
      </c>
      <c r="C27" s="77" t="s">
        <v>545</v>
      </c>
      <c r="D27" s="77" t="s">
        <v>126</v>
      </c>
      <c r="E27" s="78">
        <v>1996</v>
      </c>
      <c r="F27" s="78">
        <v>1996</v>
      </c>
      <c r="G27" s="78" t="s">
        <v>547</v>
      </c>
      <c r="H27" s="78">
        <v>9</v>
      </c>
      <c r="I27" s="78">
        <v>2</v>
      </c>
      <c r="J27" s="44">
        <v>5868.8</v>
      </c>
      <c r="K27" s="44">
        <v>4891.1000000000004</v>
      </c>
      <c r="L27" s="44">
        <v>103.4</v>
      </c>
      <c r="M27" s="79">
        <v>176</v>
      </c>
      <c r="N27" s="129">
        <f t="shared" si="1"/>
        <v>6156349.6058218479</v>
      </c>
      <c r="O27" s="44"/>
      <c r="P27" s="162">
        <v>0</v>
      </c>
      <c r="Q27" s="162"/>
      <c r="R27" s="162">
        <v>2916099.9</v>
      </c>
      <c r="S27" s="162">
        <f>+'Приложение №2'!E27-'Приложение №1'!R27</f>
        <v>3240249.705821848</v>
      </c>
      <c r="T27" s="161">
        <f>+'Приложение №2'!E27-'Приложение №1'!P27-'Приложение №1'!Q27-'Приложение №1'!R27-'Приложение №1'!S27</f>
        <v>0</v>
      </c>
      <c r="U27" s="68">
        <f t="shared" si="2"/>
        <v>1232.6258095548799</v>
      </c>
      <c r="V27" s="68">
        <f t="shared" si="2"/>
        <v>1232.6258095548799</v>
      </c>
      <c r="W27" s="80">
        <v>2022</v>
      </c>
      <c r="X27" s="29" t="e">
        <f>+#REF!-'[1]Приложение №1'!$P1325</f>
        <v>#REF!</v>
      </c>
      <c r="Z27" s="31">
        <f t="shared" si="3"/>
        <v>26916272.679462254</v>
      </c>
      <c r="AA27" s="27">
        <v>11954408.568709729</v>
      </c>
      <c r="AB27" s="27">
        <v>4782903.5702124871</v>
      </c>
      <c r="AC27" s="27">
        <v>3532642.5089277923</v>
      </c>
      <c r="AD27" s="27">
        <v>2257520.5141524919</v>
      </c>
      <c r="AE27" s="27">
        <v>0</v>
      </c>
      <c r="AF27" s="27"/>
      <c r="AG27" s="27">
        <v>531117.68749178003</v>
      </c>
      <c r="AH27" s="27">
        <v>0</v>
      </c>
      <c r="AI27" s="27"/>
      <c r="AJ27" s="27">
        <v>0</v>
      </c>
      <c r="AK27" s="27">
        <v>0</v>
      </c>
      <c r="AL27" s="27">
        <v>0</v>
      </c>
      <c r="AM27" s="27">
        <v>2917548.1015033424</v>
      </c>
      <c r="AN27" s="32">
        <v>321479.91337035975</v>
      </c>
      <c r="AO27" s="33">
        <v>618651.81509427261</v>
      </c>
      <c r="AP27" s="84">
        <f>+N27-'Приложение №2'!E27</f>
        <v>0</v>
      </c>
      <c r="AQ27" s="1">
        <f>3041149.84-317048.16</f>
        <v>2724101.6799999997</v>
      </c>
      <c r="AR27" s="1">
        <f>+(K27*13.29+L27*22.52)*12*0.85</f>
        <v>686779.12739999988</v>
      </c>
      <c r="AS27" s="1">
        <f>+(K27*13.29+L27*22.52)*12*30-2665031.47</f>
        <v>21574231.849999998</v>
      </c>
      <c r="AT27" s="29">
        <f t="shared" si="6"/>
        <v>-18333982.144178148</v>
      </c>
    </row>
    <row r="28" spans="1:46" x14ac:dyDescent="0.25">
      <c r="A28" s="76">
        <f t="shared" si="7"/>
        <v>12</v>
      </c>
      <c r="B28" s="77">
        <f t="shared" si="8"/>
        <v>12</v>
      </c>
      <c r="C28" s="77" t="s">
        <v>546</v>
      </c>
      <c r="D28" s="77" t="s">
        <v>564</v>
      </c>
      <c r="E28" s="78">
        <v>1986</v>
      </c>
      <c r="F28" s="78">
        <v>2016</v>
      </c>
      <c r="G28" s="78" t="s">
        <v>547</v>
      </c>
      <c r="H28" s="78">
        <v>9</v>
      </c>
      <c r="I28" s="78">
        <v>1</v>
      </c>
      <c r="J28" s="44">
        <v>3158.3</v>
      </c>
      <c r="K28" s="44">
        <v>2706.55</v>
      </c>
      <c r="L28" s="44">
        <v>0</v>
      </c>
      <c r="M28" s="79">
        <v>111</v>
      </c>
      <c r="N28" s="129">
        <f t="shared" ref="N28:N56" si="9">+P28+Q28+R28+S28+T28</f>
        <v>13036215.770000001</v>
      </c>
      <c r="O28" s="44"/>
      <c r="P28" s="164">
        <v>12411219.705962</v>
      </c>
      <c r="Q28" s="164"/>
      <c r="R28" s="164">
        <v>624996.06000000006</v>
      </c>
      <c r="S28" s="162"/>
      <c r="T28" s="161">
        <f>+'Приложение №2'!E28-'Приложение №1'!P28-'Приложение №1'!Q28-'Приложение №1'!R28-'Приложение №1'!S28</f>
        <v>4.0380009450018406E-3</v>
      </c>
      <c r="U28" s="68">
        <f t="shared" ref="U28:V39" si="10">$N28/($K28+$L28)</f>
        <v>4816.5434852487488</v>
      </c>
      <c r="V28" s="68">
        <f t="shared" si="10"/>
        <v>4816.5434852487488</v>
      </c>
      <c r="W28" s="80">
        <v>2022</v>
      </c>
      <c r="X28" s="29" t="e">
        <f>+#REF!-'[1]Приложение №1'!#REF!</f>
        <v>#REF!</v>
      </c>
      <c r="Z28" s="31">
        <f t="shared" ref="Z28:Z47" si="11">SUM(AA28:AO28)</f>
        <v>13982972.132639855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/>
      <c r="AG28" s="27">
        <v>0</v>
      </c>
      <c r="AH28" s="27">
        <v>0</v>
      </c>
      <c r="AI28" s="27">
        <v>2807713.831463424</v>
      </c>
      <c r="AJ28" s="27">
        <v>0</v>
      </c>
      <c r="AK28" s="27">
        <v>9402008.4996973816</v>
      </c>
      <c r="AL28" s="27">
        <v>0</v>
      </c>
      <c r="AM28" s="27">
        <v>1366418.1816375868</v>
      </c>
      <c r="AN28" s="32">
        <v>139829.72132639855</v>
      </c>
      <c r="AO28" s="33">
        <v>267001.89851506357</v>
      </c>
      <c r="AP28" s="84">
        <f>+N28-'Приложение №2'!E28</f>
        <v>0</v>
      </c>
      <c r="AR28" s="1">
        <f>+(K28*13.29+L28*22.52)*12*0.85</f>
        <v>366894.5049</v>
      </c>
      <c r="AT28" s="29"/>
    </row>
    <row r="29" spans="1:46" x14ac:dyDescent="0.25">
      <c r="A29" s="76">
        <f t="shared" si="7"/>
        <v>13</v>
      </c>
      <c r="B29" s="77">
        <f t="shared" si="8"/>
        <v>13</v>
      </c>
      <c r="C29" s="77" t="s">
        <v>545</v>
      </c>
      <c r="D29" s="77" t="s">
        <v>281</v>
      </c>
      <c r="E29" s="78">
        <v>1990</v>
      </c>
      <c r="F29" s="78">
        <v>2017</v>
      </c>
      <c r="G29" s="78" t="s">
        <v>547</v>
      </c>
      <c r="H29" s="78">
        <v>10</v>
      </c>
      <c r="I29" s="78">
        <v>3</v>
      </c>
      <c r="J29" s="44">
        <v>10664.8</v>
      </c>
      <c r="K29" s="44">
        <v>8965.7000000000007</v>
      </c>
      <c r="L29" s="44">
        <v>241.2</v>
      </c>
      <c r="M29" s="79">
        <v>365</v>
      </c>
      <c r="N29" s="129">
        <f t="shared" si="9"/>
        <v>947792.52460360434</v>
      </c>
      <c r="O29" s="44"/>
      <c r="P29" s="162"/>
      <c r="Q29" s="162"/>
      <c r="R29" s="162">
        <v>529034.98</v>
      </c>
      <c r="S29" s="162">
        <f>+'Приложение №2'!E29-'Приложение №1'!P29-'Приложение №1'!Q29-'Приложение №1'!R29</f>
        <v>418757.54460360436</v>
      </c>
      <c r="T29" s="161">
        <f>+'Приложение №2'!E29-'Приложение №1'!P29-'Приложение №1'!Q29-'Приложение №1'!R29-'Приложение №1'!S29</f>
        <v>0</v>
      </c>
      <c r="U29" s="68">
        <f t="shared" si="10"/>
        <v>102.94371879824959</v>
      </c>
      <c r="V29" s="68">
        <f t="shared" si="10"/>
        <v>102.94371879824959</v>
      </c>
      <c r="W29" s="80">
        <v>2022</v>
      </c>
      <c r="X29" s="29" t="e">
        <f>+#REF!-'[1]Приложение №1'!$P919</f>
        <v>#REF!</v>
      </c>
      <c r="Z29" s="31">
        <f t="shared" si="11"/>
        <v>17451465.54755237</v>
      </c>
      <c r="AA29" s="27"/>
      <c r="AB29" s="27"/>
      <c r="AC29" s="27">
        <v>6509638.5673844106</v>
      </c>
      <c r="AD29" s="27">
        <v>4159957.4733218304</v>
      </c>
      <c r="AE29" s="27">
        <v>0</v>
      </c>
      <c r="AF29" s="27"/>
      <c r="AG29" s="27">
        <v>978696.30838074186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4391061.0735815065</v>
      </c>
      <c r="AN29" s="32">
        <v>482934.91690454783</v>
      </c>
      <c r="AO29" s="33">
        <v>929177.20797933068</v>
      </c>
      <c r="AP29" s="84">
        <f>+N29-'Приложение №2'!E29</f>
        <v>0</v>
      </c>
      <c r="AQ29" s="1">
        <v>6040448.1299999999</v>
      </c>
      <c r="AR29" s="1">
        <f>+(K29*13.29+L29*22.52)*12*0.85</f>
        <v>1270776.9653999999</v>
      </c>
      <c r="AS29" s="1">
        <f>+(K29*13.29+L29*22.52)*12*30-11155353.44</f>
        <v>33695598.280000001</v>
      </c>
      <c r="AT29" s="29">
        <f t="shared" si="6"/>
        <v>-33276840.735396396</v>
      </c>
    </row>
    <row r="30" spans="1:46" x14ac:dyDescent="0.25">
      <c r="A30" s="76">
        <f t="shared" si="7"/>
        <v>14</v>
      </c>
      <c r="B30" s="77">
        <f t="shared" si="8"/>
        <v>14</v>
      </c>
      <c r="C30" s="77" t="s">
        <v>545</v>
      </c>
      <c r="D30" s="77" t="s">
        <v>133</v>
      </c>
      <c r="E30" s="78">
        <v>1990</v>
      </c>
      <c r="F30" s="78">
        <v>2017</v>
      </c>
      <c r="G30" s="78" t="s">
        <v>547</v>
      </c>
      <c r="H30" s="78">
        <v>9</v>
      </c>
      <c r="I30" s="78">
        <v>1</v>
      </c>
      <c r="J30" s="44">
        <v>4531.3</v>
      </c>
      <c r="K30" s="44">
        <v>3818.4</v>
      </c>
      <c r="L30" s="44">
        <v>61.2</v>
      </c>
      <c r="M30" s="79">
        <v>144</v>
      </c>
      <c r="N30" s="129">
        <f t="shared" si="9"/>
        <v>3204810.5757265971</v>
      </c>
      <c r="O30" s="44"/>
      <c r="P30" s="162">
        <v>339282.04</v>
      </c>
      <c r="Q30" s="162"/>
      <c r="R30" s="162">
        <f>+'Приложение №2'!E30-'Приложение №1'!S30-P30</f>
        <v>120075.01572659711</v>
      </c>
      <c r="S30" s="162">
        <v>2745453.52</v>
      </c>
      <c r="T30" s="161">
        <f>+'Приложение №2'!E30-'Приложение №1'!P30-'Приложение №1'!Q30-'Приложение №1'!R30-'Приложение №1'!S30</f>
        <v>0</v>
      </c>
      <c r="U30" s="68">
        <f t="shared" si="10"/>
        <v>826.06726872012507</v>
      </c>
      <c r="V30" s="68">
        <f t="shared" si="10"/>
        <v>826.06726872012507</v>
      </c>
      <c r="W30" s="80">
        <v>2022</v>
      </c>
      <c r="X30" s="29" t="e">
        <f>+#REF!-'[1]Приложение №1'!$P921</f>
        <v>#REF!</v>
      </c>
      <c r="Z30" s="31">
        <f t="shared" si="11"/>
        <v>27882965.040892042</v>
      </c>
      <c r="AA30" s="27">
        <v>9323379.5626275707</v>
      </c>
      <c r="AB30" s="27">
        <v>3730241.0353664667</v>
      </c>
      <c r="AC30" s="27">
        <v>2755148.176549369</v>
      </c>
      <c r="AD30" s="27">
        <v>1760665.9922058834</v>
      </c>
      <c r="AE30" s="27">
        <v>0</v>
      </c>
      <c r="AF30" s="27"/>
      <c r="AG30" s="27">
        <v>414224.74097732303</v>
      </c>
      <c r="AH30" s="27">
        <v>0</v>
      </c>
      <c r="AI30" s="27">
        <v>0</v>
      </c>
      <c r="AJ30" s="27">
        <v>6482652.3339526588</v>
      </c>
      <c r="AK30" s="27">
        <v>0</v>
      </c>
      <c r="AL30" s="27">
        <v>0</v>
      </c>
      <c r="AM30" s="27">
        <v>2602794.861483254</v>
      </c>
      <c r="AN30" s="32">
        <v>278829.65040892042</v>
      </c>
      <c r="AO30" s="33">
        <v>535028.68732059724</v>
      </c>
      <c r="AP30" s="84">
        <f>+N30-'Приложение №2'!E30</f>
        <v>0</v>
      </c>
      <c r="AQ30" s="1">
        <f>2472188.7-'[2]Приложение №1'!$R$83</f>
        <v>1031818.0268000001</v>
      </c>
      <c r="AR30" s="1">
        <f>+(K30*13.29+L30*22.52)*12*0.85</f>
        <v>531672.55200000003</v>
      </c>
      <c r="AS30" s="1">
        <f>+(K30*13.29+L30*22.52)*12*30-'[2]Приложение №1'!$S$83</f>
        <v>18512253.773200002</v>
      </c>
      <c r="AT30" s="29">
        <f t="shared" si="6"/>
        <v>-15766800.253200002</v>
      </c>
    </row>
    <row r="31" spans="1:46" x14ac:dyDescent="0.25">
      <c r="A31" s="76">
        <f t="shared" si="7"/>
        <v>15</v>
      </c>
      <c r="B31" s="77">
        <f t="shared" si="8"/>
        <v>15</v>
      </c>
      <c r="C31" s="77" t="s">
        <v>545</v>
      </c>
      <c r="D31" s="77" t="s">
        <v>284</v>
      </c>
      <c r="E31" s="78">
        <v>1988</v>
      </c>
      <c r="F31" s="78">
        <v>2016</v>
      </c>
      <c r="G31" s="78" t="s">
        <v>547</v>
      </c>
      <c r="H31" s="78">
        <v>5</v>
      </c>
      <c r="I31" s="78">
        <v>2</v>
      </c>
      <c r="J31" s="44">
        <v>4465.5</v>
      </c>
      <c r="K31" s="44">
        <v>2945.85</v>
      </c>
      <c r="L31" s="44">
        <v>451.6</v>
      </c>
      <c r="M31" s="79">
        <v>169</v>
      </c>
      <c r="N31" s="129">
        <f t="shared" si="9"/>
        <v>7091508.1283725407</v>
      </c>
      <c r="O31" s="44"/>
      <c r="P31" s="162"/>
      <c r="Q31" s="162"/>
      <c r="R31" s="162">
        <f>+AQ31+AR31-46238.97</f>
        <v>2137034.25</v>
      </c>
      <c r="S31" s="162">
        <v>3849733.41</v>
      </c>
      <c r="T31" s="161">
        <f>+'Приложение №2'!E31-'Приложение №1'!P31-'Приложение №1'!Q31-'Приложение №1'!R31-'Приложение №1'!S31</f>
        <v>1104740.4683725405</v>
      </c>
      <c r="U31" s="68">
        <f t="shared" si="10"/>
        <v>2087.3031621870937</v>
      </c>
      <c r="V31" s="68">
        <f t="shared" si="10"/>
        <v>2087.3031621870937</v>
      </c>
      <c r="W31" s="80">
        <v>2022</v>
      </c>
      <c r="X31" s="29" t="e">
        <f>+#REF!-'[1]Приложение №1'!$P927</f>
        <v>#REF!</v>
      </c>
      <c r="Z31" s="31">
        <f t="shared" si="11"/>
        <v>40635058.08237657</v>
      </c>
      <c r="AA31" s="27">
        <v>7511049.4806612218</v>
      </c>
      <c r="AB31" s="27">
        <v>3214895.5638655713</v>
      </c>
      <c r="AC31" s="27">
        <v>0</v>
      </c>
      <c r="AD31" s="27">
        <v>3031175.8989669341</v>
      </c>
      <c r="AE31" s="27">
        <v>0</v>
      </c>
      <c r="AF31" s="27"/>
      <c r="AG31" s="27">
        <v>311848.52041429107</v>
      </c>
      <c r="AH31" s="27">
        <v>0</v>
      </c>
      <c r="AI31" s="27">
        <v>0</v>
      </c>
      <c r="AJ31" s="27">
        <v>5678337.1610445483</v>
      </c>
      <c r="AK31" s="27">
        <v>15731938.21837358</v>
      </c>
      <c r="AL31" s="27">
        <v>0</v>
      </c>
      <c r="AM31" s="27">
        <v>3973603.431119387</v>
      </c>
      <c r="AN31" s="32">
        <v>406350.58082376578</v>
      </c>
      <c r="AO31" s="33">
        <v>775859.22710727528</v>
      </c>
      <c r="AP31" s="84">
        <f>+N31-'Приложение №2'!E31</f>
        <v>0</v>
      </c>
      <c r="AQ31" s="1">
        <v>1790670.12</v>
      </c>
      <c r="AR31" s="1">
        <f>+(K31*10+L31*20)*12*0.85</f>
        <v>392603.1</v>
      </c>
      <c r="AS31" s="1">
        <f>+(K31*10+L31*20)*12*30</f>
        <v>13856580</v>
      </c>
      <c r="AT31" s="29">
        <f t="shared" si="6"/>
        <v>-10006846.59</v>
      </c>
    </row>
    <row r="32" spans="1:46" x14ac:dyDescent="0.25">
      <c r="A32" s="76">
        <f t="shared" si="7"/>
        <v>16</v>
      </c>
      <c r="B32" s="77">
        <f t="shared" si="8"/>
        <v>16</v>
      </c>
      <c r="C32" s="77" t="s">
        <v>546</v>
      </c>
      <c r="D32" s="77" t="s">
        <v>565</v>
      </c>
      <c r="E32" s="78">
        <v>1985</v>
      </c>
      <c r="F32" s="78">
        <v>2011</v>
      </c>
      <c r="G32" s="78" t="s">
        <v>547</v>
      </c>
      <c r="H32" s="78">
        <v>5</v>
      </c>
      <c r="I32" s="78">
        <v>12</v>
      </c>
      <c r="J32" s="44">
        <v>12985.9</v>
      </c>
      <c r="K32" s="44">
        <v>10520.9</v>
      </c>
      <c r="L32" s="44">
        <v>299.10000000000002</v>
      </c>
      <c r="M32" s="79">
        <v>439</v>
      </c>
      <c r="N32" s="129">
        <f t="shared" si="9"/>
        <v>50879011.909999996</v>
      </c>
      <c r="O32" s="44"/>
      <c r="P32" s="164">
        <v>44003584.140000001</v>
      </c>
      <c r="Q32" s="164"/>
      <c r="R32" s="164">
        <v>6875427.7699999996</v>
      </c>
      <c r="S32" s="162"/>
      <c r="T32" s="161">
        <v>0</v>
      </c>
      <c r="U32" s="68">
        <f t="shared" si="10"/>
        <v>4702.3116367837338</v>
      </c>
      <c r="V32" s="68">
        <f t="shared" si="10"/>
        <v>4702.3116367837338</v>
      </c>
      <c r="W32" s="80">
        <v>2022</v>
      </c>
      <c r="X32" s="29" t="e">
        <f>+#REF!-'[1]Приложение №1'!#REF!</f>
        <v>#REF!</v>
      </c>
      <c r="Z32" s="31">
        <f t="shared" si="11"/>
        <v>68774286.83345294</v>
      </c>
      <c r="AA32" s="27">
        <v>0</v>
      </c>
      <c r="AB32" s="27">
        <v>0</v>
      </c>
      <c r="AC32" s="27">
        <v>0</v>
      </c>
      <c r="AD32" s="27">
        <v>8603725.4971600696</v>
      </c>
      <c r="AE32" s="27">
        <v>0</v>
      </c>
      <c r="AF32" s="27"/>
      <c r="AG32" s="27">
        <v>0</v>
      </c>
      <c r="AH32" s="27">
        <v>0</v>
      </c>
      <c r="AI32" s="27">
        <v>35269812.250870951</v>
      </c>
      <c r="AJ32" s="27">
        <v>16117459.310296344</v>
      </c>
      <c r="AK32" s="27">
        <v>0</v>
      </c>
      <c r="AL32" s="27">
        <v>0</v>
      </c>
      <c r="AM32" s="27">
        <v>6783665.3034309298</v>
      </c>
      <c r="AN32" s="32">
        <v>687742.86833452946</v>
      </c>
      <c r="AO32" s="33">
        <v>1311881.6033601121</v>
      </c>
      <c r="AP32" s="84">
        <f>+N32-'Приложение №2'!E32</f>
        <v>0</v>
      </c>
      <c r="AR32" s="1">
        <f>+(K32*10+L32*20)*12*0.85</f>
        <v>1134148.2</v>
      </c>
      <c r="AT32" s="29"/>
    </row>
    <row r="33" spans="1:46" x14ac:dyDescent="0.25">
      <c r="A33" s="76">
        <f t="shared" si="7"/>
        <v>17</v>
      </c>
      <c r="B33" s="77">
        <f t="shared" si="8"/>
        <v>17</v>
      </c>
      <c r="C33" s="77" t="s">
        <v>545</v>
      </c>
      <c r="D33" s="77" t="s">
        <v>141</v>
      </c>
      <c r="E33" s="78">
        <v>1981</v>
      </c>
      <c r="F33" s="78">
        <v>2016</v>
      </c>
      <c r="G33" s="78" t="s">
        <v>44</v>
      </c>
      <c r="H33" s="78">
        <v>4</v>
      </c>
      <c r="I33" s="78">
        <v>3</v>
      </c>
      <c r="J33" s="44">
        <v>3910.2</v>
      </c>
      <c r="K33" s="44">
        <v>2017.9</v>
      </c>
      <c r="L33" s="44">
        <v>997.9</v>
      </c>
      <c r="M33" s="79">
        <v>113</v>
      </c>
      <c r="N33" s="129">
        <f t="shared" si="9"/>
        <v>10558217.996456141</v>
      </c>
      <c r="O33" s="44"/>
      <c r="P33" s="162"/>
      <c r="Q33" s="162"/>
      <c r="R33" s="162">
        <f>+AQ33+AR33-557135.78</f>
        <v>806677.09999999986</v>
      </c>
      <c r="S33" s="162">
        <f>+'Приложение №2'!E33-'Приложение №1'!P33-'Приложение №1'!Q33-'Приложение №1'!R33</f>
        <v>9751540.896456141</v>
      </c>
      <c r="T33" s="161">
        <f>+'Приложение №2'!E33-'Приложение №1'!P33-'Приложение №1'!Q33-'Приложение №1'!R33-'Приложение №1'!S33</f>
        <v>0</v>
      </c>
      <c r="U33" s="68">
        <f t="shared" si="10"/>
        <v>3500.9675696187214</v>
      </c>
      <c r="V33" s="68">
        <f t="shared" si="10"/>
        <v>3500.9675696187214</v>
      </c>
      <c r="W33" s="80">
        <v>2022</v>
      </c>
      <c r="X33" s="29" t="e">
        <f>+#REF!-'[1]Приложение №1'!$P1338</f>
        <v>#REF!</v>
      </c>
      <c r="Z33" s="31">
        <f t="shared" si="11"/>
        <v>33549604.466355495</v>
      </c>
      <c r="AA33" s="27">
        <v>9163753.0558547936</v>
      </c>
      <c r="AB33" s="27">
        <v>4716823.2</v>
      </c>
      <c r="AC33" s="27">
        <v>2695930.7316036122</v>
      </c>
      <c r="AD33" s="27">
        <v>0</v>
      </c>
      <c r="AE33" s="27">
        <v>0</v>
      </c>
      <c r="AF33" s="27"/>
      <c r="AG33" s="27">
        <v>295975.88879684091</v>
      </c>
      <c r="AH33" s="27">
        <v>0</v>
      </c>
      <c r="AI33" s="27">
        <v>13238455.132672109</v>
      </c>
      <c r="AJ33" s="27">
        <v>0</v>
      </c>
      <c r="AK33" s="27">
        <v>0</v>
      </c>
      <c r="AL33" s="27">
        <v>0</v>
      </c>
      <c r="AM33" s="27">
        <v>2552926.0485136751</v>
      </c>
      <c r="AN33" s="32">
        <v>295470.26754077495</v>
      </c>
      <c r="AO33" s="33">
        <v>590270.14137369313</v>
      </c>
      <c r="AP33" s="84">
        <f>+N33-'Приложение №2'!E33</f>
        <v>0</v>
      </c>
      <c r="AQ33" s="1">
        <v>954415.48</v>
      </c>
      <c r="AR33" s="1">
        <f>+(K33*10+L33*20)*12*0.85</f>
        <v>409397.39999999997</v>
      </c>
      <c r="AS33" s="1">
        <f>+(K33*10+L33*20)*12*30</f>
        <v>14449320</v>
      </c>
      <c r="AT33" s="29">
        <f t="shared" si="6"/>
        <v>-4697779.103543859</v>
      </c>
    </row>
    <row r="34" spans="1:46" x14ac:dyDescent="0.25">
      <c r="A34" s="76">
        <f t="shared" si="7"/>
        <v>18</v>
      </c>
      <c r="B34" s="77">
        <f t="shared" si="8"/>
        <v>18</v>
      </c>
      <c r="C34" s="77" t="s">
        <v>545</v>
      </c>
      <c r="D34" s="77" t="s">
        <v>286</v>
      </c>
      <c r="E34" s="78">
        <v>1990</v>
      </c>
      <c r="F34" s="78">
        <v>2017</v>
      </c>
      <c r="G34" s="78" t="s">
        <v>547</v>
      </c>
      <c r="H34" s="78">
        <v>10</v>
      </c>
      <c r="I34" s="78">
        <v>3</v>
      </c>
      <c r="J34" s="44">
        <v>9593.2999999999993</v>
      </c>
      <c r="K34" s="44">
        <v>8146.5</v>
      </c>
      <c r="L34" s="44">
        <v>251.7</v>
      </c>
      <c r="M34" s="79">
        <v>290</v>
      </c>
      <c r="N34" s="129">
        <f t="shared" si="9"/>
        <v>11881010.632439215</v>
      </c>
      <c r="O34" s="44"/>
      <c r="P34" s="162">
        <v>4826750.29</v>
      </c>
      <c r="Q34" s="162"/>
      <c r="R34" s="162">
        <f>+'Приложение №2'!E34-'Приложение №1'!S34-P34</f>
        <v>554751.74243921507</v>
      </c>
      <c r="S34" s="162">
        <v>6499508.5999999996</v>
      </c>
      <c r="T34" s="161">
        <f>+'Приложение №2'!E34-'Приложение №1'!P34-'Приложение №1'!Q34-'Приложение №1'!R34-'Приложение №1'!S34</f>
        <v>0</v>
      </c>
      <c r="U34" s="68">
        <f t="shared" si="10"/>
        <v>1414.7091796384004</v>
      </c>
      <c r="V34" s="68">
        <f t="shared" si="10"/>
        <v>1414.7091796384004</v>
      </c>
      <c r="W34" s="80">
        <v>2022</v>
      </c>
      <c r="X34" s="29" t="e">
        <f>+#REF!-'[1]Приложение №1'!$P943</f>
        <v>#REF!</v>
      </c>
      <c r="Z34" s="31">
        <f t="shared" si="11"/>
        <v>59075280.940424494</v>
      </c>
      <c r="AA34" s="27">
        <v>19753324.876629226</v>
      </c>
      <c r="AB34" s="27">
        <v>7903213.9091590643</v>
      </c>
      <c r="AC34" s="27">
        <v>5837297.1570079876</v>
      </c>
      <c r="AD34" s="27">
        <v>3730300.4891794757</v>
      </c>
      <c r="AE34" s="27">
        <v>0</v>
      </c>
      <c r="AF34" s="27"/>
      <c r="AG34" s="27">
        <v>877612.65381291229</v>
      </c>
      <c r="AH34" s="27">
        <v>0</v>
      </c>
      <c r="AI34" s="27">
        <v>0</v>
      </c>
      <c r="AJ34" s="27">
        <v>13734712.477877133</v>
      </c>
      <c r="AK34" s="27">
        <v>0</v>
      </c>
      <c r="AL34" s="27">
        <v>0</v>
      </c>
      <c r="AM34" s="27">
        <v>5514508.1395367021</v>
      </c>
      <c r="AN34" s="32">
        <v>590752.809404245</v>
      </c>
      <c r="AO34" s="33">
        <v>1133558.4278177479</v>
      </c>
      <c r="AP34" s="84">
        <f>+N34-'Приложение №2'!E34</f>
        <v>0</v>
      </c>
      <c r="AQ34" s="1">
        <v>5009993.34</v>
      </c>
      <c r="AR34" s="1">
        <f t="shared" ref="AR34:AR40" si="12">+(K34*13.29+L34*22.52)*12*0.85</f>
        <v>1162139.7437999998</v>
      </c>
      <c r="AS34" s="1">
        <f t="shared" ref="AS34:AS39" si="13">+(K34*13.29+L34*22.52)*12*30</f>
        <v>41016696.839999996</v>
      </c>
      <c r="AT34" s="29">
        <f t="shared" si="6"/>
        <v>-34517188.239999995</v>
      </c>
    </row>
    <row r="35" spans="1:46" x14ac:dyDescent="0.25">
      <c r="A35" s="76">
        <f t="shared" si="7"/>
        <v>19</v>
      </c>
      <c r="B35" s="77">
        <f t="shared" si="8"/>
        <v>19</v>
      </c>
      <c r="C35" s="77" t="s">
        <v>545</v>
      </c>
      <c r="D35" s="77" t="s">
        <v>287</v>
      </c>
      <c r="E35" s="78">
        <v>1990</v>
      </c>
      <c r="F35" s="78">
        <v>2017</v>
      </c>
      <c r="G35" s="78" t="s">
        <v>547</v>
      </c>
      <c r="H35" s="78">
        <v>9</v>
      </c>
      <c r="I35" s="78">
        <v>2</v>
      </c>
      <c r="J35" s="44">
        <v>9044.7000000000007</v>
      </c>
      <c r="K35" s="44">
        <v>7731.7</v>
      </c>
      <c r="L35" s="44">
        <v>0</v>
      </c>
      <c r="M35" s="79">
        <v>294</v>
      </c>
      <c r="N35" s="129">
        <f t="shared" si="9"/>
        <v>13275635.754342195</v>
      </c>
      <c r="O35" s="44"/>
      <c r="P35" s="162">
        <f>4393109.2-[3]Лист1!$I$8</f>
        <v>0</v>
      </c>
      <c r="Q35" s="162"/>
      <c r="R35" s="162">
        <f>+'Приложение №2'!E35-'Приложение №1'!S35-P35</f>
        <v>9626752.0343421958</v>
      </c>
      <c r="S35" s="162">
        <v>3648883.7199999997</v>
      </c>
      <c r="T35" s="161">
        <f>+'Приложение №2'!E35-'Приложение №1'!P35-'Приложение №1'!Q35-'Приложение №1'!R35-'Приложение №1'!S35</f>
        <v>0</v>
      </c>
      <c r="U35" s="68">
        <f t="shared" si="10"/>
        <v>1717.0396878231431</v>
      </c>
      <c r="V35" s="68">
        <f t="shared" si="10"/>
        <v>1717.0396878231431</v>
      </c>
      <c r="W35" s="80">
        <v>2022</v>
      </c>
      <c r="X35" s="29" t="e">
        <f>+#REF!-'[1]Приложение №1'!$P944</f>
        <v>#REF!</v>
      </c>
      <c r="Z35" s="31">
        <f t="shared" si="11"/>
        <v>55666319.910854891</v>
      </c>
      <c r="AA35" s="27">
        <v>18613451.927455012</v>
      </c>
      <c r="AB35" s="27">
        <v>7447156.0149639342</v>
      </c>
      <c r="AC35" s="27">
        <v>5500453.7563591562</v>
      </c>
      <c r="AD35" s="27">
        <v>3515042.1138698198</v>
      </c>
      <c r="AE35" s="27">
        <v>0</v>
      </c>
      <c r="AF35" s="27"/>
      <c r="AG35" s="27">
        <v>826969.68964449025</v>
      </c>
      <c r="AH35" s="27">
        <v>0</v>
      </c>
      <c r="AI35" s="27">
        <v>0</v>
      </c>
      <c r="AJ35" s="27">
        <v>12942145.792724269</v>
      </c>
      <c r="AK35" s="27">
        <v>0</v>
      </c>
      <c r="AL35" s="27">
        <v>0</v>
      </c>
      <c r="AM35" s="27">
        <v>5196291.3990376946</v>
      </c>
      <c r="AN35" s="32">
        <v>556663.19910854893</v>
      </c>
      <c r="AO35" s="33">
        <v>1068146.0176919652</v>
      </c>
      <c r="AP35" s="84">
        <f>+N35-'Приложение №2'!E35</f>
        <v>0</v>
      </c>
      <c r="AQ35" s="1">
        <v>4614966.51</v>
      </c>
      <c r="AR35" s="1">
        <f t="shared" si="12"/>
        <v>1048093.7885999999</v>
      </c>
      <c r="AS35" s="1">
        <f t="shared" si="13"/>
        <v>36991545.479999997</v>
      </c>
      <c r="AT35" s="29">
        <f t="shared" si="6"/>
        <v>-33342661.759999998</v>
      </c>
    </row>
    <row r="36" spans="1:46" x14ac:dyDescent="0.25">
      <c r="A36" s="76">
        <f t="shared" si="7"/>
        <v>20</v>
      </c>
      <c r="B36" s="77">
        <f t="shared" si="8"/>
        <v>20</v>
      </c>
      <c r="C36" s="77" t="s">
        <v>545</v>
      </c>
      <c r="D36" s="77" t="s">
        <v>288</v>
      </c>
      <c r="E36" s="78">
        <v>1990</v>
      </c>
      <c r="F36" s="78">
        <v>2017</v>
      </c>
      <c r="G36" s="78" t="s">
        <v>547</v>
      </c>
      <c r="H36" s="78">
        <v>9</v>
      </c>
      <c r="I36" s="78">
        <v>1</v>
      </c>
      <c r="J36" s="44">
        <v>4527.8</v>
      </c>
      <c r="K36" s="44">
        <v>3876.4</v>
      </c>
      <c r="L36" s="44">
        <v>0</v>
      </c>
      <c r="M36" s="79">
        <v>153</v>
      </c>
      <c r="N36" s="129">
        <f t="shared" si="9"/>
        <v>5240799.8242184632</v>
      </c>
      <c r="O36" s="44"/>
      <c r="P36" s="162">
        <v>54608.390000000014</v>
      </c>
      <c r="Q36" s="162"/>
      <c r="R36" s="162">
        <f>+'Приложение №2'!E36-'Приложение №1'!P36-'Приложение №1'!S36</f>
        <v>1459981.2542184633</v>
      </c>
      <c r="S36" s="162">
        <v>3726210.18</v>
      </c>
      <c r="T36" s="161">
        <f>+'Приложение №2'!E36-'Приложение №1'!P36-'Приложение №1'!Q36-'Приложение №1'!R36-'Приложение №1'!S36</f>
        <v>0</v>
      </c>
      <c r="U36" s="68">
        <f t="shared" si="10"/>
        <v>1351.9760149155049</v>
      </c>
      <c r="V36" s="68">
        <f t="shared" si="10"/>
        <v>1351.9760149155049</v>
      </c>
      <c r="W36" s="80">
        <v>2022</v>
      </c>
      <c r="X36" s="29" t="e">
        <f>+#REF!-'[1]Приложение №1'!$P945</f>
        <v>#REF!</v>
      </c>
      <c r="Z36" s="31">
        <f t="shared" si="11"/>
        <v>27786937.969636556</v>
      </c>
      <c r="AA36" s="27">
        <v>9291270.4654677343</v>
      </c>
      <c r="AB36" s="27">
        <v>3717394.3341215332</v>
      </c>
      <c r="AC36" s="27">
        <v>2745659.6300522191</v>
      </c>
      <c r="AD36" s="27">
        <v>1754602.3759999776</v>
      </c>
      <c r="AE36" s="27">
        <v>0</v>
      </c>
      <c r="AF36" s="27"/>
      <c r="AG36" s="27">
        <v>412798.17860638152</v>
      </c>
      <c r="AH36" s="27">
        <v>0</v>
      </c>
      <c r="AI36" s="27">
        <v>0</v>
      </c>
      <c r="AJ36" s="27">
        <v>6460326.5118356757</v>
      </c>
      <c r="AK36" s="27">
        <v>0</v>
      </c>
      <c r="AL36" s="27">
        <v>0</v>
      </c>
      <c r="AM36" s="27">
        <v>2593831.0096382117</v>
      </c>
      <c r="AN36" s="32">
        <v>277869.37969636562</v>
      </c>
      <c r="AO36" s="33">
        <v>533186.08421846246</v>
      </c>
      <c r="AP36" s="84">
        <f>+N36-'Приложение №2'!E36</f>
        <v>0</v>
      </c>
      <c r="AQ36" s="1">
        <v>2413836.61</v>
      </c>
      <c r="AR36" s="1">
        <f t="shared" si="12"/>
        <v>525477.03119999997</v>
      </c>
      <c r="AS36" s="1">
        <f t="shared" si="13"/>
        <v>18546248.16</v>
      </c>
      <c r="AT36" s="29">
        <f t="shared" si="6"/>
        <v>-14820037.98</v>
      </c>
    </row>
    <row r="37" spans="1:46" x14ac:dyDescent="0.25">
      <c r="A37" s="76">
        <f t="shared" si="7"/>
        <v>21</v>
      </c>
      <c r="B37" s="77">
        <f t="shared" si="8"/>
        <v>21</v>
      </c>
      <c r="C37" s="77" t="s">
        <v>545</v>
      </c>
      <c r="D37" s="77" t="s">
        <v>289</v>
      </c>
      <c r="E37" s="78">
        <v>1990</v>
      </c>
      <c r="F37" s="78">
        <v>2017</v>
      </c>
      <c r="G37" s="78" t="s">
        <v>547</v>
      </c>
      <c r="H37" s="78">
        <v>10</v>
      </c>
      <c r="I37" s="78">
        <v>1</v>
      </c>
      <c r="J37" s="44">
        <v>3578</v>
      </c>
      <c r="K37" s="44">
        <v>3065.8</v>
      </c>
      <c r="L37" s="44">
        <v>0</v>
      </c>
      <c r="M37" s="79">
        <v>111</v>
      </c>
      <c r="N37" s="129">
        <f t="shared" si="9"/>
        <v>1569633.6837197063</v>
      </c>
      <c r="O37" s="44"/>
      <c r="P37" s="162"/>
      <c r="Q37" s="162"/>
      <c r="R37" s="162">
        <f>+'Приложение №2'!E37-'Приложение №1'!S37-P37</f>
        <v>64322.793719706358</v>
      </c>
      <c r="S37" s="162">
        <v>1505310.89</v>
      </c>
      <c r="T37" s="161">
        <f>+'Приложение №2'!E37-'Приложение №1'!P37-'Приложение №1'!Q37-'Приложение №1'!R37-'Приложение №1'!S37</f>
        <v>0</v>
      </c>
      <c r="U37" s="68">
        <f t="shared" si="10"/>
        <v>511.98176127591694</v>
      </c>
      <c r="V37" s="68">
        <f t="shared" si="10"/>
        <v>511.98176127591694</v>
      </c>
      <c r="W37" s="80">
        <v>2022</v>
      </c>
      <c r="X37" s="29" t="e">
        <f>+#REF!-'[1]Приложение №1'!$P946</f>
        <v>#REF!</v>
      </c>
      <c r="Z37" s="31">
        <f t="shared" si="11"/>
        <v>16117442.631482774</v>
      </c>
      <c r="AA37" s="27">
        <v>7351785.1489623599</v>
      </c>
      <c r="AB37" s="27">
        <v>2941415.2305656415</v>
      </c>
      <c r="AC37" s="27">
        <v>2172523.0976049546</v>
      </c>
      <c r="AD37" s="27">
        <v>1388341.8568163847</v>
      </c>
      <c r="AE37" s="27">
        <v>0</v>
      </c>
      <c r="AF37" s="27"/>
      <c r="AG37" s="27">
        <v>326629.55300638021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1465470.2417960668</v>
      </c>
      <c r="AN37" s="32">
        <v>161174.42631482772</v>
      </c>
      <c r="AO37" s="33">
        <v>310103.07641615823</v>
      </c>
      <c r="AP37" s="84">
        <f>+N37-'Приложение №2'!E37</f>
        <v>0</v>
      </c>
      <c r="AQ37" s="1">
        <v>2001885.98</v>
      </c>
      <c r="AR37" s="1">
        <f t="shared" si="12"/>
        <v>415593.71639999998</v>
      </c>
      <c r="AS37" s="1">
        <f t="shared" si="13"/>
        <v>14668013.52</v>
      </c>
      <c r="AT37" s="29">
        <f t="shared" si="6"/>
        <v>-13162702.629999999</v>
      </c>
    </row>
    <row r="38" spans="1:46" x14ac:dyDescent="0.25">
      <c r="A38" s="76">
        <f t="shared" si="7"/>
        <v>22</v>
      </c>
      <c r="B38" s="77">
        <f t="shared" si="8"/>
        <v>22</v>
      </c>
      <c r="C38" s="77" t="s">
        <v>545</v>
      </c>
      <c r="D38" s="77" t="s">
        <v>290</v>
      </c>
      <c r="E38" s="78">
        <v>1990</v>
      </c>
      <c r="F38" s="78">
        <v>2017</v>
      </c>
      <c r="G38" s="78" t="s">
        <v>547</v>
      </c>
      <c r="H38" s="78">
        <v>10</v>
      </c>
      <c r="I38" s="78">
        <v>1</v>
      </c>
      <c r="J38" s="44">
        <v>3562.9</v>
      </c>
      <c r="K38" s="44">
        <v>3045.6</v>
      </c>
      <c r="L38" s="44">
        <v>0</v>
      </c>
      <c r="M38" s="79">
        <v>121</v>
      </c>
      <c r="N38" s="129">
        <f t="shared" si="9"/>
        <v>6565896.2326294025</v>
      </c>
      <c r="O38" s="44"/>
      <c r="P38" s="162"/>
      <c r="Q38" s="162"/>
      <c r="R38" s="162">
        <f>+'Приложение №2'!E38-'Приложение №1'!S38</f>
        <v>2146649.1226294022</v>
      </c>
      <c r="S38" s="162">
        <v>4419247.1100000003</v>
      </c>
      <c r="T38" s="161">
        <f>+'Приложение №2'!E38-'Приложение №1'!P38-'Приложение №1'!Q38-'Приложение №1'!R38-'Приложение №1'!S38</f>
        <v>0</v>
      </c>
      <c r="U38" s="68">
        <f t="shared" si="10"/>
        <v>2155.8629605428823</v>
      </c>
      <c r="V38" s="68">
        <f t="shared" si="10"/>
        <v>2155.8629605428823</v>
      </c>
      <c r="W38" s="80">
        <v>2022</v>
      </c>
      <c r="X38" s="29" t="e">
        <f>+#REF!-'[1]Приложение №1'!$P947</f>
        <v>#REF!</v>
      </c>
      <c r="Z38" s="31">
        <f t="shared" si="11"/>
        <v>21832542.931861956</v>
      </c>
      <c r="AA38" s="27">
        <v>7300266.8214297863</v>
      </c>
      <c r="AB38" s="27">
        <v>2920802.9860308608</v>
      </c>
      <c r="AC38" s="27">
        <v>2157298.9371804232</v>
      </c>
      <c r="AD38" s="27">
        <v>1378612.9203666104</v>
      </c>
      <c r="AE38" s="27">
        <v>0</v>
      </c>
      <c r="AF38" s="27"/>
      <c r="AG38" s="27">
        <v>324340.66562016815</v>
      </c>
      <c r="AH38" s="27">
        <v>0</v>
      </c>
      <c r="AI38" s="27">
        <v>0</v>
      </c>
      <c r="AJ38" s="27">
        <v>5075958.9299699729</v>
      </c>
      <c r="AK38" s="27">
        <v>0</v>
      </c>
      <c r="AL38" s="27">
        <v>0</v>
      </c>
      <c r="AM38" s="27">
        <v>2038005.3008288266</v>
      </c>
      <c r="AN38" s="32">
        <v>218325.4293186196</v>
      </c>
      <c r="AO38" s="33">
        <v>418930.94111669064</v>
      </c>
      <c r="AP38" s="84">
        <f>+N38-'Приложение №2'!E38</f>
        <v>0</v>
      </c>
      <c r="AQ38" s="1">
        <v>1845490.3</v>
      </c>
      <c r="AR38" s="1">
        <f t="shared" si="12"/>
        <v>412855.44479999994</v>
      </c>
      <c r="AS38" s="1">
        <f t="shared" si="13"/>
        <v>14571368.639999999</v>
      </c>
      <c r="AT38" s="29">
        <f t="shared" si="6"/>
        <v>-10152121.529999997</v>
      </c>
    </row>
    <row r="39" spans="1:46" x14ac:dyDescent="0.25">
      <c r="A39" s="76">
        <f t="shared" si="7"/>
        <v>23</v>
      </c>
      <c r="B39" s="77">
        <f t="shared" si="8"/>
        <v>23</v>
      </c>
      <c r="C39" s="77" t="s">
        <v>545</v>
      </c>
      <c r="D39" s="77" t="s">
        <v>291</v>
      </c>
      <c r="E39" s="78">
        <v>1990</v>
      </c>
      <c r="F39" s="78">
        <v>2017</v>
      </c>
      <c r="G39" s="78" t="s">
        <v>547</v>
      </c>
      <c r="H39" s="78">
        <v>9</v>
      </c>
      <c r="I39" s="78">
        <v>1</v>
      </c>
      <c r="J39" s="44">
        <v>3197.5</v>
      </c>
      <c r="K39" s="44">
        <v>2621.1</v>
      </c>
      <c r="L39" s="44">
        <v>132.4</v>
      </c>
      <c r="M39" s="79">
        <v>94</v>
      </c>
      <c r="N39" s="129">
        <f t="shared" si="9"/>
        <v>2676812.0378491483</v>
      </c>
      <c r="O39" s="44"/>
      <c r="P39" s="162"/>
      <c r="Q39" s="162"/>
      <c r="R39" s="162">
        <v>1017398.54</v>
      </c>
      <c r="S39" s="162">
        <f>+'Приложение №2'!E39-'Приложение №1'!R39</f>
        <v>1659413.4978491482</v>
      </c>
      <c r="T39" s="161">
        <f>+'Приложение №2'!E39-'Приложение №1'!P39-'Приложение №1'!Q39-'Приложение №1'!R39-'Приложение №1'!S39</f>
        <v>0</v>
      </c>
      <c r="U39" s="68">
        <f t="shared" si="10"/>
        <v>972.14891514405235</v>
      </c>
      <c r="V39" s="68">
        <f t="shared" si="10"/>
        <v>972.14891514405235</v>
      </c>
      <c r="W39" s="80">
        <v>2022</v>
      </c>
      <c r="X39" s="29" t="e">
        <f>+#REF!-'[1]Приложение №1'!$P948</f>
        <v>#REF!</v>
      </c>
      <c r="Z39" s="31">
        <f t="shared" si="11"/>
        <v>19626786.772724856</v>
      </c>
      <c r="AA39" s="27">
        <v>6562716.0672657713</v>
      </c>
      <c r="AB39" s="27">
        <v>2625712.3410166483</v>
      </c>
      <c r="AC39" s="27">
        <v>1939345.6079399141</v>
      </c>
      <c r="AD39" s="27">
        <v>1239330.7510996102</v>
      </c>
      <c r="AE39" s="27">
        <v>0</v>
      </c>
      <c r="AF39" s="27"/>
      <c r="AG39" s="27">
        <v>291572.31503988599</v>
      </c>
      <c r="AH39" s="27">
        <v>0</v>
      </c>
      <c r="AI39" s="27">
        <v>0</v>
      </c>
      <c r="AJ39" s="27">
        <v>4563131.4637306379</v>
      </c>
      <c r="AK39" s="27">
        <v>0</v>
      </c>
      <c r="AL39" s="27">
        <v>0</v>
      </c>
      <c r="AM39" s="27">
        <v>1832104.2860598667</v>
      </c>
      <c r="AN39" s="32">
        <v>196267.86772724849</v>
      </c>
      <c r="AO39" s="33">
        <v>376606.07284526742</v>
      </c>
      <c r="AP39" s="84">
        <f>+N39-'Приложение №2'!E39</f>
        <v>0</v>
      </c>
      <c r="AQ39" s="1">
        <v>1678059.52</v>
      </c>
      <c r="AR39" s="1">
        <f t="shared" si="12"/>
        <v>385723.88339999993</v>
      </c>
      <c r="AS39" s="1">
        <f t="shared" si="13"/>
        <v>13613784.119999999</v>
      </c>
      <c r="AT39" s="29">
        <f t="shared" si="6"/>
        <v>-11954370.622150851</v>
      </c>
    </row>
    <row r="40" spans="1:46" x14ac:dyDescent="0.25">
      <c r="A40" s="76">
        <f t="shared" si="7"/>
        <v>24</v>
      </c>
      <c r="B40" s="77">
        <f t="shared" si="8"/>
        <v>24</v>
      </c>
      <c r="C40" s="77" t="s">
        <v>546</v>
      </c>
      <c r="D40" s="77" t="s">
        <v>567</v>
      </c>
      <c r="E40" s="78">
        <v>1994</v>
      </c>
      <c r="F40" s="78">
        <v>2017</v>
      </c>
      <c r="G40" s="78" t="s">
        <v>547</v>
      </c>
      <c r="H40" s="78">
        <v>10</v>
      </c>
      <c r="I40" s="78">
        <v>1</v>
      </c>
      <c r="J40" s="44">
        <v>3224</v>
      </c>
      <c r="K40" s="44">
        <v>2850</v>
      </c>
      <c r="L40" s="44">
        <v>0</v>
      </c>
      <c r="M40" s="79">
        <v>96</v>
      </c>
      <c r="N40" s="129">
        <f t="shared" si="9"/>
        <v>3289538.0500000003</v>
      </c>
      <c r="O40" s="44"/>
      <c r="P40" s="164">
        <v>2383274.1340000001</v>
      </c>
      <c r="Q40" s="164"/>
      <c r="R40" s="164">
        <v>906263.91600000008</v>
      </c>
      <c r="S40" s="162"/>
      <c r="T40" s="161"/>
      <c r="U40" s="68">
        <v>1943.3995389381168</v>
      </c>
      <c r="V40" s="68">
        <v>1943.3995389381168</v>
      </c>
      <c r="W40" s="80">
        <v>2022</v>
      </c>
      <c r="X40" s="29" t="e">
        <f>+#REF!-'[1]Приложение №1'!#REF!</f>
        <v>#REF!</v>
      </c>
      <c r="Z40" s="31">
        <f t="shared" si="11"/>
        <v>3305541.4805859262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/>
      <c r="AG40" s="27">
        <v>0</v>
      </c>
      <c r="AH40" s="27">
        <v>0</v>
      </c>
      <c r="AI40" s="27">
        <v>2911322.6036112485</v>
      </c>
      <c r="AJ40" s="27">
        <v>0</v>
      </c>
      <c r="AK40" s="27">
        <v>0</v>
      </c>
      <c r="AL40" s="27">
        <v>0</v>
      </c>
      <c r="AM40" s="27">
        <v>297498.73325273336</v>
      </c>
      <c r="AN40" s="32">
        <v>33055.414805859262</v>
      </c>
      <c r="AO40" s="33">
        <v>63664.728916084932</v>
      </c>
      <c r="AP40" s="84">
        <f>+N40-'Приложение №2'!E40</f>
        <v>0</v>
      </c>
      <c r="AR40" s="1">
        <f t="shared" si="12"/>
        <v>386340.3</v>
      </c>
      <c r="AT40" s="29"/>
    </row>
    <row r="41" spans="1:46" x14ac:dyDescent="0.25">
      <c r="A41" s="76">
        <f t="shared" si="7"/>
        <v>25</v>
      </c>
      <c r="B41" s="77">
        <f t="shared" si="8"/>
        <v>25</v>
      </c>
      <c r="C41" s="77" t="s">
        <v>545</v>
      </c>
      <c r="D41" s="77" t="s">
        <v>62</v>
      </c>
      <c r="E41" s="78">
        <v>1991</v>
      </c>
      <c r="F41" s="78">
        <v>1991</v>
      </c>
      <c r="G41" s="78" t="s">
        <v>547</v>
      </c>
      <c r="H41" s="78">
        <v>5</v>
      </c>
      <c r="I41" s="78">
        <v>8</v>
      </c>
      <c r="J41" s="44">
        <v>7532.7</v>
      </c>
      <c r="K41" s="44">
        <v>6513.5</v>
      </c>
      <c r="L41" s="44">
        <v>98.2</v>
      </c>
      <c r="M41" s="79">
        <v>288</v>
      </c>
      <c r="N41" s="129">
        <f t="shared" si="9"/>
        <v>11247578.769128263</v>
      </c>
      <c r="O41" s="75"/>
      <c r="P41" s="162">
        <f>8851318.81019353-8851318.81019353</f>
        <v>0</v>
      </c>
      <c r="Q41" s="162"/>
      <c r="R41" s="162">
        <v>2950439.5999999996</v>
      </c>
      <c r="S41" s="162">
        <f>+'Приложение №2'!E41-'Приложение №1'!P41-'Приложение №1'!Q41-'Приложение №1'!R41</f>
        <v>8297139.1691282634</v>
      </c>
      <c r="T41" s="161">
        <f>+'Приложение №2'!E41-'Приложение №1'!P41-'Приложение №1'!Q41-'Приложение №1'!R41-'Приложение №1'!S41</f>
        <v>0</v>
      </c>
      <c r="U41" s="68">
        <f t="shared" ref="U41:V65" si="14">$N41/($K41+$L41)</f>
        <v>1701.1629035086685</v>
      </c>
      <c r="V41" s="68">
        <f t="shared" si="14"/>
        <v>1701.1629035086685</v>
      </c>
      <c r="W41" s="80">
        <v>2022</v>
      </c>
      <c r="X41" s="29" t="e">
        <f>+#REF!-'[1]Приложение №1'!$P574</f>
        <v>#REF!</v>
      </c>
      <c r="Z41" s="31">
        <f t="shared" si="11"/>
        <v>28038201.105236776</v>
      </c>
      <c r="AA41" s="27">
        <v>13119220.497721607</v>
      </c>
      <c r="AB41" s="27">
        <v>5615316.9923980432</v>
      </c>
      <c r="AC41" s="27">
        <v>0</v>
      </c>
      <c r="AD41" s="27">
        <v>5294421.916446479</v>
      </c>
      <c r="AE41" s="27">
        <v>0</v>
      </c>
      <c r="AF41" s="27"/>
      <c r="AG41" s="27">
        <v>544692.12481384957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2646791.5738696922</v>
      </c>
      <c r="AN41" s="32">
        <v>280382.01105236774</v>
      </c>
      <c r="AO41" s="33">
        <v>537375.98893473484</v>
      </c>
      <c r="AP41" s="84">
        <f>+N41-'Приложение №2'!E41</f>
        <v>0</v>
      </c>
      <c r="AQ41" s="1">
        <f>3159895.02-'[4]Приложение №1'!$R$23-542094.29</f>
        <v>2338680.5110857142</v>
      </c>
      <c r="AR41" s="1">
        <f>+(K41*10+L41*20)*12*0.85</f>
        <v>684409.79999999993</v>
      </c>
      <c r="AS41" s="1">
        <f>+(K41*10+L41*20)*12*30-'[4]Приложение №1'!$S$23-4668048.56</f>
        <v>19282413.25</v>
      </c>
      <c r="AT41" s="29">
        <f t="shared" si="6"/>
        <v>-10985274.080871737</v>
      </c>
    </row>
    <row r="42" spans="1:46" x14ac:dyDescent="0.25">
      <c r="A42" s="76">
        <f t="shared" si="7"/>
        <v>26</v>
      </c>
      <c r="B42" s="77">
        <f t="shared" si="8"/>
        <v>26</v>
      </c>
      <c r="C42" s="77" t="s">
        <v>546</v>
      </c>
      <c r="D42" s="77" t="s">
        <v>566</v>
      </c>
      <c r="E42" s="78">
        <v>1993</v>
      </c>
      <c r="F42" s="78">
        <v>1993</v>
      </c>
      <c r="G42" s="78" t="s">
        <v>547</v>
      </c>
      <c r="H42" s="78">
        <v>9</v>
      </c>
      <c r="I42" s="78">
        <v>1</v>
      </c>
      <c r="J42" s="44">
        <v>2888.5</v>
      </c>
      <c r="K42" s="44">
        <v>2497</v>
      </c>
      <c r="L42" s="44">
        <v>0</v>
      </c>
      <c r="M42" s="79">
        <v>69</v>
      </c>
      <c r="N42" s="129">
        <f t="shared" si="9"/>
        <v>3685808.05</v>
      </c>
      <c r="O42" s="44"/>
      <c r="P42" s="164">
        <v>2911514.27</v>
      </c>
      <c r="Q42" s="164"/>
      <c r="R42" s="164">
        <v>774293.78</v>
      </c>
      <c r="S42" s="162"/>
      <c r="T42" s="161">
        <v>0</v>
      </c>
      <c r="U42" s="68">
        <f t="shared" si="14"/>
        <v>1476.0945334401281</v>
      </c>
      <c r="V42" s="68">
        <f t="shared" si="14"/>
        <v>1476.0945334401281</v>
      </c>
      <c r="W42" s="80">
        <v>2022</v>
      </c>
      <c r="X42" s="29" t="e">
        <f>+#REF!-'[1]Приложение №1'!#REF!</f>
        <v>#REF!</v>
      </c>
      <c r="Z42" s="31">
        <f t="shared" si="11"/>
        <v>11478959.236332808</v>
      </c>
      <c r="AA42" s="27">
        <v>5974688.2730102511</v>
      </c>
      <c r="AB42" s="27">
        <v>0</v>
      </c>
      <c r="AC42" s="27">
        <v>0</v>
      </c>
      <c r="AD42" s="27">
        <v>0</v>
      </c>
      <c r="AE42" s="27">
        <v>0</v>
      </c>
      <c r="AF42" s="27"/>
      <c r="AG42" s="27">
        <v>0</v>
      </c>
      <c r="AH42" s="27">
        <v>0</v>
      </c>
      <c r="AI42" s="27">
        <v>0</v>
      </c>
      <c r="AJ42" s="27">
        <v>4154269.0198868029</v>
      </c>
      <c r="AK42" s="27">
        <v>0</v>
      </c>
      <c r="AL42" s="27">
        <v>0</v>
      </c>
      <c r="AM42" s="27">
        <v>1013712.5696826887</v>
      </c>
      <c r="AN42" s="32">
        <v>114789.59236332808</v>
      </c>
      <c r="AO42" s="33">
        <v>221499.78138973733</v>
      </c>
      <c r="AP42" s="84">
        <f>+N42-'Приложение №2'!E42</f>
        <v>0</v>
      </c>
      <c r="AR42" s="1">
        <f>+(K42*13.29+L42*22.52)*12*0.85</f>
        <v>338488.32599999994</v>
      </c>
      <c r="AT42" s="29">
        <f t="shared" si="6"/>
        <v>0</v>
      </c>
    </row>
    <row r="43" spans="1:46" x14ac:dyDescent="0.25">
      <c r="A43" s="76">
        <f t="shared" si="7"/>
        <v>27</v>
      </c>
      <c r="B43" s="77">
        <f t="shared" si="8"/>
        <v>27</v>
      </c>
      <c r="C43" s="77" t="s">
        <v>545</v>
      </c>
      <c r="D43" s="77" t="s">
        <v>64</v>
      </c>
      <c r="E43" s="78">
        <v>1990</v>
      </c>
      <c r="F43" s="78">
        <v>1990</v>
      </c>
      <c r="G43" s="78" t="s">
        <v>547</v>
      </c>
      <c r="H43" s="78">
        <v>5</v>
      </c>
      <c r="I43" s="78">
        <v>8</v>
      </c>
      <c r="J43" s="44">
        <v>7467.3</v>
      </c>
      <c r="K43" s="44">
        <v>6603.4</v>
      </c>
      <c r="L43" s="44">
        <v>0</v>
      </c>
      <c r="M43" s="79">
        <v>290</v>
      </c>
      <c r="N43" s="129">
        <f t="shared" si="9"/>
        <v>11848373.487256411</v>
      </c>
      <c r="O43" s="75"/>
      <c r="P43" s="162"/>
      <c r="Q43" s="162"/>
      <c r="R43" s="162">
        <v>3767863.0300000003</v>
      </c>
      <c r="S43" s="162">
        <f>+'Приложение №2'!E43-'Приложение №1'!P43-'Приложение №1'!Q43-'Приложение №1'!R43</f>
        <v>8080510.4572564112</v>
      </c>
      <c r="T43" s="161">
        <f>+'Приложение №2'!E43-'Приложение №1'!P43-'Приложение №1'!Q43-'Приложение №1'!R43-'Приложение №1'!S43</f>
        <v>0</v>
      </c>
      <c r="U43" s="68">
        <f t="shared" si="14"/>
        <v>1794.2837761238775</v>
      </c>
      <c r="V43" s="68">
        <f t="shared" si="14"/>
        <v>1794.2837761238775</v>
      </c>
      <c r="W43" s="80">
        <v>2022</v>
      </c>
      <c r="X43" s="29" t="e">
        <f>+#REF!-'[1]Приложение №1'!$P577</f>
        <v>#REF!</v>
      </c>
      <c r="Z43" s="31">
        <f t="shared" si="11"/>
        <v>28006015.637174524</v>
      </c>
      <c r="AA43" s="27">
        <v>13104160.749389457</v>
      </c>
      <c r="AB43" s="27">
        <v>5608871.0865055826</v>
      </c>
      <c r="AC43" s="27">
        <v>0</v>
      </c>
      <c r="AD43" s="27">
        <v>5288344.3707843907</v>
      </c>
      <c r="AE43" s="27">
        <v>0</v>
      </c>
      <c r="AF43" s="27"/>
      <c r="AG43" s="27">
        <v>544066.86462254275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2643753.2824561852</v>
      </c>
      <c r="AN43" s="32">
        <v>280060.15637174522</v>
      </c>
      <c r="AO43" s="33">
        <v>536759.12704461697</v>
      </c>
      <c r="AP43" s="84">
        <f>+N43-'Приложение №2'!E43</f>
        <v>0</v>
      </c>
      <c r="AQ43" s="1">
        <v>3256134.06</v>
      </c>
      <c r="AR43" s="1">
        <f t="shared" ref="AR43:AR50" si="15">+(K43*10+L43*20)*12*0.85</f>
        <v>673546.79999999993</v>
      </c>
      <c r="AS43" s="1">
        <f t="shared" ref="AS43:AS50" si="16">+(K43*10+L43*20)*12*30</f>
        <v>23772240</v>
      </c>
      <c r="AT43" s="29">
        <f t="shared" si="6"/>
        <v>-15691729.54274359</v>
      </c>
    </row>
    <row r="44" spans="1:46" x14ac:dyDescent="0.25">
      <c r="A44" s="76">
        <f t="shared" si="7"/>
        <v>28</v>
      </c>
      <c r="B44" s="77">
        <f t="shared" si="8"/>
        <v>28</v>
      </c>
      <c r="C44" s="77" t="s">
        <v>545</v>
      </c>
      <c r="D44" s="77" t="s">
        <v>149</v>
      </c>
      <c r="E44" s="78">
        <v>1986</v>
      </c>
      <c r="F44" s="78">
        <v>2013</v>
      </c>
      <c r="G44" s="78" t="s">
        <v>547</v>
      </c>
      <c r="H44" s="78">
        <v>5</v>
      </c>
      <c r="I44" s="78">
        <v>3</v>
      </c>
      <c r="J44" s="44">
        <v>4428.3999999999996</v>
      </c>
      <c r="K44" s="44">
        <v>3725.8</v>
      </c>
      <c r="L44" s="44">
        <v>0</v>
      </c>
      <c r="M44" s="79">
        <v>153</v>
      </c>
      <c r="N44" s="129">
        <f t="shared" si="9"/>
        <v>5302435.6314287242</v>
      </c>
      <c r="O44" s="44"/>
      <c r="P44" s="162"/>
      <c r="Q44" s="162"/>
      <c r="R44" s="162">
        <f>+AQ44+AR44</f>
        <v>2244260.13</v>
      </c>
      <c r="S44" s="162">
        <f>+'Приложение №2'!E44-'Приложение №1'!P44-'Приложение №1'!R44</f>
        <v>3058175.5014287243</v>
      </c>
      <c r="T44" s="161">
        <f>+'Приложение №2'!E44-'Приложение №1'!P44-'Приложение №1'!Q44-'Приложение №1'!R44-'Приложение №1'!S44</f>
        <v>0</v>
      </c>
      <c r="U44" s="68">
        <f t="shared" si="14"/>
        <v>1423.1670061272005</v>
      </c>
      <c r="V44" s="68">
        <f t="shared" si="14"/>
        <v>1423.1670061272005</v>
      </c>
      <c r="W44" s="80">
        <v>2022</v>
      </c>
      <c r="X44" s="29" t="e">
        <f>+#REF!-'[1]Приложение №1'!$P1347</f>
        <v>#REF!</v>
      </c>
      <c r="Z44" s="31">
        <f t="shared" si="11"/>
        <v>12150273.237424361</v>
      </c>
      <c r="AA44" s="27">
        <v>7382843.4652546057</v>
      </c>
      <c r="AB44" s="27">
        <v>0</v>
      </c>
      <c r="AC44" s="27">
        <v>0</v>
      </c>
      <c r="AD44" s="27">
        <v>2979436.7931330968</v>
      </c>
      <c r="AE44" s="27">
        <v>0</v>
      </c>
      <c r="AF44" s="27"/>
      <c r="AG44" s="27">
        <v>306525.58168040245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1126659.4892437549</v>
      </c>
      <c r="AN44" s="32">
        <v>121502.73237424361</v>
      </c>
      <c r="AO44" s="33">
        <v>233305.17573825616</v>
      </c>
      <c r="AP44" s="84">
        <f>+N44-'Приложение №2'!E44</f>
        <v>0</v>
      </c>
      <c r="AQ44" s="1">
        <v>1864228.53</v>
      </c>
      <c r="AR44" s="1">
        <f t="shared" si="15"/>
        <v>380031.6</v>
      </c>
      <c r="AS44" s="1">
        <f t="shared" si="16"/>
        <v>13412880</v>
      </c>
      <c r="AT44" s="29">
        <f t="shared" si="6"/>
        <v>-10354704.498571277</v>
      </c>
    </row>
    <row r="45" spans="1:46" x14ac:dyDescent="0.25">
      <c r="A45" s="76">
        <f t="shared" si="7"/>
        <v>29</v>
      </c>
      <c r="B45" s="77">
        <f t="shared" si="8"/>
        <v>29</v>
      </c>
      <c r="C45" s="77" t="s">
        <v>545</v>
      </c>
      <c r="D45" s="77" t="s">
        <v>459</v>
      </c>
      <c r="E45" s="78">
        <v>1982</v>
      </c>
      <c r="F45" s="78">
        <v>2015</v>
      </c>
      <c r="G45" s="78" t="s">
        <v>44</v>
      </c>
      <c r="H45" s="78">
        <v>5</v>
      </c>
      <c r="I45" s="78">
        <v>2</v>
      </c>
      <c r="J45" s="44">
        <v>4442.3</v>
      </c>
      <c r="K45" s="44">
        <v>3156.5</v>
      </c>
      <c r="L45" s="44">
        <v>550.29999999999995</v>
      </c>
      <c r="M45" s="79">
        <v>201</v>
      </c>
      <c r="N45" s="129">
        <f t="shared" si="9"/>
        <v>4475493.9860630399</v>
      </c>
      <c r="O45" s="44"/>
      <c r="P45" s="162"/>
      <c r="Q45" s="162"/>
      <c r="R45" s="162">
        <f>+AQ45+AR45</f>
        <v>2476157.23</v>
      </c>
      <c r="S45" s="162">
        <f>+'Приложение №2'!E45-'Приложение №1'!P45-'Приложение №1'!R45</f>
        <v>1999336.7560630399</v>
      </c>
      <c r="T45" s="161">
        <f>+'Приложение №2'!E45-'Приложение №1'!P45-'Приложение №1'!Q45-'Приложение №1'!R45-'Приложение №1'!S45</f>
        <v>0</v>
      </c>
      <c r="U45" s="68">
        <f t="shared" si="14"/>
        <v>1207.3740115633536</v>
      </c>
      <c r="V45" s="68">
        <f t="shared" si="14"/>
        <v>1207.3740115633536</v>
      </c>
      <c r="W45" s="80">
        <v>2022</v>
      </c>
      <c r="X45" s="29" t="e">
        <f>+#REF!-'[1]Приложение №1'!$P1351</f>
        <v>#REF!</v>
      </c>
      <c r="Z45" s="31">
        <f t="shared" si="11"/>
        <v>7162902.2400000002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/>
      <c r="AG45" s="27">
        <v>0</v>
      </c>
      <c r="AH45" s="27">
        <v>0</v>
      </c>
      <c r="AI45" s="27">
        <v>0</v>
      </c>
      <c r="AJ45" s="27">
        <v>6238558.3575369595</v>
      </c>
      <c r="AK45" s="27">
        <v>0</v>
      </c>
      <c r="AL45" s="27">
        <v>0</v>
      </c>
      <c r="AM45" s="27">
        <v>716290.22400000005</v>
      </c>
      <c r="AN45" s="32">
        <v>71629.022400000002</v>
      </c>
      <c r="AO45" s="33">
        <v>136424.63606304</v>
      </c>
      <c r="AP45" s="84">
        <f>+N45-'Приложение №2'!E45</f>
        <v>0</v>
      </c>
      <c r="AQ45" s="1">
        <v>2041933.03</v>
      </c>
      <c r="AR45" s="1">
        <f t="shared" si="15"/>
        <v>434224.2</v>
      </c>
      <c r="AS45" s="1">
        <f t="shared" si="16"/>
        <v>15325560</v>
      </c>
      <c r="AT45" s="29">
        <f t="shared" si="6"/>
        <v>-13326223.24393696</v>
      </c>
    </row>
    <row r="46" spans="1:46" x14ac:dyDescent="0.25">
      <c r="A46" s="76">
        <f t="shared" si="7"/>
        <v>30</v>
      </c>
      <c r="B46" s="77">
        <f t="shared" si="8"/>
        <v>30</v>
      </c>
      <c r="C46" s="77" t="s">
        <v>545</v>
      </c>
      <c r="D46" s="77" t="s">
        <v>460</v>
      </c>
      <c r="E46" s="78">
        <v>1982</v>
      </c>
      <c r="F46" s="78">
        <v>2015</v>
      </c>
      <c r="G46" s="78" t="s">
        <v>44</v>
      </c>
      <c r="H46" s="78">
        <v>5</v>
      </c>
      <c r="I46" s="78">
        <v>2</v>
      </c>
      <c r="J46" s="44">
        <v>4452.8</v>
      </c>
      <c r="K46" s="44">
        <v>3512.5</v>
      </c>
      <c r="L46" s="44">
        <v>318.8</v>
      </c>
      <c r="M46" s="79">
        <v>217</v>
      </c>
      <c r="N46" s="129">
        <f t="shared" si="9"/>
        <v>4016836.5007339837</v>
      </c>
      <c r="O46" s="44"/>
      <c r="P46" s="162"/>
      <c r="Q46" s="162"/>
      <c r="R46" s="162">
        <v>1643740.64</v>
      </c>
      <c r="S46" s="162">
        <v>1314001.95</v>
      </c>
      <c r="T46" s="161">
        <f>+'Приложение №2'!E46-'Приложение №1'!P46-'Приложение №1'!Q46-'Приложение №1'!R46-'Приложение №1'!S46</f>
        <v>1059093.9107339841</v>
      </c>
      <c r="U46" s="68">
        <f t="shared" si="14"/>
        <v>1048.4265133855306</v>
      </c>
      <c r="V46" s="68">
        <f t="shared" si="14"/>
        <v>1048.4265133855306</v>
      </c>
      <c r="W46" s="80">
        <v>2022</v>
      </c>
      <c r="X46" s="29" t="e">
        <f>+#REF!-'[1]Приложение №1'!$P1352</f>
        <v>#REF!</v>
      </c>
      <c r="Z46" s="31">
        <f t="shared" si="11"/>
        <v>7066064.3040000005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/>
      <c r="AG46" s="27">
        <v>0</v>
      </c>
      <c r="AH46" s="27">
        <v>0</v>
      </c>
      <c r="AI46" s="27">
        <v>0</v>
      </c>
      <c r="AJ46" s="27">
        <v>6154216.9698260156</v>
      </c>
      <c r="AK46" s="27">
        <v>0</v>
      </c>
      <c r="AL46" s="27">
        <v>0</v>
      </c>
      <c r="AM46" s="27">
        <v>706606.43040000007</v>
      </c>
      <c r="AN46" s="32">
        <v>70660.64304000001</v>
      </c>
      <c r="AO46" s="33">
        <v>134580.260733984</v>
      </c>
      <c r="AP46" s="84">
        <f>+N46-'Приложение №2'!E46</f>
        <v>0</v>
      </c>
      <c r="AQ46" s="1">
        <v>1702606.52</v>
      </c>
      <c r="AR46" s="1">
        <f t="shared" si="15"/>
        <v>423310.2</v>
      </c>
      <c r="AS46" s="1">
        <f t="shared" si="16"/>
        <v>14940360</v>
      </c>
      <c r="AT46" s="29">
        <f t="shared" si="6"/>
        <v>-13626358.050000001</v>
      </c>
    </row>
    <row r="47" spans="1:46" x14ac:dyDescent="0.25">
      <c r="A47" s="76">
        <f t="shared" si="7"/>
        <v>31</v>
      </c>
      <c r="B47" s="77">
        <f t="shared" si="8"/>
        <v>31</v>
      </c>
      <c r="C47" s="77" t="s">
        <v>545</v>
      </c>
      <c r="D47" s="77" t="s">
        <v>461</v>
      </c>
      <c r="E47" s="78">
        <v>1982</v>
      </c>
      <c r="F47" s="78">
        <v>2015</v>
      </c>
      <c r="G47" s="78" t="s">
        <v>44</v>
      </c>
      <c r="H47" s="78">
        <v>5</v>
      </c>
      <c r="I47" s="78">
        <v>2</v>
      </c>
      <c r="J47" s="44">
        <v>4432.8999999999996</v>
      </c>
      <c r="K47" s="44">
        <v>3547.5</v>
      </c>
      <c r="L47" s="44">
        <v>134.80000000000001</v>
      </c>
      <c r="M47" s="79">
        <v>210</v>
      </c>
      <c r="N47" s="129">
        <f t="shared" si="9"/>
        <v>4129287.6900192648</v>
      </c>
      <c r="O47" s="44"/>
      <c r="P47" s="162"/>
      <c r="Q47" s="162"/>
      <c r="R47" s="162">
        <v>1735919.07</v>
      </c>
      <c r="S47" s="162">
        <v>1334293.18</v>
      </c>
      <c r="T47" s="161">
        <f>+'Приложение №2'!E47-'Приложение №1'!P47-'Приложение №1'!Q47-'Приложение №1'!R47-'Приложение №1'!S47</f>
        <v>1059075.4400192646</v>
      </c>
      <c r="U47" s="68">
        <f t="shared" si="14"/>
        <v>1121.3881785892688</v>
      </c>
      <c r="V47" s="68">
        <f t="shared" si="14"/>
        <v>1121.3881785892688</v>
      </c>
      <c r="W47" s="80">
        <v>2022</v>
      </c>
      <c r="X47" s="29" t="e">
        <f>+#REF!-'[1]Приложение №1'!$P1353</f>
        <v>#REF!</v>
      </c>
      <c r="Z47" s="31">
        <f t="shared" si="11"/>
        <v>7065093.9840000002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/>
      <c r="AG47" s="27">
        <v>0</v>
      </c>
      <c r="AH47" s="27">
        <v>0</v>
      </c>
      <c r="AI47" s="27">
        <v>0</v>
      </c>
      <c r="AJ47" s="27">
        <v>6153371.865740736</v>
      </c>
      <c r="AK47" s="27">
        <v>0</v>
      </c>
      <c r="AL47" s="27">
        <v>0</v>
      </c>
      <c r="AM47" s="27">
        <v>706509.39840000006</v>
      </c>
      <c r="AN47" s="32">
        <v>70650.939840000006</v>
      </c>
      <c r="AO47" s="33">
        <v>134561.780019264</v>
      </c>
      <c r="AP47" s="84">
        <f>+N47-'Приложение №2'!E47</f>
        <v>0</v>
      </c>
      <c r="AQ47" s="1">
        <v>1792243.71</v>
      </c>
      <c r="AR47" s="1">
        <f t="shared" si="15"/>
        <v>389344.2</v>
      </c>
      <c r="AS47" s="1">
        <f t="shared" si="16"/>
        <v>13741560</v>
      </c>
      <c r="AT47" s="29">
        <f t="shared" si="6"/>
        <v>-12407266.82</v>
      </c>
    </row>
    <row r="48" spans="1:46" x14ac:dyDescent="0.25">
      <c r="A48" s="76">
        <f t="shared" si="7"/>
        <v>32</v>
      </c>
      <c r="B48" s="77">
        <f t="shared" si="8"/>
        <v>32</v>
      </c>
      <c r="C48" s="77" t="s">
        <v>545</v>
      </c>
      <c r="D48" s="77" t="s">
        <v>458</v>
      </c>
      <c r="E48" s="78" t="s">
        <v>586</v>
      </c>
      <c r="F48" s="78"/>
      <c r="G48" s="78" t="s">
        <v>570</v>
      </c>
      <c r="H48" s="78" t="s">
        <v>582</v>
      </c>
      <c r="I48" s="78" t="s">
        <v>572</v>
      </c>
      <c r="J48" s="44">
        <v>4415.8999999999996</v>
      </c>
      <c r="K48" s="44">
        <v>2900.4</v>
      </c>
      <c r="L48" s="44">
        <v>868.6</v>
      </c>
      <c r="M48" s="79">
        <v>169</v>
      </c>
      <c r="N48" s="72">
        <f t="shared" si="9"/>
        <v>3549906.48971568</v>
      </c>
      <c r="O48" s="75">
        <v>0</v>
      </c>
      <c r="P48" s="162">
        <v>0</v>
      </c>
      <c r="Q48" s="162">
        <v>0</v>
      </c>
      <c r="R48" s="162">
        <f>+'Приложение №2'!E48</f>
        <v>3549906.48971568</v>
      </c>
      <c r="S48" s="162"/>
      <c r="T48" s="162">
        <v>0</v>
      </c>
      <c r="U48" s="44">
        <f t="shared" si="14"/>
        <v>941.86959132811887</v>
      </c>
      <c r="V48" s="44">
        <f t="shared" si="14"/>
        <v>941.86959132811887</v>
      </c>
      <c r="W48" s="80">
        <v>2022</v>
      </c>
      <c r="X48" s="29"/>
      <c r="Z48" s="31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32"/>
      <c r="AO48" s="33"/>
      <c r="AP48" s="84">
        <f>+N48-'Приложение №2'!E48</f>
        <v>0</v>
      </c>
      <c r="AQ48" s="1">
        <v>3734892.48</v>
      </c>
      <c r="AR48" s="1">
        <f t="shared" si="15"/>
        <v>473035.2</v>
      </c>
      <c r="AS48" s="1">
        <f t="shared" si="16"/>
        <v>16695360</v>
      </c>
      <c r="AT48" s="29">
        <f t="shared" si="6"/>
        <v>-16695360</v>
      </c>
    </row>
    <row r="49" spans="1:46" x14ac:dyDescent="0.25">
      <c r="A49" s="76">
        <f t="shared" si="7"/>
        <v>33</v>
      </c>
      <c r="B49" s="77">
        <f t="shared" si="8"/>
        <v>33</v>
      </c>
      <c r="C49" s="77" t="s">
        <v>545</v>
      </c>
      <c r="D49" s="77" t="s">
        <v>297</v>
      </c>
      <c r="E49" s="78">
        <v>1983</v>
      </c>
      <c r="F49" s="78">
        <v>2008</v>
      </c>
      <c r="G49" s="78" t="s">
        <v>547</v>
      </c>
      <c r="H49" s="78">
        <v>5</v>
      </c>
      <c r="I49" s="78">
        <v>3</v>
      </c>
      <c r="J49" s="44">
        <v>5132.1000000000004</v>
      </c>
      <c r="K49" s="44">
        <v>4364.6000000000004</v>
      </c>
      <c r="L49" s="44">
        <v>0</v>
      </c>
      <c r="M49" s="79">
        <v>197</v>
      </c>
      <c r="N49" s="129">
        <f t="shared" si="9"/>
        <v>12323375.331853973</v>
      </c>
      <c r="O49" s="44"/>
      <c r="P49" s="162">
        <v>2244517.91</v>
      </c>
      <c r="Q49" s="162"/>
      <c r="R49" s="162">
        <f>+AQ49+AR49</f>
        <v>2481839.0700000003</v>
      </c>
      <c r="S49" s="162">
        <f>+'Приложение №2'!E49-'Приложение №1'!P49-'Приложение №1'!Q49-'Приложение №1'!R49</f>
        <v>7597018.3518539723</v>
      </c>
      <c r="T49" s="161">
        <f>+'Приложение №2'!E49-'Приложение №1'!P49-'Приложение №1'!Q49-'Приложение №1'!R49-'Приложение №1'!S49</f>
        <v>0</v>
      </c>
      <c r="U49" s="68">
        <f t="shared" si="14"/>
        <v>2823.4833276483464</v>
      </c>
      <c r="V49" s="68">
        <f t="shared" si="14"/>
        <v>2823.4833276483464</v>
      </c>
      <c r="W49" s="80">
        <v>2022</v>
      </c>
      <c r="X49" s="29" t="e">
        <f>+#REF!-'[1]Приложение №1'!$P959</f>
        <v>#REF!</v>
      </c>
      <c r="Z49" s="31">
        <f t="shared" ref="Z49:Z65" si="17">SUM(AA49:AO49)</f>
        <v>38187844.389634863</v>
      </c>
      <c r="AA49" s="27">
        <v>8573356.2018279508</v>
      </c>
      <c r="AB49" s="27">
        <v>3669586.3729378125</v>
      </c>
      <c r="AC49" s="27">
        <v>3275767.6194978259</v>
      </c>
      <c r="AD49" s="27">
        <v>3459882.7712624557</v>
      </c>
      <c r="AE49" s="27">
        <v>0</v>
      </c>
      <c r="AF49" s="27"/>
      <c r="AG49" s="27">
        <v>355954.04522476508</v>
      </c>
      <c r="AH49" s="27">
        <v>0</v>
      </c>
      <c r="AI49" s="27">
        <v>14183322.770203391</v>
      </c>
      <c r="AJ49" s="27">
        <v>0</v>
      </c>
      <c r="AK49" s="27">
        <v>0</v>
      </c>
      <c r="AL49" s="27">
        <v>0</v>
      </c>
      <c r="AM49" s="27">
        <v>3555128.2378351944</v>
      </c>
      <c r="AN49" s="32">
        <v>381878.4438963487</v>
      </c>
      <c r="AO49" s="33">
        <v>732967.9269491313</v>
      </c>
      <c r="AP49" s="84">
        <f>+N49-'Приложение №2'!E49</f>
        <v>0</v>
      </c>
      <c r="AQ49" s="1">
        <v>2036649.87</v>
      </c>
      <c r="AR49" s="1">
        <f t="shared" si="15"/>
        <v>445189.2</v>
      </c>
      <c r="AS49" s="1">
        <f t="shared" si="16"/>
        <v>15712560</v>
      </c>
      <c r="AT49" s="29">
        <f t="shared" si="6"/>
        <v>-8115541.6481460277</v>
      </c>
    </row>
    <row r="50" spans="1:46" x14ac:dyDescent="0.25">
      <c r="A50" s="76">
        <f t="shared" si="7"/>
        <v>34</v>
      </c>
      <c r="B50" s="77">
        <f t="shared" si="8"/>
        <v>34</v>
      </c>
      <c r="C50" s="77" t="s">
        <v>545</v>
      </c>
      <c r="D50" s="77" t="s">
        <v>163</v>
      </c>
      <c r="E50" s="78">
        <v>1992</v>
      </c>
      <c r="F50" s="78">
        <v>2001</v>
      </c>
      <c r="G50" s="78" t="s">
        <v>44</v>
      </c>
      <c r="H50" s="78">
        <v>3</v>
      </c>
      <c r="I50" s="78">
        <v>5</v>
      </c>
      <c r="J50" s="44">
        <v>2965.1</v>
      </c>
      <c r="K50" s="44">
        <v>2484</v>
      </c>
      <c r="L50" s="44">
        <v>87.5</v>
      </c>
      <c r="M50" s="79">
        <v>91</v>
      </c>
      <c r="N50" s="129">
        <f t="shared" si="9"/>
        <v>26057138.58937408</v>
      </c>
      <c r="O50" s="44"/>
      <c r="P50" s="162">
        <v>17333675.789999999</v>
      </c>
      <c r="Q50" s="162"/>
      <c r="R50" s="162">
        <f>+'Приложение №2'!E50-'Приложение №1'!P50-'Приложение №1'!S50</f>
        <v>1187004.639374081</v>
      </c>
      <c r="S50" s="162">
        <v>7536458.1600000001</v>
      </c>
      <c r="T50" s="161">
        <f>+'Приложение №2'!E50-'Приложение №1'!P50-'Приложение №1'!Q50-'Приложение №1'!R50-'Приложение №1'!S50</f>
        <v>0</v>
      </c>
      <c r="U50" s="68">
        <f t="shared" si="14"/>
        <v>10133.050200028809</v>
      </c>
      <c r="V50" s="68">
        <f t="shared" si="14"/>
        <v>10133.050200028809</v>
      </c>
      <c r="W50" s="80">
        <v>2022</v>
      </c>
      <c r="X50" s="29" t="e">
        <f>+#REF!-'[1]Приложение №1'!$P1360</f>
        <v>#REF!</v>
      </c>
      <c r="Z50" s="31">
        <f t="shared" si="17"/>
        <v>25552155.489999998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/>
      <c r="AG50" s="27">
        <v>0</v>
      </c>
      <c r="AH50" s="27">
        <v>0</v>
      </c>
      <c r="AI50" s="27">
        <v>22504805.426262595</v>
      </c>
      <c r="AJ50" s="27">
        <v>0</v>
      </c>
      <c r="AK50" s="27">
        <v>0</v>
      </c>
      <c r="AL50" s="27">
        <v>0</v>
      </c>
      <c r="AM50" s="27">
        <v>2299693.9940999998</v>
      </c>
      <c r="AN50" s="32">
        <v>255521.55489999999</v>
      </c>
      <c r="AO50" s="33">
        <v>492134.51473739999</v>
      </c>
      <c r="AP50" s="84">
        <f>+N50-'Приложение №2'!E50</f>
        <v>0</v>
      </c>
      <c r="AQ50" s="1">
        <v>1173019.05</v>
      </c>
      <c r="AR50" s="1">
        <f t="shared" si="15"/>
        <v>271218</v>
      </c>
      <c r="AS50" s="1">
        <f t="shared" si="16"/>
        <v>9572400</v>
      </c>
      <c r="AT50" s="29">
        <f t="shared" si="6"/>
        <v>-2035941.8399999999</v>
      </c>
    </row>
    <row r="51" spans="1:46" x14ac:dyDescent="0.25">
      <c r="A51" s="76">
        <f t="shared" si="7"/>
        <v>35</v>
      </c>
      <c r="B51" s="77">
        <f t="shared" si="8"/>
        <v>35</v>
      </c>
      <c r="C51" s="77" t="s">
        <v>545</v>
      </c>
      <c r="D51" s="77" t="s">
        <v>300</v>
      </c>
      <c r="E51" s="78">
        <v>1987</v>
      </c>
      <c r="F51" s="78">
        <v>2017</v>
      </c>
      <c r="G51" s="78" t="s">
        <v>547</v>
      </c>
      <c r="H51" s="78">
        <v>9</v>
      </c>
      <c r="I51" s="78">
        <v>1</v>
      </c>
      <c r="J51" s="44">
        <v>2767.8</v>
      </c>
      <c r="K51" s="44">
        <v>2150.8000000000002</v>
      </c>
      <c r="L51" s="44">
        <v>66.8</v>
      </c>
      <c r="M51" s="79">
        <v>94</v>
      </c>
      <c r="N51" s="72">
        <f t="shared" si="9"/>
        <v>2330396.1391615802</v>
      </c>
      <c r="O51" s="44"/>
      <c r="P51" s="162"/>
      <c r="Q51" s="162"/>
      <c r="R51" s="162">
        <v>472007.06</v>
      </c>
      <c r="S51" s="162">
        <f>+'Приложение №2'!E51-'Приложение №1'!R51</f>
        <v>1858389.0791615797</v>
      </c>
      <c r="T51" s="162">
        <v>2.3283064365386963E-10</v>
      </c>
      <c r="U51" s="44">
        <f t="shared" si="14"/>
        <v>1050.8640598672348</v>
      </c>
      <c r="V51" s="44">
        <f t="shared" si="14"/>
        <v>1050.8640598672348</v>
      </c>
      <c r="W51" s="80">
        <v>2022</v>
      </c>
      <c r="X51" s="29" t="e">
        <f>+#REF!-'[1]Приложение №1'!$P782</f>
        <v>#REF!</v>
      </c>
      <c r="Z51" s="31">
        <f t="shared" si="17"/>
        <v>24358296.106563497</v>
      </c>
      <c r="AA51" s="27">
        <v>5322442.2844350552</v>
      </c>
      <c r="AB51" s="27">
        <v>2129484.5377048999</v>
      </c>
      <c r="AC51" s="27">
        <v>0</v>
      </c>
      <c r="AD51" s="27">
        <v>0</v>
      </c>
      <c r="AE51" s="27">
        <v>0</v>
      </c>
      <c r="AF51" s="27"/>
      <c r="AG51" s="27">
        <v>236468.68196531132</v>
      </c>
      <c r="AH51" s="27">
        <v>0</v>
      </c>
      <c r="AI51" s="27">
        <v>0</v>
      </c>
      <c r="AJ51" s="27">
        <v>0</v>
      </c>
      <c r="AK51" s="27">
        <v>13665253.188203763</v>
      </c>
      <c r="AL51" s="27">
        <v>0</v>
      </c>
      <c r="AM51" s="27">
        <v>2294103.4047365393</v>
      </c>
      <c r="AN51" s="32">
        <v>243582.96106563497</v>
      </c>
      <c r="AO51" s="33">
        <v>466961.04845229239</v>
      </c>
      <c r="AP51" s="84">
        <f>+N51-'Приложение №2'!E51</f>
        <v>0</v>
      </c>
      <c r="AQ51" s="1">
        <v>1394329.46</v>
      </c>
      <c r="AR51" s="1">
        <f>+(K51*13.29+L51*22.52)*12*0.85</f>
        <v>306902.37360000005</v>
      </c>
      <c r="AS51" s="1">
        <f>+(K51*13.29+L51*22.52)*12*30</f>
        <v>10831848.48</v>
      </c>
      <c r="AT51" s="29">
        <f t="shared" si="6"/>
        <v>-8973459.4008384198</v>
      </c>
    </row>
    <row r="52" spans="1:46" x14ac:dyDescent="0.25">
      <c r="A52" s="76">
        <f t="shared" si="7"/>
        <v>36</v>
      </c>
      <c r="B52" s="77">
        <f t="shared" si="8"/>
        <v>36</v>
      </c>
      <c r="C52" s="77" t="s">
        <v>545</v>
      </c>
      <c r="D52" s="77" t="s">
        <v>70</v>
      </c>
      <c r="E52" s="78">
        <v>1992</v>
      </c>
      <c r="F52" s="78">
        <v>2009</v>
      </c>
      <c r="G52" s="78" t="s">
        <v>547</v>
      </c>
      <c r="H52" s="78">
        <v>9</v>
      </c>
      <c r="I52" s="78">
        <v>1</v>
      </c>
      <c r="J52" s="44">
        <v>3320.9</v>
      </c>
      <c r="K52" s="44">
        <v>2870.8</v>
      </c>
      <c r="L52" s="44">
        <v>0</v>
      </c>
      <c r="M52" s="79">
        <v>115</v>
      </c>
      <c r="N52" s="129">
        <f t="shared" si="9"/>
        <v>1888185.6276605655</v>
      </c>
      <c r="O52" s="44"/>
      <c r="P52" s="162"/>
      <c r="Q52" s="162"/>
      <c r="R52" s="162">
        <f>+'Приложение №2'!E52</f>
        <v>1888185.6276605655</v>
      </c>
      <c r="S52" s="162"/>
      <c r="T52" s="161">
        <f>+'Приложение №2'!E52-'Приложение №1'!P52-'Приложение №1'!Q52-'Приложение №1'!R52-'Приложение №1'!S52</f>
        <v>0</v>
      </c>
      <c r="U52" s="68">
        <f t="shared" si="14"/>
        <v>657.7210630000576</v>
      </c>
      <c r="V52" s="68">
        <f t="shared" si="14"/>
        <v>657.7210630000576</v>
      </c>
      <c r="W52" s="80">
        <v>2022</v>
      </c>
      <c r="X52" s="29" t="e">
        <f>+#REF!-'[1]Приложение №1'!$P981</f>
        <v>#REF!</v>
      </c>
      <c r="Z52" s="31">
        <f t="shared" si="17"/>
        <v>3421512.8588040192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/>
      <c r="AG52" s="27">
        <v>0</v>
      </c>
      <c r="AH52" s="27">
        <v>0</v>
      </c>
      <c r="AI52" s="27">
        <v>3013463.2352630515</v>
      </c>
      <c r="AJ52" s="27">
        <v>0</v>
      </c>
      <c r="AK52" s="27">
        <v>0</v>
      </c>
      <c r="AL52" s="27">
        <v>0</v>
      </c>
      <c r="AM52" s="27">
        <v>307936.15729236172</v>
      </c>
      <c r="AN52" s="32">
        <v>34215.128588040192</v>
      </c>
      <c r="AO52" s="33">
        <v>65898.337660565405</v>
      </c>
      <c r="AP52" s="84">
        <f>+N52-'Приложение №2'!E52</f>
        <v>0</v>
      </c>
      <c r="AQ52" s="1">
        <v>1773302.69</v>
      </c>
      <c r="AR52" s="1">
        <f>+(K52*13.29+L52*22.52)*12*0.85</f>
        <v>389159.90639999998</v>
      </c>
      <c r="AS52" s="1">
        <f>+(K52*13.29+L52*22.52)*12*30</f>
        <v>13735055.52</v>
      </c>
      <c r="AT52" s="29">
        <f t="shared" si="6"/>
        <v>-13735055.52</v>
      </c>
    </row>
    <row r="53" spans="1:46" x14ac:dyDescent="0.25">
      <c r="A53" s="76">
        <f t="shared" si="7"/>
        <v>37</v>
      </c>
      <c r="B53" s="77">
        <f t="shared" si="8"/>
        <v>37</v>
      </c>
      <c r="C53" s="77" t="s">
        <v>546</v>
      </c>
      <c r="D53" s="77" t="s">
        <v>678</v>
      </c>
      <c r="E53" s="78">
        <v>1995</v>
      </c>
      <c r="F53" s="78">
        <v>2007</v>
      </c>
      <c r="G53" s="78" t="s">
        <v>547</v>
      </c>
      <c r="H53" s="78">
        <v>9</v>
      </c>
      <c r="I53" s="78">
        <v>3</v>
      </c>
      <c r="J53" s="44">
        <v>8715.5</v>
      </c>
      <c r="K53" s="44">
        <v>7251.1</v>
      </c>
      <c r="L53" s="44">
        <v>660.9</v>
      </c>
      <c r="M53" s="79">
        <v>283</v>
      </c>
      <c r="N53" s="129">
        <f t="shared" si="9"/>
        <v>22074493.370000001</v>
      </c>
      <c r="O53" s="44"/>
      <c r="P53" s="162">
        <v>20694835.300000001</v>
      </c>
      <c r="Q53" s="164"/>
      <c r="R53" s="164">
        <v>1379658.07</v>
      </c>
      <c r="S53" s="162"/>
      <c r="T53" s="161"/>
      <c r="U53" s="68">
        <f t="shared" si="14"/>
        <v>2790.0016898382205</v>
      </c>
      <c r="V53" s="68">
        <f t="shared" si="14"/>
        <v>2790.0016898382205</v>
      </c>
      <c r="W53" s="80">
        <v>2022</v>
      </c>
      <c r="X53" s="29" t="e">
        <f>+#REF!-'[1]Приложение №1'!#REF!</f>
        <v>#REF!</v>
      </c>
      <c r="Z53" s="31">
        <f t="shared" si="17"/>
        <v>47583718.340731375</v>
      </c>
      <c r="AA53" s="27">
        <v>17694269.116222665</v>
      </c>
      <c r="AB53" s="27">
        <v>7079395.2241015183</v>
      </c>
      <c r="AC53" s="27">
        <v>5228826.4103661133</v>
      </c>
      <c r="AD53" s="27">
        <v>3341459.7872589645</v>
      </c>
      <c r="AE53" s="27">
        <v>0</v>
      </c>
      <c r="AF53" s="27"/>
      <c r="AG53" s="27">
        <v>786131.68027933023</v>
      </c>
      <c r="AH53" s="27">
        <v>0</v>
      </c>
      <c r="AI53" s="27">
        <v>7743707.0462670354</v>
      </c>
      <c r="AJ53" s="27">
        <v>0</v>
      </c>
      <c r="AK53" s="27">
        <v>0</v>
      </c>
      <c r="AL53" s="27">
        <v>0</v>
      </c>
      <c r="AM53" s="27">
        <v>4318396.9303716524</v>
      </c>
      <c r="AN53" s="32">
        <v>475837.18340731377</v>
      </c>
      <c r="AO53" s="33">
        <v>915694.96245678177</v>
      </c>
      <c r="AP53" s="84">
        <f>+N53-'Приложение №2'!E53</f>
        <v>0</v>
      </c>
      <c r="AR53" s="1">
        <f>+(K53*13.29+L53*22.52)*12*0.85</f>
        <v>1134755.9873999998</v>
      </c>
      <c r="AT53" s="29"/>
    </row>
    <row r="54" spans="1:46" x14ac:dyDescent="0.25">
      <c r="A54" s="76">
        <f t="shared" si="7"/>
        <v>38</v>
      </c>
      <c r="B54" s="77">
        <f t="shared" si="8"/>
        <v>38</v>
      </c>
      <c r="C54" s="77" t="s">
        <v>72</v>
      </c>
      <c r="D54" s="77" t="s">
        <v>308</v>
      </c>
      <c r="E54" s="78">
        <v>1995</v>
      </c>
      <c r="F54" s="78">
        <v>1995</v>
      </c>
      <c r="G54" s="78" t="s">
        <v>51</v>
      </c>
      <c r="H54" s="78">
        <v>2</v>
      </c>
      <c r="I54" s="78">
        <v>2</v>
      </c>
      <c r="J54" s="44">
        <v>1067.3</v>
      </c>
      <c r="K54" s="44">
        <v>984.4</v>
      </c>
      <c r="L54" s="44">
        <v>0</v>
      </c>
      <c r="M54" s="79">
        <v>43</v>
      </c>
      <c r="N54" s="129">
        <f t="shared" si="9"/>
        <v>12738229.499971399</v>
      </c>
      <c r="O54" s="44"/>
      <c r="P54" s="162">
        <f>4026047.45-[3]Лист1!$I$15</f>
        <v>0</v>
      </c>
      <c r="Q54" s="162"/>
      <c r="R54" s="162">
        <f>+AQ54+AR54</f>
        <v>543386.6</v>
      </c>
      <c r="S54" s="162">
        <f>+AS54</f>
        <v>3543840</v>
      </c>
      <c r="T54" s="161">
        <f>4624955.4499714+[3]Лист1!$I$15</f>
        <v>8651002.8999713995</v>
      </c>
      <c r="U54" s="68">
        <f t="shared" si="14"/>
        <v>12940.094981685696</v>
      </c>
      <c r="V54" s="68">
        <f t="shared" si="14"/>
        <v>12940.094981685696</v>
      </c>
      <c r="W54" s="80">
        <v>2022</v>
      </c>
      <c r="X54" s="29" t="e">
        <f>+#REF!-'[1]Приложение №1'!$P988</f>
        <v>#REF!</v>
      </c>
      <c r="Z54" s="31">
        <f t="shared" si="17"/>
        <v>16450906</v>
      </c>
      <c r="AA54" s="27">
        <v>1648275.62422068</v>
      </c>
      <c r="AB54" s="27">
        <v>0</v>
      </c>
      <c r="AC54" s="27">
        <v>1007648.27936304</v>
      </c>
      <c r="AD54" s="27">
        <v>768340.37867075996</v>
      </c>
      <c r="AE54" s="27">
        <v>0</v>
      </c>
      <c r="AF54" s="27"/>
      <c r="AG54" s="27">
        <v>81902.381790599989</v>
      </c>
      <c r="AH54" s="27">
        <v>0</v>
      </c>
      <c r="AI54" s="27">
        <v>2934181.5756624001</v>
      </c>
      <c r="AJ54" s="27">
        <v>0</v>
      </c>
      <c r="AK54" s="27">
        <v>5696730.1661940608</v>
      </c>
      <c r="AL54" s="27">
        <v>2240450.9097830998</v>
      </c>
      <c r="AM54" s="27">
        <v>1594460.1776000001</v>
      </c>
      <c r="AN54" s="32">
        <v>164509.06</v>
      </c>
      <c r="AO54" s="33">
        <v>314407.44671536004</v>
      </c>
      <c r="AP54" s="84">
        <f>+N54-'Приложение №2'!E54</f>
        <v>0</v>
      </c>
      <c r="AQ54" s="1">
        <v>442977.8</v>
      </c>
      <c r="AR54" s="1">
        <f t="shared" ref="AR54:AR65" si="18">+(K54*10+L54*20)*12*0.85</f>
        <v>100408.8</v>
      </c>
      <c r="AS54" s="1">
        <f t="shared" ref="AS54:AS61" si="19">+(K54*10+L54*20)*12*30</f>
        <v>3543840</v>
      </c>
      <c r="AT54" s="29">
        <f t="shared" si="6"/>
        <v>0</v>
      </c>
    </row>
    <row r="55" spans="1:46" x14ac:dyDescent="0.25">
      <c r="A55" s="76">
        <f t="shared" si="7"/>
        <v>39</v>
      </c>
      <c r="B55" s="77">
        <f t="shared" si="8"/>
        <v>39</v>
      </c>
      <c r="C55" s="77" t="s">
        <v>72</v>
      </c>
      <c r="D55" s="77" t="s">
        <v>309</v>
      </c>
      <c r="E55" s="78">
        <v>1999</v>
      </c>
      <c r="F55" s="78">
        <v>2011</v>
      </c>
      <c r="G55" s="78" t="s">
        <v>44</v>
      </c>
      <c r="H55" s="78">
        <v>4</v>
      </c>
      <c r="I55" s="78">
        <v>3</v>
      </c>
      <c r="J55" s="44">
        <v>1789.4</v>
      </c>
      <c r="K55" s="44">
        <v>1789.4</v>
      </c>
      <c r="L55" s="44">
        <v>0</v>
      </c>
      <c r="M55" s="79">
        <v>56</v>
      </c>
      <c r="N55" s="129">
        <f t="shared" si="9"/>
        <v>10031683.765631996</v>
      </c>
      <c r="O55" s="44"/>
      <c r="P55" s="162">
        <v>1115147.8799999999</v>
      </c>
      <c r="Q55" s="162"/>
      <c r="R55" s="162">
        <v>889415</v>
      </c>
      <c r="S55" s="162">
        <f>+AS55</f>
        <v>6441840</v>
      </c>
      <c r="T55" s="161">
        <f>+'Приложение №2'!E55-'Приложение №1'!P55-'Приложение №1'!Q55-'Приложение №1'!R55-'Приложение №1'!S55</f>
        <v>1585280.8856319971</v>
      </c>
      <c r="U55" s="68">
        <f t="shared" si="14"/>
        <v>5606.1717702201831</v>
      </c>
      <c r="V55" s="68">
        <f t="shared" si="14"/>
        <v>5606.1717702201831</v>
      </c>
      <c r="W55" s="80">
        <v>2022</v>
      </c>
      <c r="X55" s="29" t="e">
        <f>+#REF!-'[1]Приложение №1'!$P989</f>
        <v>#REF!</v>
      </c>
      <c r="Z55" s="31">
        <f t="shared" si="17"/>
        <v>15155840.090000002</v>
      </c>
      <c r="AA55" s="27">
        <v>3843679.5940452004</v>
      </c>
      <c r="AB55" s="27">
        <v>0</v>
      </c>
      <c r="AC55" s="27">
        <v>1430991.0437205599</v>
      </c>
      <c r="AD55" s="27">
        <v>895890.8758312799</v>
      </c>
      <c r="AE55" s="27">
        <v>0</v>
      </c>
      <c r="AF55" s="27"/>
      <c r="AG55" s="27">
        <v>147492.512475</v>
      </c>
      <c r="AH55" s="27">
        <v>0</v>
      </c>
      <c r="AI55" s="27">
        <v>7026831.1230768003</v>
      </c>
      <c r="AJ55" s="27">
        <v>0</v>
      </c>
      <c r="AK55" s="27">
        <v>0</v>
      </c>
      <c r="AL55" s="27">
        <v>0</v>
      </c>
      <c r="AM55" s="27">
        <v>1367570.9297000002</v>
      </c>
      <c r="AN55" s="32">
        <v>151558.40090000001</v>
      </c>
      <c r="AO55" s="33">
        <v>291825.61025115999</v>
      </c>
      <c r="AP55" s="84">
        <f>+N55-'Приложение №2'!E55</f>
        <v>0</v>
      </c>
      <c r="AQ55" s="1">
        <v>725047.53</v>
      </c>
      <c r="AR55" s="1">
        <f t="shared" si="18"/>
        <v>182518.8</v>
      </c>
      <c r="AS55" s="1">
        <f t="shared" si="19"/>
        <v>6441840</v>
      </c>
      <c r="AT55" s="29">
        <f t="shared" si="6"/>
        <v>0</v>
      </c>
    </row>
    <row r="56" spans="1:46" x14ac:dyDescent="0.25">
      <c r="A56" s="76">
        <f t="shared" si="7"/>
        <v>40</v>
      </c>
      <c r="B56" s="77">
        <f t="shared" si="8"/>
        <v>40</v>
      </c>
      <c r="C56" s="77" t="s">
        <v>72</v>
      </c>
      <c r="D56" s="77" t="s">
        <v>311</v>
      </c>
      <c r="E56" s="78">
        <v>1995</v>
      </c>
      <c r="F56" s="78">
        <v>2013</v>
      </c>
      <c r="G56" s="78" t="s">
        <v>51</v>
      </c>
      <c r="H56" s="78">
        <v>5</v>
      </c>
      <c r="I56" s="78">
        <v>4</v>
      </c>
      <c r="J56" s="44">
        <v>4929.5</v>
      </c>
      <c r="K56" s="44">
        <v>4328.8999999999996</v>
      </c>
      <c r="L56" s="44">
        <v>0</v>
      </c>
      <c r="M56" s="79">
        <v>159</v>
      </c>
      <c r="N56" s="129">
        <f t="shared" si="9"/>
        <v>7884285.4414625987</v>
      </c>
      <c r="O56" s="44"/>
      <c r="P56" s="162"/>
      <c r="Q56" s="162"/>
      <c r="R56" s="162">
        <f>779149.58+123154.11</f>
        <v>902303.69</v>
      </c>
      <c r="S56" s="162">
        <f>+'Приложение №2'!E56-'Приложение №1'!R56-P56</f>
        <v>6981981.7514625993</v>
      </c>
      <c r="T56" s="161">
        <f>+'Приложение №2'!E56-'Приложение №1'!P56-'Приложение №1'!Q56-'Приложение №1'!R56-'Приложение №1'!S56</f>
        <v>0</v>
      </c>
      <c r="U56" s="68">
        <f t="shared" si="14"/>
        <v>1821.3138306411788</v>
      </c>
      <c r="V56" s="68">
        <f t="shared" si="14"/>
        <v>1821.3138306411788</v>
      </c>
      <c r="W56" s="80">
        <v>2022</v>
      </c>
      <c r="X56" s="29" t="e">
        <f>+#REF!-'[1]Приложение №1'!$P992</f>
        <v>#REF!</v>
      </c>
      <c r="Z56" s="31">
        <f t="shared" si="17"/>
        <v>77122932.980000004</v>
      </c>
      <c r="AA56" s="27">
        <v>7245200.61515796</v>
      </c>
      <c r="AB56" s="27">
        <v>4190097.5862702606</v>
      </c>
      <c r="AC56" s="27">
        <v>4429243.3865698203</v>
      </c>
      <c r="AD56" s="27">
        <v>3377335.7392437602</v>
      </c>
      <c r="AE56" s="27">
        <v>0</v>
      </c>
      <c r="AF56" s="27"/>
      <c r="AG56" s="27">
        <v>360012.11029559997</v>
      </c>
      <c r="AH56" s="27">
        <v>0</v>
      </c>
      <c r="AI56" s="27">
        <v>12897560.1974562</v>
      </c>
      <c r="AJ56" s="27">
        <v>0</v>
      </c>
      <c r="AK56" s="27">
        <v>25040686.283834342</v>
      </c>
      <c r="AL56" s="27">
        <v>9848180.7538505998</v>
      </c>
      <c r="AM56" s="27">
        <v>7489740.9763000011</v>
      </c>
      <c r="AN56" s="32">
        <v>771229.32980000007</v>
      </c>
      <c r="AO56" s="33">
        <v>1473646.0012214603</v>
      </c>
      <c r="AP56" s="84">
        <f>+N56-'Приложение №2'!E56</f>
        <v>0</v>
      </c>
      <c r="AQ56" s="1">
        <v>1948762.98</v>
      </c>
      <c r="AR56" s="1">
        <f t="shared" si="18"/>
        <v>441547.8</v>
      </c>
      <c r="AS56" s="1">
        <f t="shared" si="19"/>
        <v>15584040</v>
      </c>
      <c r="AT56" s="29">
        <f t="shared" si="6"/>
        <v>-8602058.2485374007</v>
      </c>
    </row>
    <row r="57" spans="1:46" x14ac:dyDescent="0.25">
      <c r="A57" s="76">
        <f t="shared" si="7"/>
        <v>41</v>
      </c>
      <c r="B57" s="77">
        <f t="shared" si="8"/>
        <v>41</v>
      </c>
      <c r="C57" s="77" t="s">
        <v>72</v>
      </c>
      <c r="D57" s="77" t="s">
        <v>312</v>
      </c>
      <c r="E57" s="78">
        <v>1983</v>
      </c>
      <c r="F57" s="78">
        <v>1983</v>
      </c>
      <c r="G57" s="78" t="s">
        <v>44</v>
      </c>
      <c r="H57" s="78">
        <v>2</v>
      </c>
      <c r="I57" s="78">
        <v>2</v>
      </c>
      <c r="J57" s="44">
        <v>712.2</v>
      </c>
      <c r="K57" s="44">
        <v>635.1</v>
      </c>
      <c r="L57" s="44">
        <v>0</v>
      </c>
      <c r="M57" s="79">
        <v>33</v>
      </c>
      <c r="N57" s="129">
        <f t="shared" ref="N57:N87" si="20">+P57+Q57+R57+S57+T57</f>
        <v>12731761.317324182</v>
      </c>
      <c r="O57" s="44"/>
      <c r="P57" s="162">
        <v>2482138.8099999996</v>
      </c>
      <c r="Q57" s="162"/>
      <c r="R57" s="162">
        <f>+AQ57+AR57</f>
        <v>366253.68</v>
      </c>
      <c r="S57" s="162">
        <f>+AS57</f>
        <v>2286360</v>
      </c>
      <c r="T57" s="161">
        <f>+'Приложение №2'!E57-'Приложение №1'!P57-'Приложение №1'!Q57-'Приложение №1'!R57-'Приложение №1'!S57</f>
        <v>7597008.8273241818</v>
      </c>
      <c r="U57" s="68">
        <f t="shared" si="14"/>
        <v>20046.860836599248</v>
      </c>
      <c r="V57" s="68">
        <f t="shared" si="14"/>
        <v>20046.860836599248</v>
      </c>
      <c r="W57" s="80">
        <v>2022</v>
      </c>
      <c r="X57" s="29" t="e">
        <f>+#REF!-'[1]Приложение №1'!$P819</f>
        <v>#REF!</v>
      </c>
      <c r="Z57" s="31">
        <f t="shared" si="17"/>
        <v>20279025.380000006</v>
      </c>
      <c r="AA57" s="27">
        <v>1948967.0178451203</v>
      </c>
      <c r="AB57" s="27">
        <v>0</v>
      </c>
      <c r="AC57" s="27">
        <v>558813.84979433985</v>
      </c>
      <c r="AD57" s="27">
        <v>476227.19575200003</v>
      </c>
      <c r="AE57" s="27">
        <v>0</v>
      </c>
      <c r="AF57" s="27"/>
      <c r="AG57" s="27">
        <v>198888.25194671997</v>
      </c>
      <c r="AH57" s="27">
        <v>0</v>
      </c>
      <c r="AI57" s="27">
        <v>5638041.5737464009</v>
      </c>
      <c r="AJ57" s="27">
        <v>0</v>
      </c>
      <c r="AK57" s="27">
        <v>4610023.2322851</v>
      </c>
      <c r="AL57" s="27">
        <v>4338269.1668022005</v>
      </c>
      <c r="AM57" s="27">
        <v>1918427.7604</v>
      </c>
      <c r="AN57" s="32">
        <v>202790.25380000001</v>
      </c>
      <c r="AO57" s="33">
        <v>388577.07762811997</v>
      </c>
      <c r="AP57" s="84">
        <f>+N57-'Приложение №2'!E57</f>
        <v>0</v>
      </c>
      <c r="AQ57" s="1">
        <v>301473.48</v>
      </c>
      <c r="AR57" s="1">
        <f t="shared" si="18"/>
        <v>64780.2</v>
      </c>
      <c r="AS57" s="1">
        <f t="shared" si="19"/>
        <v>2286360</v>
      </c>
      <c r="AT57" s="29">
        <f t="shared" si="6"/>
        <v>0</v>
      </c>
    </row>
    <row r="58" spans="1:46" x14ac:dyDescent="0.25">
      <c r="A58" s="76">
        <f t="shared" si="7"/>
        <v>42</v>
      </c>
      <c r="B58" s="77">
        <f t="shared" si="8"/>
        <v>42</v>
      </c>
      <c r="C58" s="77" t="s">
        <v>72</v>
      </c>
      <c r="D58" s="77" t="s">
        <v>313</v>
      </c>
      <c r="E58" s="78">
        <v>1979</v>
      </c>
      <c r="F58" s="78">
        <v>1979</v>
      </c>
      <c r="G58" s="78" t="s">
        <v>51</v>
      </c>
      <c r="H58" s="78">
        <v>4</v>
      </c>
      <c r="I58" s="78">
        <v>4</v>
      </c>
      <c r="J58" s="44">
        <v>4000.3</v>
      </c>
      <c r="K58" s="44">
        <v>3434.6</v>
      </c>
      <c r="L58" s="44">
        <v>0</v>
      </c>
      <c r="M58" s="79">
        <v>77</v>
      </c>
      <c r="N58" s="129">
        <f t="shared" si="20"/>
        <v>7296497.5090870196</v>
      </c>
      <c r="O58" s="44"/>
      <c r="P58" s="162"/>
      <c r="Q58" s="162"/>
      <c r="R58" s="162">
        <v>1019742.18</v>
      </c>
      <c r="S58" s="162">
        <f>+'Приложение №2'!E58-'Приложение №1'!R58</f>
        <v>6276755.3290870199</v>
      </c>
      <c r="T58" s="161">
        <f>+'Приложение №2'!E58-'Приложение №1'!P58-'Приложение №1'!Q58-'Приложение №1'!R58-'Приложение №1'!S58</f>
        <v>0</v>
      </c>
      <c r="U58" s="68">
        <f t="shared" si="14"/>
        <v>2124.4096864517032</v>
      </c>
      <c r="V58" s="68">
        <f t="shared" si="14"/>
        <v>2124.4096864517032</v>
      </c>
      <c r="W58" s="80">
        <v>2022</v>
      </c>
      <c r="X58" s="29" t="e">
        <f>+#REF!-'[1]Приложение №1'!$P999</f>
        <v>#REF!</v>
      </c>
      <c r="Z58" s="31">
        <f t="shared" si="17"/>
        <v>19726119.920000002</v>
      </c>
      <c r="AA58" s="27">
        <v>5852855.9652763205</v>
      </c>
      <c r="AB58" s="27">
        <v>3384866.6112261005</v>
      </c>
      <c r="AC58" s="27">
        <v>3578054.6250359397</v>
      </c>
      <c r="AD58" s="27">
        <v>2728297.0723629599</v>
      </c>
      <c r="AE58" s="27">
        <v>1089898.8321589197</v>
      </c>
      <c r="AF58" s="27"/>
      <c r="AG58" s="27">
        <v>290826.87134760001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2233947.6464</v>
      </c>
      <c r="AN58" s="32">
        <v>197261.19919999997</v>
      </c>
      <c r="AO58" s="33">
        <v>370111.09699215996</v>
      </c>
      <c r="AP58" s="84">
        <f>+N58-'Приложение №2'!E58</f>
        <v>0</v>
      </c>
      <c r="AQ58" s="1">
        <v>1726106.62</v>
      </c>
      <c r="AR58" s="1">
        <f t="shared" si="18"/>
        <v>350329.2</v>
      </c>
      <c r="AS58" s="1">
        <f t="shared" si="19"/>
        <v>12364560</v>
      </c>
      <c r="AT58" s="29">
        <f t="shared" si="6"/>
        <v>-6087804.6709129801</v>
      </c>
    </row>
    <row r="59" spans="1:46" x14ac:dyDescent="0.25">
      <c r="A59" s="76">
        <f t="shared" si="7"/>
        <v>43</v>
      </c>
      <c r="B59" s="77">
        <f t="shared" si="8"/>
        <v>43</v>
      </c>
      <c r="C59" s="77" t="s">
        <v>72</v>
      </c>
      <c r="D59" s="77" t="s">
        <v>310</v>
      </c>
      <c r="E59" s="78">
        <v>1986</v>
      </c>
      <c r="F59" s="78">
        <v>2013</v>
      </c>
      <c r="G59" s="78" t="s">
        <v>51</v>
      </c>
      <c r="H59" s="78">
        <v>4</v>
      </c>
      <c r="I59" s="78">
        <v>2</v>
      </c>
      <c r="J59" s="44">
        <v>3830.7</v>
      </c>
      <c r="K59" s="44">
        <v>3476.2</v>
      </c>
      <c r="L59" s="44">
        <v>0</v>
      </c>
      <c r="M59" s="79">
        <v>146</v>
      </c>
      <c r="N59" s="129">
        <f t="shared" si="20"/>
        <v>50935943.967325002</v>
      </c>
      <c r="O59" s="44"/>
      <c r="P59" s="162">
        <f>2138367.31+417072.01</f>
        <v>2555439.3200000003</v>
      </c>
      <c r="Q59" s="162"/>
      <c r="R59" s="162">
        <v>1738606.72</v>
      </c>
      <c r="S59" s="162">
        <f>+AS59</f>
        <v>12514320</v>
      </c>
      <c r="T59" s="161">
        <f>+'Приложение №2'!E59-'Приложение №1'!P59-'Приложение №1'!Q59-'Приложение №1'!R59-'Приложение №1'!S59</f>
        <v>34127577.927325003</v>
      </c>
      <c r="U59" s="68">
        <f t="shared" si="14"/>
        <v>14652.765654256085</v>
      </c>
      <c r="V59" s="68">
        <f t="shared" si="14"/>
        <v>14652.765654256085</v>
      </c>
      <c r="W59" s="80">
        <v>2022</v>
      </c>
      <c r="X59" s="29" t="e">
        <f>+#REF!-'[1]Приложение №1'!$P819</f>
        <v>#REF!</v>
      </c>
      <c r="Z59" s="31">
        <f t="shared" si="17"/>
        <v>63545858.419999994</v>
      </c>
      <c r="AA59" s="27">
        <v>5818965.56459946</v>
      </c>
      <c r="AB59" s="27">
        <v>3365266.8627295201</v>
      </c>
      <c r="AC59" s="27">
        <v>3557336.2493503802</v>
      </c>
      <c r="AD59" s="27">
        <v>2712499.1287925998</v>
      </c>
      <c r="AE59" s="27">
        <v>1083587.8791200402</v>
      </c>
      <c r="AF59" s="27"/>
      <c r="AG59" s="27">
        <v>289142.86613099999</v>
      </c>
      <c r="AH59" s="27">
        <v>0</v>
      </c>
      <c r="AI59" s="27">
        <v>10358644.6581282</v>
      </c>
      <c r="AJ59" s="27">
        <v>0</v>
      </c>
      <c r="AK59" s="27">
        <v>20111367.36101808</v>
      </c>
      <c r="AL59" s="27">
        <v>7909542.8401185004</v>
      </c>
      <c r="AM59" s="27">
        <v>6496795.2884999998</v>
      </c>
      <c r="AN59" s="32">
        <v>635458.58420000004</v>
      </c>
      <c r="AO59" s="33">
        <v>1207251.1373122202</v>
      </c>
      <c r="AP59" s="84">
        <f>+N59-'Приложение №2'!E59</f>
        <v>0</v>
      </c>
      <c r="AQ59" s="1">
        <f>1393126.98-102965.87</f>
        <v>1290161.1099999999</v>
      </c>
      <c r="AR59" s="1">
        <f t="shared" si="18"/>
        <v>354572.39999999997</v>
      </c>
      <c r="AS59" s="1">
        <f t="shared" si="19"/>
        <v>12514320</v>
      </c>
      <c r="AT59" s="29">
        <f t="shared" si="6"/>
        <v>0</v>
      </c>
    </row>
    <row r="60" spans="1:46" x14ac:dyDescent="0.25">
      <c r="A60" s="76">
        <f t="shared" si="7"/>
        <v>44</v>
      </c>
      <c r="B60" s="77">
        <f t="shared" si="8"/>
        <v>44</v>
      </c>
      <c r="C60" s="77" t="s">
        <v>72</v>
      </c>
      <c r="D60" s="77" t="s">
        <v>317</v>
      </c>
      <c r="E60" s="78">
        <v>1991</v>
      </c>
      <c r="F60" s="78">
        <v>1991</v>
      </c>
      <c r="G60" s="78" t="s">
        <v>51</v>
      </c>
      <c r="H60" s="78">
        <v>2</v>
      </c>
      <c r="I60" s="78">
        <v>2</v>
      </c>
      <c r="J60" s="44">
        <v>704.8</v>
      </c>
      <c r="K60" s="44">
        <v>502.8</v>
      </c>
      <c r="L60" s="44">
        <v>0</v>
      </c>
      <c r="M60" s="79">
        <v>51</v>
      </c>
      <c r="N60" s="129">
        <f t="shared" si="20"/>
        <v>9358782.4640582055</v>
      </c>
      <c r="O60" s="44"/>
      <c r="P60" s="162">
        <v>6547481.0700000003</v>
      </c>
      <c r="Q60" s="162"/>
      <c r="R60" s="162">
        <f>+AQ60+AR60</f>
        <v>231480.48</v>
      </c>
      <c r="S60" s="162">
        <f>+'Приложение №2'!E60-'Приложение №1'!P60-'Приложение №1'!Q60-'Приложение №1'!R60</f>
        <v>2579820.9140582052</v>
      </c>
      <c r="T60" s="161">
        <f>+'Приложение №2'!E60-'Приложение №1'!P60-'Приложение №1'!Q60-'Приложение №1'!R60-'Приложение №1'!S60</f>
        <v>0</v>
      </c>
      <c r="U60" s="68">
        <f t="shared" si="14"/>
        <v>18613.330278556496</v>
      </c>
      <c r="V60" s="68">
        <f t="shared" si="14"/>
        <v>18613.330278556496</v>
      </c>
      <c r="W60" s="80">
        <v>2022</v>
      </c>
      <c r="X60" s="29" t="e">
        <f>+#REF!-'[1]Приложение №1'!$P1003</f>
        <v>#REF!</v>
      </c>
      <c r="Z60" s="31">
        <f t="shared" si="17"/>
        <v>10159649.210588206</v>
      </c>
      <c r="AA60" s="27">
        <v>1119793.79</v>
      </c>
      <c r="AB60" s="27">
        <v>0</v>
      </c>
      <c r="AC60" s="27">
        <v>319144.83</v>
      </c>
      <c r="AD60" s="27">
        <v>0</v>
      </c>
      <c r="AE60" s="27">
        <v>0</v>
      </c>
      <c r="AF60" s="27"/>
      <c r="AG60" s="27">
        <v>51441.136530000003</v>
      </c>
      <c r="AH60" s="27">
        <v>0</v>
      </c>
      <c r="AI60" s="27">
        <v>3034353.13</v>
      </c>
      <c r="AJ60" s="27">
        <v>0</v>
      </c>
      <c r="AK60" s="27">
        <v>3213076.97</v>
      </c>
      <c r="AL60" s="27">
        <v>2003686.6</v>
      </c>
      <c r="AM60" s="27">
        <v>222088.61</v>
      </c>
      <c r="AN60" s="27">
        <v>64189.444058208501</v>
      </c>
      <c r="AO60" s="33">
        <v>131874.70000000001</v>
      </c>
      <c r="AP60" s="84">
        <f>+N60-'Приложение №2'!E60</f>
        <v>0</v>
      </c>
      <c r="AQ60" s="1">
        <v>180194.88</v>
      </c>
      <c r="AR60" s="1">
        <f t="shared" si="18"/>
        <v>51285.599999999999</v>
      </c>
      <c r="AS60" s="1">
        <f t="shared" si="19"/>
        <v>1810080</v>
      </c>
      <c r="AT60" s="29">
        <f t="shared" si="6"/>
        <v>769740.91405820521</v>
      </c>
    </row>
    <row r="61" spans="1:46" x14ac:dyDescent="0.25">
      <c r="A61" s="76">
        <f t="shared" si="7"/>
        <v>45</v>
      </c>
      <c r="B61" s="77">
        <f t="shared" si="8"/>
        <v>45</v>
      </c>
      <c r="C61" s="77" t="s">
        <v>72</v>
      </c>
      <c r="D61" s="77" t="s">
        <v>171</v>
      </c>
      <c r="E61" s="78">
        <v>1985</v>
      </c>
      <c r="F61" s="78">
        <v>1985</v>
      </c>
      <c r="G61" s="78" t="s">
        <v>44</v>
      </c>
      <c r="H61" s="78">
        <v>2</v>
      </c>
      <c r="I61" s="78">
        <v>2</v>
      </c>
      <c r="J61" s="44">
        <v>687.7</v>
      </c>
      <c r="K61" s="44">
        <v>539.6</v>
      </c>
      <c r="L61" s="44">
        <v>0</v>
      </c>
      <c r="M61" s="79">
        <v>34</v>
      </c>
      <c r="N61" s="129">
        <f t="shared" si="20"/>
        <v>495705.70943093998</v>
      </c>
      <c r="O61" s="75"/>
      <c r="P61" s="162"/>
      <c r="Q61" s="162"/>
      <c r="R61" s="162">
        <f>+AQ61+AR61</f>
        <v>238828.53999999998</v>
      </c>
      <c r="S61" s="162">
        <f>+'Приложение №2'!E61-'Приложение №1'!R61</f>
        <v>256877.16943094</v>
      </c>
      <c r="T61" s="161">
        <f>+'Приложение №2'!E61-'Приложение №1'!P61-'Приложение №1'!Q61-'Приложение №1'!R61-'Приложение №1'!S61</f>
        <v>0</v>
      </c>
      <c r="U61" s="68">
        <f t="shared" si="14"/>
        <v>918.65402044280938</v>
      </c>
      <c r="V61" s="68">
        <f t="shared" si="14"/>
        <v>918.65402044280938</v>
      </c>
      <c r="W61" s="80">
        <v>2022</v>
      </c>
      <c r="X61" s="29" t="e">
        <f>+#REF!-'[1]Приложение №1'!$P623</f>
        <v>#REF!</v>
      </c>
      <c r="Z61" s="31">
        <f t="shared" si="17"/>
        <v>10532880.890000001</v>
      </c>
      <c r="AA61" s="27">
        <v>0</v>
      </c>
      <c r="AB61" s="27">
        <v>0</v>
      </c>
      <c r="AC61" s="27">
        <v>539214.05775006011</v>
      </c>
      <c r="AD61" s="27">
        <v>0</v>
      </c>
      <c r="AE61" s="27">
        <v>0</v>
      </c>
      <c r="AF61" s="27"/>
      <c r="AG61" s="27">
        <v>0</v>
      </c>
      <c r="AH61" s="27">
        <v>0</v>
      </c>
      <c r="AI61" s="27">
        <v>0</v>
      </c>
      <c r="AJ61" s="27">
        <v>0</v>
      </c>
      <c r="AK61" s="27">
        <v>4448331.6324917404</v>
      </c>
      <c r="AL61" s="27">
        <v>4186109.0524272607</v>
      </c>
      <c r="AM61" s="27">
        <v>1053288.0889999999</v>
      </c>
      <c r="AN61" s="32">
        <v>105328.8089</v>
      </c>
      <c r="AO61" s="33">
        <v>200609.24943093999</v>
      </c>
      <c r="AP61" s="84">
        <f>+N61-'Приложение №2'!E61</f>
        <v>0</v>
      </c>
      <c r="AQ61" s="1">
        <v>183789.34</v>
      </c>
      <c r="AR61" s="1">
        <f t="shared" si="18"/>
        <v>55039.199999999997</v>
      </c>
      <c r="AS61" s="1">
        <f t="shared" si="19"/>
        <v>1942560</v>
      </c>
      <c r="AT61" s="29">
        <f t="shared" si="6"/>
        <v>-1685682.8305690601</v>
      </c>
    </row>
    <row r="62" spans="1:46" x14ac:dyDescent="0.25">
      <c r="A62" s="76">
        <f t="shared" si="7"/>
        <v>46</v>
      </c>
      <c r="B62" s="77">
        <f t="shared" si="8"/>
        <v>46</v>
      </c>
      <c r="C62" s="77" t="s">
        <v>72</v>
      </c>
      <c r="D62" s="77" t="s">
        <v>172</v>
      </c>
      <c r="E62" s="78">
        <v>1986</v>
      </c>
      <c r="F62" s="78">
        <v>1986</v>
      </c>
      <c r="G62" s="78" t="s">
        <v>44</v>
      </c>
      <c r="H62" s="78">
        <v>2</v>
      </c>
      <c r="I62" s="78">
        <v>2</v>
      </c>
      <c r="J62" s="44">
        <v>683.3</v>
      </c>
      <c r="K62" s="44">
        <v>610.4</v>
      </c>
      <c r="L62" s="44">
        <v>0</v>
      </c>
      <c r="M62" s="79">
        <v>44</v>
      </c>
      <c r="N62" s="129">
        <f t="shared" si="20"/>
        <v>494070.75222363998</v>
      </c>
      <c r="O62" s="75"/>
      <c r="P62" s="162">
        <v>83078.124775899807</v>
      </c>
      <c r="Q62" s="162"/>
      <c r="R62" s="162">
        <v>265705.23</v>
      </c>
      <c r="S62" s="162">
        <f>+'Приложение №2'!E62-'Приложение №1'!P62-'Приложение №1'!Q62-'Приложение №1'!R62</f>
        <v>145287.39744774019</v>
      </c>
      <c r="T62" s="161">
        <f>+'Приложение №2'!E62-'Приложение №1'!P62-'Приложение №1'!Q62-'Приложение №1'!R62-'Приложение №1'!S62</f>
        <v>0</v>
      </c>
      <c r="U62" s="68">
        <f t="shared" si="14"/>
        <v>809.42128477005247</v>
      </c>
      <c r="V62" s="68">
        <f t="shared" si="14"/>
        <v>809.42128477005247</v>
      </c>
      <c r="W62" s="80">
        <v>2022</v>
      </c>
      <c r="X62" s="29" t="e">
        <f>+#REF!-'[1]Приложение №1'!$P624</f>
        <v>#REF!</v>
      </c>
      <c r="Z62" s="31">
        <f t="shared" si="17"/>
        <v>7665708.8647758998</v>
      </c>
      <c r="AA62" s="27">
        <v>0</v>
      </c>
      <c r="AB62" s="27">
        <v>0</v>
      </c>
      <c r="AC62" s="27">
        <v>534819.48515225993</v>
      </c>
      <c r="AD62" s="27">
        <v>0</v>
      </c>
      <c r="AE62" s="27">
        <v>0</v>
      </c>
      <c r="AF62" s="27"/>
      <c r="AG62" s="27">
        <v>0</v>
      </c>
      <c r="AH62" s="27">
        <v>0</v>
      </c>
      <c r="AI62" s="27">
        <v>0</v>
      </c>
      <c r="AJ62" s="27">
        <v>0</v>
      </c>
      <c r="AK62" s="27">
        <v>2395084.1800000006</v>
      </c>
      <c r="AL62" s="27">
        <v>3387656.69</v>
      </c>
      <c r="AM62" s="27">
        <v>1044703.834</v>
      </c>
      <c r="AN62" s="32">
        <v>104470.38340000001</v>
      </c>
      <c r="AO62" s="33">
        <v>198974.29222363996</v>
      </c>
      <c r="AP62" s="84">
        <f>+N62-'Приложение №2'!E62</f>
        <v>0</v>
      </c>
      <c r="AQ62" s="1">
        <v>203638.23</v>
      </c>
      <c r="AR62" s="1">
        <f t="shared" si="18"/>
        <v>62260.799999999996</v>
      </c>
      <c r="AS62" s="1">
        <f>+(K62*10+L62*20)*12*30-656415.36</f>
        <v>1541024.6400000001</v>
      </c>
      <c r="AT62" s="29">
        <f t="shared" si="6"/>
        <v>-1395737.2425522599</v>
      </c>
    </row>
    <row r="63" spans="1:46" x14ac:dyDescent="0.25">
      <c r="A63" s="76">
        <f t="shared" si="7"/>
        <v>47</v>
      </c>
      <c r="B63" s="77">
        <f t="shared" si="8"/>
        <v>47</v>
      </c>
      <c r="C63" s="77" t="s">
        <v>72</v>
      </c>
      <c r="D63" s="77" t="s">
        <v>315</v>
      </c>
      <c r="E63" s="78">
        <v>1981</v>
      </c>
      <c r="F63" s="78">
        <v>2013</v>
      </c>
      <c r="G63" s="78" t="s">
        <v>51</v>
      </c>
      <c r="H63" s="78">
        <v>5</v>
      </c>
      <c r="I63" s="78">
        <v>4</v>
      </c>
      <c r="J63" s="44">
        <v>4685.6000000000004</v>
      </c>
      <c r="K63" s="44">
        <v>4258.2</v>
      </c>
      <c r="L63" s="44">
        <v>0</v>
      </c>
      <c r="M63" s="79">
        <v>196</v>
      </c>
      <c r="N63" s="129">
        <f t="shared" si="20"/>
        <v>20563603.904344082</v>
      </c>
      <c r="O63" s="44"/>
      <c r="P63" s="162">
        <v>5434056.3399999999</v>
      </c>
      <c r="Q63" s="162"/>
      <c r="R63" s="162">
        <f>+AQ63+AR63</f>
        <v>1556339.8599999999</v>
      </c>
      <c r="S63" s="162">
        <v>8960527.3300000001</v>
      </c>
      <c r="T63" s="161">
        <f>+'Приложение №2'!E63-'Приложение №1'!P63-'Приложение №1'!Q63-'Приложение №1'!R63-'Приложение №1'!S63</f>
        <v>4612680.3743440825</v>
      </c>
      <c r="U63" s="68">
        <f t="shared" si="14"/>
        <v>4829.1775643098217</v>
      </c>
      <c r="V63" s="68">
        <f t="shared" si="14"/>
        <v>4829.1775643098217</v>
      </c>
      <c r="W63" s="80">
        <v>2022</v>
      </c>
      <c r="X63" s="29" t="e">
        <f>+#REF!-'[1]Приложение №1'!$P1001</f>
        <v>#REF!</v>
      </c>
      <c r="Z63" s="31">
        <f t="shared" si="17"/>
        <v>53162190.114960879</v>
      </c>
      <c r="AA63" s="27">
        <v>7102961.0915554194</v>
      </c>
      <c r="AB63" s="27"/>
      <c r="AD63" s="27"/>
      <c r="AE63" s="27">
        <v>1322689.13658126</v>
      </c>
      <c r="AF63" s="27"/>
      <c r="AG63" s="27">
        <v>352944.26574120001</v>
      </c>
      <c r="AH63" s="27">
        <v>0</v>
      </c>
      <c r="AI63" s="27"/>
      <c r="AJ63" s="27">
        <v>0</v>
      </c>
      <c r="AK63" s="27">
        <v>24549081.498129718</v>
      </c>
      <c r="AL63" s="27">
        <v>9654838.8947262019</v>
      </c>
      <c r="AM63" s="27">
        <v>7930358.6941000009</v>
      </c>
      <c r="AN63" s="32">
        <v>775676.97370000009</v>
      </c>
      <c r="AO63" s="33">
        <v>1473639.5604270801</v>
      </c>
      <c r="AP63" s="84">
        <f>+N63-'Приложение №2'!E63</f>
        <v>0</v>
      </c>
      <c r="AQ63" s="1">
        <f>1979236.76-807117.21-50116.09</f>
        <v>1122003.46</v>
      </c>
      <c r="AR63" s="1">
        <f t="shared" si="18"/>
        <v>434336.39999999997</v>
      </c>
      <c r="AS63" s="1">
        <f>+(K63*10+L63*20)*12*30-6222132.17-133900.5</f>
        <v>8973487.3300000001</v>
      </c>
      <c r="AT63" s="29">
        <f t="shared" si="6"/>
        <v>-12960</v>
      </c>
    </row>
    <row r="64" spans="1:46" x14ac:dyDescent="0.25">
      <c r="A64" s="76">
        <f t="shared" si="7"/>
        <v>48</v>
      </c>
      <c r="B64" s="77">
        <f t="shared" si="8"/>
        <v>48</v>
      </c>
      <c r="C64" s="77" t="s">
        <v>72</v>
      </c>
      <c r="D64" s="77" t="s">
        <v>316</v>
      </c>
      <c r="E64" s="78">
        <v>1963</v>
      </c>
      <c r="F64" s="78">
        <v>2013</v>
      </c>
      <c r="G64" s="78" t="s">
        <v>44</v>
      </c>
      <c r="H64" s="78">
        <v>4</v>
      </c>
      <c r="I64" s="78">
        <v>4</v>
      </c>
      <c r="J64" s="44">
        <v>5268.75</v>
      </c>
      <c r="K64" s="44">
        <v>3170.15</v>
      </c>
      <c r="L64" s="44">
        <v>2098.6</v>
      </c>
      <c r="M64" s="79">
        <v>92</v>
      </c>
      <c r="N64" s="129">
        <f t="shared" si="20"/>
        <v>26746433.920307986</v>
      </c>
      <c r="O64" s="44"/>
      <c r="P64" s="162">
        <v>1562915.7000000002</v>
      </c>
      <c r="Q64" s="162"/>
      <c r="R64" s="162">
        <f>+AQ64+AR64</f>
        <v>3803443.1100000003</v>
      </c>
      <c r="S64" s="162">
        <f>'Приложение №2'!E64-'Приложение №1'!P64-'Приложение №1'!R64-'Приложение №1'!T64</f>
        <v>12513319.680307984</v>
      </c>
      <c r="T64" s="161">
        <v>8866755.4299999997</v>
      </c>
      <c r="U64" s="68">
        <f t="shared" si="14"/>
        <v>5076.428739322987</v>
      </c>
      <c r="V64" s="68">
        <f t="shared" si="14"/>
        <v>5076.428739322987</v>
      </c>
      <c r="W64" s="80">
        <v>2022</v>
      </c>
      <c r="X64" s="29" t="e">
        <f>+#REF!-'[1]Приложение №1'!$P1002</f>
        <v>#REF!</v>
      </c>
      <c r="Z64" s="31">
        <f t="shared" si="17"/>
        <v>55905524.456026562</v>
      </c>
      <c r="AA64" s="27">
        <v>8910375.1309635937</v>
      </c>
      <c r="AB64" s="27">
        <v>3183729.7650160287</v>
      </c>
      <c r="AC64" s="27">
        <v>3374754.2381990571</v>
      </c>
      <c r="AD64" s="27">
        <v>2149419.7980030486</v>
      </c>
      <c r="AE64" s="27">
        <v>1581654.1276199999</v>
      </c>
      <c r="AF64" s="27"/>
      <c r="AG64" s="27">
        <v>320562.32128199999</v>
      </c>
      <c r="AH64" s="27">
        <v>0</v>
      </c>
      <c r="AI64" s="27">
        <v>16307858.936562859</v>
      </c>
      <c r="AJ64" s="27">
        <v>0</v>
      </c>
      <c r="AK64" s="27">
        <v>8424086.4921022002</v>
      </c>
      <c r="AL64" s="27">
        <v>9161049.1317717694</v>
      </c>
      <c r="AM64" s="27">
        <v>1263665.5900000001</v>
      </c>
      <c r="AN64" s="27">
        <v>60324.08</v>
      </c>
      <c r="AO64" s="33">
        <v>1168044.8445060002</v>
      </c>
      <c r="AP64" s="84">
        <f>+N64-'Приложение №2'!E64</f>
        <v>0</v>
      </c>
      <c r="AQ64" s="1">
        <v>3051973.41</v>
      </c>
      <c r="AR64" s="1">
        <f t="shared" si="18"/>
        <v>751469.7</v>
      </c>
      <c r="AS64" s="1">
        <f>+(K64*10+L64*20)*12*30</f>
        <v>26522460</v>
      </c>
      <c r="AT64" s="29">
        <f t="shared" si="6"/>
        <v>-14009140.319692016</v>
      </c>
    </row>
    <row r="65" spans="1:51" x14ac:dyDescent="0.25">
      <c r="A65" s="76">
        <f t="shared" si="7"/>
        <v>49</v>
      </c>
      <c r="B65" s="77">
        <f t="shared" si="8"/>
        <v>49</v>
      </c>
      <c r="C65" s="77" t="s">
        <v>72</v>
      </c>
      <c r="D65" s="77" t="s">
        <v>467</v>
      </c>
      <c r="E65" s="78">
        <v>1962</v>
      </c>
      <c r="F65" s="78">
        <v>2013</v>
      </c>
      <c r="G65" s="78" t="s">
        <v>44</v>
      </c>
      <c r="H65" s="78">
        <v>3</v>
      </c>
      <c r="I65" s="78">
        <v>4</v>
      </c>
      <c r="J65" s="44">
        <v>2475.3000000000002</v>
      </c>
      <c r="K65" s="44">
        <v>1760.3</v>
      </c>
      <c r="L65" s="44">
        <v>633.70000000000005</v>
      </c>
      <c r="M65" s="79">
        <v>67</v>
      </c>
      <c r="N65" s="72">
        <f t="shared" si="20"/>
        <v>701860.01140024001</v>
      </c>
      <c r="O65" s="44"/>
      <c r="P65" s="162"/>
      <c r="Q65" s="162"/>
      <c r="R65" s="162">
        <f>+'Приложение №2'!E65</f>
        <v>701860.01140024001</v>
      </c>
      <c r="S65" s="162">
        <f>+'Приложение №2'!E65-'Приложение №1'!R65</f>
        <v>0</v>
      </c>
      <c r="T65" s="162">
        <f>+'Приложение №2'!E65-'Приложение №1'!P65-'Приложение №1'!Q65-'Приложение №1'!R65-'Приложение №1'!S65</f>
        <v>0</v>
      </c>
      <c r="U65" s="44">
        <f t="shared" si="14"/>
        <v>293.1746079366082</v>
      </c>
      <c r="V65" s="44">
        <f t="shared" si="14"/>
        <v>293.1746079366082</v>
      </c>
      <c r="W65" s="80">
        <v>2022</v>
      </c>
      <c r="X65" s="29" t="e">
        <f>+#REF!-'[1]Приложение №1'!$P1603</f>
        <v>#REF!</v>
      </c>
      <c r="Z65" s="31">
        <f t="shared" si="17"/>
        <v>42587143.969999999</v>
      </c>
      <c r="AA65" s="27">
        <v>7066614.7537494609</v>
      </c>
      <c r="AB65" s="27">
        <v>4299926.4446779201</v>
      </c>
      <c r="AC65" s="27">
        <v>2026161.64019976</v>
      </c>
      <c r="AD65" s="27">
        <v>1726716.820332</v>
      </c>
      <c r="AE65" s="27">
        <v>927837.09472608019</v>
      </c>
      <c r="AF65" s="27"/>
      <c r="AG65" s="27">
        <v>721134.15164699999</v>
      </c>
      <c r="AH65" s="27">
        <v>0</v>
      </c>
      <c r="AI65" s="27">
        <v>20442556.221607797</v>
      </c>
      <c r="AJ65" s="27">
        <v>0</v>
      </c>
      <c r="AK65" s="27">
        <v>0</v>
      </c>
      <c r="AL65" s="27">
        <v>0</v>
      </c>
      <c r="AM65" s="27">
        <v>4136597.3545999997</v>
      </c>
      <c r="AN65" s="32">
        <v>425871.43969999999</v>
      </c>
      <c r="AO65" s="33">
        <v>813728.04875998001</v>
      </c>
      <c r="AP65" s="84">
        <f>+N65-'Приложение №2'!E65</f>
        <v>0</v>
      </c>
      <c r="AQ65" s="1">
        <v>1210415.78</v>
      </c>
      <c r="AR65" s="1">
        <f t="shared" si="18"/>
        <v>308825.39999999997</v>
      </c>
      <c r="AS65" s="1">
        <f>+(K65*10+L65*20)*12*30-4713256</f>
        <v>6186464</v>
      </c>
      <c r="AT65" s="29">
        <f t="shared" si="6"/>
        <v>-6186464</v>
      </c>
    </row>
    <row r="66" spans="1:51" s="35" customFormat="1" x14ac:dyDescent="0.25">
      <c r="A66" s="76">
        <f t="shared" si="7"/>
        <v>50</v>
      </c>
      <c r="B66" s="77">
        <f t="shared" si="8"/>
        <v>50</v>
      </c>
      <c r="C66" s="77" t="s">
        <v>72</v>
      </c>
      <c r="D66" s="77" t="s">
        <v>560</v>
      </c>
      <c r="E66" s="78" t="s">
        <v>569</v>
      </c>
      <c r="F66" s="78"/>
      <c r="G66" s="78" t="s">
        <v>570</v>
      </c>
      <c r="H66" s="78" t="s">
        <v>571</v>
      </c>
      <c r="I66" s="78" t="s">
        <v>572</v>
      </c>
      <c r="J66" s="44">
        <v>6441.2</v>
      </c>
      <c r="K66" s="44">
        <v>4463.1000000000004</v>
      </c>
      <c r="L66" s="44">
        <v>1969.2</v>
      </c>
      <c r="M66" s="79">
        <v>152</v>
      </c>
      <c r="N66" s="129">
        <f t="shared" si="20"/>
        <v>6059622.2357299505</v>
      </c>
      <c r="O66" s="44">
        <v>0</v>
      </c>
      <c r="P66" s="162"/>
      <c r="Q66" s="162">
        <v>0</v>
      </c>
      <c r="R66" s="162">
        <f>+AQ66+AR66</f>
        <v>5329893.6566000003</v>
      </c>
      <c r="S66" s="162">
        <f>+'Приложение №2'!E66-'Приложение №1'!R66</f>
        <v>729728.57912995014</v>
      </c>
      <c r="T66" s="161">
        <f>+'Приложение №2'!E66-'Приложение №1'!P66-'Приложение №1'!Q66-'Приложение №1'!R66-'Приложение №1'!S66</f>
        <v>0</v>
      </c>
      <c r="U66" s="68">
        <f>N66/K66</f>
        <v>1357.7159901704981</v>
      </c>
      <c r="V66" s="68">
        <v>1172.2830200640003</v>
      </c>
      <c r="W66" s="80">
        <v>2022</v>
      </c>
      <c r="X66" s="35">
        <v>3464637.96</v>
      </c>
      <c r="Y66" s="35">
        <f>+(K66*12.08+L66*20.47)*12</f>
        <v>1130685.264</v>
      </c>
      <c r="AA66" s="36">
        <f>+N66-'[5]Приложение № 2'!E64</f>
        <v>1291182.8557299506</v>
      </c>
      <c r="AD66" s="36">
        <f>+N66-'[5]Приложение № 2'!E64</f>
        <v>1291182.8557299506</v>
      </c>
      <c r="AP66" s="84">
        <f>+N66-'Приложение №2'!E66</f>
        <v>0</v>
      </c>
      <c r="AQ66" s="35">
        <v>4272551.63</v>
      </c>
      <c r="AR66" s="1">
        <f>+(K66*13.29+L66*22.52)*12*0.85</f>
        <v>1057342.0266</v>
      </c>
      <c r="AS66" s="1">
        <f>+(K66*13.29+L66*22.52)*12*30</f>
        <v>37317953.880000003</v>
      </c>
      <c r="AT66" s="29">
        <f t="shared" si="6"/>
        <v>-36588225.300870053</v>
      </c>
    </row>
    <row r="67" spans="1:51" s="35" customFormat="1" x14ac:dyDescent="0.25">
      <c r="A67" s="76">
        <f t="shared" si="7"/>
        <v>51</v>
      </c>
      <c r="B67" s="77">
        <f t="shared" si="8"/>
        <v>51</v>
      </c>
      <c r="C67" s="77" t="s">
        <v>72</v>
      </c>
      <c r="D67" s="77" t="s">
        <v>561</v>
      </c>
      <c r="E67" s="78" t="s">
        <v>569</v>
      </c>
      <c r="F67" s="78"/>
      <c r="G67" s="78" t="s">
        <v>573</v>
      </c>
      <c r="H67" s="78" t="s">
        <v>574</v>
      </c>
      <c r="I67" s="78" t="s">
        <v>572</v>
      </c>
      <c r="J67" s="44">
        <v>5186.3599999999997</v>
      </c>
      <c r="K67" s="44">
        <v>4076.7</v>
      </c>
      <c r="L67" s="44">
        <v>540.4</v>
      </c>
      <c r="M67" s="79">
        <v>130</v>
      </c>
      <c r="N67" s="129">
        <f t="shared" si="20"/>
        <v>6048926.2934416514</v>
      </c>
      <c r="O67" s="44">
        <v>0</v>
      </c>
      <c r="P67" s="162"/>
      <c r="Q67" s="162">
        <v>0</v>
      </c>
      <c r="R67" s="162">
        <f>+AQ67+AR67</f>
        <v>3933138.0602000002</v>
      </c>
      <c r="S67" s="162">
        <f>+'Приложение №2'!E67-'Приложение №1'!R67</f>
        <v>2115788.2332416512</v>
      </c>
      <c r="T67" s="161">
        <f>+'Приложение №2'!E67-'Приложение №1'!P67-'Приложение №1'!Q67-'Приложение №1'!R67-'Приложение №1'!S67</f>
        <v>0</v>
      </c>
      <c r="U67" s="68">
        <f>N67/K67</f>
        <v>1483.7800901321293</v>
      </c>
      <c r="V67" s="68">
        <v>1172.2830200640003</v>
      </c>
      <c r="W67" s="80">
        <v>2022</v>
      </c>
      <c r="X67" s="35">
        <v>2572778.1</v>
      </c>
      <c r="Y67" s="35">
        <f>+(K67*12.08+L67*20.47)*12</f>
        <v>723702.28799999994</v>
      </c>
      <c r="AA67" s="36">
        <f>+N67-'[5]Приложение № 2'!E65</f>
        <v>1592281.5734416516</v>
      </c>
      <c r="AD67" s="36">
        <f>+N67-'[5]Приложение № 2'!E65</f>
        <v>1592281.5734416516</v>
      </c>
      <c r="AP67" s="84">
        <f>+N67-'Приложение №2'!E67</f>
        <v>0</v>
      </c>
      <c r="AQ67" s="35">
        <v>3256376.72</v>
      </c>
      <c r="AR67" s="1">
        <f>+(K67*13.29+L67*22.52)*12*0.85</f>
        <v>676761.34019999986</v>
      </c>
      <c r="AS67" s="1">
        <f>+(K67*13.29+L67*22.52)*12*30</f>
        <v>23885694.359999999</v>
      </c>
      <c r="AT67" s="29">
        <f t="shared" si="6"/>
        <v>-21769906.126758348</v>
      </c>
    </row>
    <row r="68" spans="1:51" x14ac:dyDescent="0.25">
      <c r="A68" s="76">
        <f t="shared" si="7"/>
        <v>52</v>
      </c>
      <c r="B68" s="77">
        <f t="shared" si="8"/>
        <v>52</v>
      </c>
      <c r="C68" s="77" t="s">
        <v>72</v>
      </c>
      <c r="D68" s="77" t="s">
        <v>464</v>
      </c>
      <c r="E68" s="78">
        <v>1968</v>
      </c>
      <c r="F68" s="78">
        <v>2013</v>
      </c>
      <c r="G68" s="78" t="s">
        <v>44</v>
      </c>
      <c r="H68" s="78">
        <v>5</v>
      </c>
      <c r="I68" s="78">
        <v>4</v>
      </c>
      <c r="J68" s="44">
        <v>3228.9</v>
      </c>
      <c r="K68" s="44">
        <v>2518.9</v>
      </c>
      <c r="L68" s="44">
        <v>710</v>
      </c>
      <c r="M68" s="79">
        <v>136</v>
      </c>
      <c r="N68" s="72">
        <f>+P68+Q68+R68+S68+T68</f>
        <v>1143075.80756688</v>
      </c>
      <c r="O68" s="44"/>
      <c r="P68" s="162"/>
      <c r="Q68" s="162"/>
      <c r="R68" s="162">
        <f>+'Приложение №2'!E68</f>
        <v>1143075.80756688</v>
      </c>
      <c r="S68" s="162">
        <f>+'Приложение №2'!E68-'Приложение №1'!R68</f>
        <v>0</v>
      </c>
      <c r="T68" s="162">
        <v>0</v>
      </c>
      <c r="U68" s="44">
        <f>$N68/($K68+$L68)</f>
        <v>354.01400091885159</v>
      </c>
      <c r="V68" s="44">
        <f>$N68/($K68+$L68)</f>
        <v>354.01400091885159</v>
      </c>
      <c r="W68" s="80">
        <v>2022</v>
      </c>
      <c r="X68" s="29" t="e">
        <f>+#REF!-'[1]Приложение №1'!$P1407</f>
        <v>#REF!</v>
      </c>
      <c r="Z68" s="31">
        <f>SUM(AA68:AO68)</f>
        <v>27107198.400000002</v>
      </c>
      <c r="AA68" s="27">
        <v>5940143.1063865805</v>
      </c>
      <c r="AB68" s="27">
        <v>2116717.1923795803</v>
      </c>
      <c r="AC68" s="27">
        <v>2211498.4827243001</v>
      </c>
      <c r="AD68" s="27">
        <v>1384537.88247348</v>
      </c>
      <c r="AE68" s="27">
        <v>847110.81731472013</v>
      </c>
      <c r="AF68" s="27"/>
      <c r="AG68" s="27">
        <v>227939.55009504</v>
      </c>
      <c r="AH68" s="27">
        <v>0</v>
      </c>
      <c r="AI68" s="27">
        <v>10859485.412210401</v>
      </c>
      <c r="AJ68" s="27">
        <v>0</v>
      </c>
      <c r="AK68" s="27">
        <v>0</v>
      </c>
      <c r="AL68" s="27">
        <v>0</v>
      </c>
      <c r="AM68" s="27">
        <v>2732884.5975000001</v>
      </c>
      <c r="AN68" s="32">
        <v>271071.984</v>
      </c>
      <c r="AO68" s="33">
        <v>515809.3749159</v>
      </c>
      <c r="AP68" s="84">
        <f>+N68-'Приложение №2'!E68</f>
        <v>0</v>
      </c>
      <c r="AQ68" s="1">
        <v>1993779.07</v>
      </c>
      <c r="AR68" s="1">
        <f>+(K68*10+L68*20)*12*0.85</f>
        <v>401767.8</v>
      </c>
      <c r="AS68" s="1">
        <f>+(K68*10+L68*20)*12*30</f>
        <v>14180040</v>
      </c>
      <c r="AT68" s="29">
        <f>+S68-AS68</f>
        <v>-14180040</v>
      </c>
      <c r="AU68" s="29">
        <f>+P68-'[6]Приложение №1'!$P264</f>
        <v>0</v>
      </c>
      <c r="AV68" s="29">
        <f>+Q68-'[6]Приложение №1'!$Q264</f>
        <v>0</v>
      </c>
      <c r="AW68" s="29">
        <f>+R68-'[6]Приложение №1'!$R264</f>
        <v>1399.0099999997765</v>
      </c>
      <c r="AX68" s="29">
        <f>+S68-'[6]Приложение №1'!$S264</f>
        <v>0</v>
      </c>
      <c r="AY68" s="29">
        <f>+T68-'[6]Приложение №1'!$T264</f>
        <v>0</v>
      </c>
    </row>
    <row r="69" spans="1:51" x14ac:dyDescent="0.25">
      <c r="A69" s="76">
        <f t="shared" si="7"/>
        <v>53</v>
      </c>
      <c r="B69" s="77">
        <f t="shared" si="8"/>
        <v>53</v>
      </c>
      <c r="C69" s="77" t="s">
        <v>72</v>
      </c>
      <c r="D69" s="77" t="s">
        <v>465</v>
      </c>
      <c r="E69" s="78">
        <v>1965</v>
      </c>
      <c r="F69" s="78">
        <v>2005</v>
      </c>
      <c r="G69" s="78" t="s">
        <v>44</v>
      </c>
      <c r="H69" s="78">
        <v>4</v>
      </c>
      <c r="I69" s="78">
        <v>2</v>
      </c>
      <c r="J69" s="44">
        <v>1948.5</v>
      </c>
      <c r="K69" s="44">
        <v>1410</v>
      </c>
      <c r="L69" s="44">
        <v>537.70000000000005</v>
      </c>
      <c r="M69" s="79">
        <v>38</v>
      </c>
      <c r="N69" s="129">
        <f t="shared" si="20"/>
        <v>784502.32414875994</v>
      </c>
      <c r="O69" s="44"/>
      <c r="P69" s="162"/>
      <c r="Q69" s="162"/>
      <c r="R69" s="162">
        <f>+'Приложение №2'!E69</f>
        <v>784502.32414875994</v>
      </c>
      <c r="S69" s="162">
        <f>+'Приложение №2'!E69-'Приложение №1'!R69</f>
        <v>0</v>
      </c>
      <c r="T69" s="161"/>
      <c r="U69" s="68">
        <f t="shared" ref="U69:V85" si="21">$N69/($K69+$L69)</f>
        <v>402.78396269895768</v>
      </c>
      <c r="V69" s="68">
        <f t="shared" si="21"/>
        <v>402.78396269895768</v>
      </c>
      <c r="W69" s="80">
        <v>2022</v>
      </c>
      <c r="X69" s="29" t="e">
        <f>+#REF!-'[1]Приложение №1'!$P1408</f>
        <v>#REF!</v>
      </c>
      <c r="Z69" s="31">
        <f t="shared" ref="Z69:Z85" si="22">SUM(AA69:AO69)</f>
        <v>10380935.740000002</v>
      </c>
      <c r="AA69" s="27">
        <v>4172919.5503249806</v>
      </c>
      <c r="AB69" s="27">
        <v>1486982.7864103799</v>
      </c>
      <c r="AC69" s="27">
        <v>1553566.1571465</v>
      </c>
      <c r="AD69" s="27">
        <v>972630.6372728399</v>
      </c>
      <c r="AE69" s="27">
        <v>595090.92894678004</v>
      </c>
      <c r="AF69" s="27"/>
      <c r="AG69" s="27">
        <v>160126.34455524001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1140281.4974</v>
      </c>
      <c r="AN69" s="32">
        <v>103809.35740000001</v>
      </c>
      <c r="AO69" s="33">
        <v>195528.48054327999</v>
      </c>
      <c r="AP69" s="84">
        <f>+N69-'Приложение №2'!E69</f>
        <v>0</v>
      </c>
      <c r="AQ69" s="1">
        <v>945052.78</v>
      </c>
      <c r="AR69" s="1">
        <f>+(K69*10+L69*20)*12*0.85</f>
        <v>253510.8</v>
      </c>
      <c r="AS69" s="1">
        <f>+(K69*10+L69*20)*12*30</f>
        <v>8947440</v>
      </c>
      <c r="AT69" s="29">
        <f t="shared" si="6"/>
        <v>-8947440</v>
      </c>
    </row>
    <row r="70" spans="1:51" x14ac:dyDescent="0.25">
      <c r="A70" s="76">
        <f t="shared" si="7"/>
        <v>54</v>
      </c>
      <c r="B70" s="77">
        <f t="shared" si="8"/>
        <v>54</v>
      </c>
      <c r="C70" s="77" t="s">
        <v>72</v>
      </c>
      <c r="D70" s="77" t="s">
        <v>466</v>
      </c>
      <c r="E70" s="78">
        <v>1963</v>
      </c>
      <c r="F70" s="78">
        <v>2013</v>
      </c>
      <c r="G70" s="78" t="s">
        <v>44</v>
      </c>
      <c r="H70" s="78">
        <v>4</v>
      </c>
      <c r="I70" s="78">
        <v>3</v>
      </c>
      <c r="J70" s="44">
        <v>2328.4</v>
      </c>
      <c r="K70" s="44">
        <v>1950.9</v>
      </c>
      <c r="L70" s="44">
        <v>377.5</v>
      </c>
      <c r="M70" s="79">
        <v>49</v>
      </c>
      <c r="N70" s="129">
        <f t="shared" si="20"/>
        <v>4592465.8816174399</v>
      </c>
      <c r="O70" s="44"/>
      <c r="P70" s="162"/>
      <c r="Q70" s="162"/>
      <c r="R70" s="162">
        <f>+'Приложение №2'!E70-'Приложение №1'!P70-'Приложение №1'!S70</f>
        <v>761274.89161743969</v>
      </c>
      <c r="S70" s="162">
        <v>3831190.99</v>
      </c>
      <c r="T70" s="161">
        <f>+'Приложение №2'!E70-'Приложение №1'!P70-'Приложение №1'!Q70-'Приложение №1'!R70-'Приложение №1'!S70</f>
        <v>0</v>
      </c>
      <c r="U70" s="68">
        <f t="shared" si="21"/>
        <v>1972.3698168774436</v>
      </c>
      <c r="V70" s="68">
        <f t="shared" si="21"/>
        <v>1972.3698168774436</v>
      </c>
      <c r="W70" s="80">
        <v>2022</v>
      </c>
      <c r="X70" s="29" t="e">
        <f>+#REF!-'[1]Приложение №1'!$P1409</f>
        <v>#REF!</v>
      </c>
      <c r="Z70" s="31">
        <f t="shared" si="22"/>
        <v>11906775.319999998</v>
      </c>
      <c r="AA70" s="27">
        <v>4786275.2192018395</v>
      </c>
      <c r="AB70" s="27">
        <v>1705546.6285494</v>
      </c>
      <c r="AC70" s="27">
        <v>1781916.7351927198</v>
      </c>
      <c r="AD70" s="27">
        <v>1115592.5413768801</v>
      </c>
      <c r="AE70" s="27">
        <v>682560.24163362011</v>
      </c>
      <c r="AF70" s="27"/>
      <c r="AG70" s="27">
        <v>183662.48366172001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1307885.5255</v>
      </c>
      <c r="AN70" s="32">
        <v>119067.75319999999</v>
      </c>
      <c r="AO70" s="33">
        <v>224268.19168382001</v>
      </c>
      <c r="AP70" s="84">
        <f>+N70-'Приложение №2'!E70</f>
        <v>0</v>
      </c>
      <c r="AQ70" s="1">
        <v>1234380.76</v>
      </c>
      <c r="AR70" s="1">
        <f>+(K70*10+L70*20)*12*0.85</f>
        <v>276001.8</v>
      </c>
      <c r="AS70" s="1">
        <f>+(K70*10+L70*20)*12*30</f>
        <v>9741240</v>
      </c>
      <c r="AT70" s="29">
        <f t="shared" si="6"/>
        <v>-5910049.0099999998</v>
      </c>
    </row>
    <row r="71" spans="1:51" x14ac:dyDescent="0.25">
      <c r="A71" s="76">
        <f t="shared" si="7"/>
        <v>55</v>
      </c>
      <c r="B71" s="77">
        <f t="shared" si="8"/>
        <v>55</v>
      </c>
      <c r="C71" s="77" t="s">
        <v>72</v>
      </c>
      <c r="D71" s="77" t="s">
        <v>319</v>
      </c>
      <c r="E71" s="78">
        <v>1989</v>
      </c>
      <c r="F71" s="78">
        <v>2017</v>
      </c>
      <c r="G71" s="78" t="s">
        <v>51</v>
      </c>
      <c r="H71" s="78">
        <v>9</v>
      </c>
      <c r="I71" s="78">
        <v>3</v>
      </c>
      <c r="J71" s="44">
        <v>7106.9</v>
      </c>
      <c r="K71" s="44">
        <v>6247.4</v>
      </c>
      <c r="L71" s="44">
        <v>0</v>
      </c>
      <c r="M71" s="79">
        <v>249</v>
      </c>
      <c r="N71" s="129">
        <f t="shared" si="20"/>
        <v>3114149.7142166197</v>
      </c>
      <c r="O71" s="44"/>
      <c r="P71" s="162"/>
      <c r="Q71" s="162"/>
      <c r="R71" s="162">
        <v>1911934.4542166202</v>
      </c>
      <c r="S71" s="162">
        <v>1008444.16</v>
      </c>
      <c r="T71" s="161">
        <f>+'Приложение №2'!E71-'Приложение №1'!P71-'Приложение №1'!Q71-'Приложение №1'!R71-'Приложение №1'!S71</f>
        <v>193771.09999999951</v>
      </c>
      <c r="U71" s="68">
        <f t="shared" si="21"/>
        <v>498.47131834308993</v>
      </c>
      <c r="V71" s="68">
        <f t="shared" si="21"/>
        <v>498.47131834308993</v>
      </c>
      <c r="W71" s="80">
        <v>2022</v>
      </c>
      <c r="X71" s="29" t="e">
        <f>+#REF!-'[1]Приложение №1'!$P366</f>
        <v>#REF!</v>
      </c>
      <c r="Z71" s="31">
        <f t="shared" si="22"/>
        <v>25881031.239999995</v>
      </c>
      <c r="AA71" s="27"/>
      <c r="AB71" s="27"/>
      <c r="AC71" s="27"/>
      <c r="AD71" s="27"/>
      <c r="AE71" s="27">
        <v>0</v>
      </c>
      <c r="AF71" s="27"/>
      <c r="AG71" s="27"/>
      <c r="AH71" s="27">
        <v>0</v>
      </c>
      <c r="AI71" s="27"/>
      <c r="AJ71" s="27">
        <v>0</v>
      </c>
      <c r="AK71" s="27">
        <v>25881031.239999995</v>
      </c>
      <c r="AL71" s="27">
        <v>0</v>
      </c>
      <c r="AM71" s="27"/>
      <c r="AN71" s="32"/>
      <c r="AO71" s="33"/>
      <c r="AP71" s="84">
        <f>+N71-'Приложение №2'!E71</f>
        <v>0</v>
      </c>
      <c r="AQ71" s="1">
        <v>2787898.61</v>
      </c>
      <c r="AR71" s="1">
        <f>+(K71*13.29+L71*22.52)*12*0.85</f>
        <v>846885.04919999989</v>
      </c>
      <c r="AS71" s="1">
        <f>+(K71*13.29+L71*22.52)*12*30-131853.4</f>
        <v>29758207.16</v>
      </c>
      <c r="AT71" s="29">
        <f t="shared" si="6"/>
        <v>-28749763</v>
      </c>
    </row>
    <row r="72" spans="1:51" x14ac:dyDescent="0.25">
      <c r="A72" s="76">
        <f t="shared" si="7"/>
        <v>56</v>
      </c>
      <c r="B72" s="77">
        <f t="shared" si="8"/>
        <v>56</v>
      </c>
      <c r="C72" s="77" t="s">
        <v>72</v>
      </c>
      <c r="D72" s="77" t="s">
        <v>320</v>
      </c>
      <c r="E72" s="78">
        <v>1989</v>
      </c>
      <c r="F72" s="78">
        <v>2017</v>
      </c>
      <c r="G72" s="78" t="s">
        <v>51</v>
      </c>
      <c r="H72" s="78">
        <v>9</v>
      </c>
      <c r="I72" s="78">
        <v>3</v>
      </c>
      <c r="J72" s="44">
        <v>8049.4</v>
      </c>
      <c r="K72" s="44">
        <v>6639.6</v>
      </c>
      <c r="L72" s="44">
        <v>0</v>
      </c>
      <c r="M72" s="79">
        <v>258</v>
      </c>
      <c r="N72" s="129">
        <f t="shared" si="20"/>
        <v>3385337.9774930598</v>
      </c>
      <c r="O72" s="44"/>
      <c r="P72" s="162"/>
      <c r="Q72" s="162"/>
      <c r="R72" s="162"/>
      <c r="S72" s="162">
        <f>+'Приложение №2'!E72-'Приложение №1'!P72-'Приложение №1'!Q72-'Приложение №1'!R72</f>
        <v>3385337.9774930598</v>
      </c>
      <c r="T72" s="161">
        <f>+'Приложение №2'!E72-'Приложение №1'!P72-'Приложение №1'!Q72-'Приложение №1'!R72-'Приложение №1'!S72</f>
        <v>0</v>
      </c>
      <c r="U72" s="68">
        <f t="shared" si="21"/>
        <v>509.87077195810889</v>
      </c>
      <c r="V72" s="68">
        <f t="shared" si="21"/>
        <v>509.87077195810889</v>
      </c>
      <c r="W72" s="80">
        <v>2022</v>
      </c>
      <c r="X72" s="29" t="e">
        <f>+#REF!-'[1]Приложение №1'!$P1010</f>
        <v>#REF!</v>
      </c>
      <c r="Z72" s="31">
        <f t="shared" si="22"/>
        <v>34535107.586130939</v>
      </c>
      <c r="AA72" s="27">
        <v>9503098.7698319387</v>
      </c>
      <c r="AB72" s="27">
        <v>0</v>
      </c>
      <c r="AC72" s="27">
        <v>6138860.8976629199</v>
      </c>
      <c r="AD72" s="27">
        <v>2958309.3156556799</v>
      </c>
      <c r="AE72" s="27">
        <v>0</v>
      </c>
      <c r="AF72" s="27"/>
      <c r="AG72" s="27">
        <v>715245.76767839992</v>
      </c>
      <c r="AH72" s="27">
        <v>0</v>
      </c>
      <c r="AI72" s="27">
        <v>5352142.2195780007</v>
      </c>
      <c r="AJ72" s="27">
        <v>0</v>
      </c>
      <c r="AK72" s="27"/>
      <c r="AL72" s="27">
        <v>0</v>
      </c>
      <c r="AM72" s="27">
        <v>7589459.6136000007</v>
      </c>
      <c r="AN72" s="32">
        <v>782532.36640000006</v>
      </c>
      <c r="AO72" s="33">
        <v>1495458.6357239999</v>
      </c>
      <c r="AP72" s="84">
        <f>+N72-'Приложение №2'!E72</f>
        <v>0</v>
      </c>
      <c r="AQ72" s="1">
        <v>4261157.78</v>
      </c>
      <c r="AR72" s="1">
        <f>+(K72*13.29+L72*22.52)*12*0.85</f>
        <v>900050.89679999999</v>
      </c>
      <c r="AS72" s="1">
        <f>+(K72*13.29+L72*22.52)*12*30-14694406.85</f>
        <v>17072095.390000001</v>
      </c>
      <c r="AT72" s="29">
        <f t="shared" si="6"/>
        <v>-13686757.412506942</v>
      </c>
    </row>
    <row r="73" spans="1:51" x14ac:dyDescent="0.25">
      <c r="A73" s="76">
        <f t="shared" si="7"/>
        <v>57</v>
      </c>
      <c r="B73" s="77">
        <f t="shared" si="8"/>
        <v>57</v>
      </c>
      <c r="C73" s="77" t="s">
        <v>72</v>
      </c>
      <c r="D73" s="77" t="s">
        <v>321</v>
      </c>
      <c r="E73" s="78">
        <v>1994</v>
      </c>
      <c r="F73" s="78">
        <v>2013</v>
      </c>
      <c r="G73" s="78" t="s">
        <v>51</v>
      </c>
      <c r="H73" s="78">
        <v>9</v>
      </c>
      <c r="I73" s="78">
        <v>3</v>
      </c>
      <c r="J73" s="44">
        <v>7891.7</v>
      </c>
      <c r="K73" s="44">
        <v>6600.8</v>
      </c>
      <c r="L73" s="44">
        <v>0</v>
      </c>
      <c r="M73" s="79">
        <v>291</v>
      </c>
      <c r="N73" s="129">
        <f t="shared" si="20"/>
        <v>6382437.5058791805</v>
      </c>
      <c r="O73" s="44"/>
      <c r="P73" s="162"/>
      <c r="Q73" s="162"/>
      <c r="R73" s="162">
        <f>+AQ73+AR73</f>
        <v>1668103.1164000002</v>
      </c>
      <c r="S73" s="162">
        <f>+'Приложение №2'!E73-'Приложение №1'!R73-P73</f>
        <v>4714334.3894791808</v>
      </c>
      <c r="T73" s="161">
        <f>+'Приложение №2'!E73-'Приложение №1'!P73-'Приложение №1'!Q73-'Приложение №1'!R73-'Приложение №1'!S73</f>
        <v>0</v>
      </c>
      <c r="U73" s="68">
        <f t="shared" si="21"/>
        <v>966.91878346248643</v>
      </c>
      <c r="V73" s="68">
        <f t="shared" si="21"/>
        <v>966.91878346248643</v>
      </c>
      <c r="W73" s="80">
        <v>2022</v>
      </c>
      <c r="Z73" s="31">
        <f t="shared" si="22"/>
        <v>8703397.3200000003</v>
      </c>
      <c r="AA73" s="27"/>
      <c r="AB73" s="32"/>
      <c r="AC73" s="27"/>
      <c r="AD73" s="27"/>
      <c r="AE73" s="32">
        <v>0</v>
      </c>
      <c r="AF73" s="32">
        <v>0</v>
      </c>
      <c r="AG73" s="32"/>
      <c r="AH73" s="32">
        <v>8628684.8600000013</v>
      </c>
      <c r="AI73" s="27"/>
      <c r="AJ73" s="32">
        <v>0</v>
      </c>
      <c r="AK73" s="27"/>
      <c r="AL73" s="32">
        <v>0</v>
      </c>
      <c r="AM73" s="27">
        <v>55020.369999999995</v>
      </c>
      <c r="AN73" s="27">
        <v>19692.09</v>
      </c>
      <c r="AO73" s="30"/>
      <c r="AP73" s="84">
        <f>+N73-'Приложение №2'!E73</f>
        <v>0</v>
      </c>
      <c r="AQ73" s="1">
        <f>4161512.94-301266.52-3086934.55</f>
        <v>773311.87000000011</v>
      </c>
      <c r="AR73" s="1">
        <f>+(K73*13.29+L73*22.52)*12*0.85</f>
        <v>894791.24639999995</v>
      </c>
      <c r="AS73" s="1">
        <f>+(K73*13.29+L73*22.52)*12*30-1198680.53-8354818.57</f>
        <v>22027368.419999998</v>
      </c>
      <c r="AT73" s="29">
        <f t="shared" si="6"/>
        <v>-17313034.030520819</v>
      </c>
    </row>
    <row r="74" spans="1:51" x14ac:dyDescent="0.25">
      <c r="A74" s="76">
        <f t="shared" si="7"/>
        <v>58</v>
      </c>
      <c r="B74" s="77">
        <f t="shared" si="8"/>
        <v>58</v>
      </c>
      <c r="C74" s="77" t="s">
        <v>72</v>
      </c>
      <c r="D74" s="77" t="s">
        <v>176</v>
      </c>
      <c r="E74" s="78">
        <v>1987</v>
      </c>
      <c r="F74" s="78">
        <v>2013</v>
      </c>
      <c r="G74" s="78" t="s">
        <v>44</v>
      </c>
      <c r="H74" s="78">
        <v>3</v>
      </c>
      <c r="I74" s="78">
        <v>3</v>
      </c>
      <c r="J74" s="44">
        <v>1395.8</v>
      </c>
      <c r="K74" s="44">
        <v>1268</v>
      </c>
      <c r="L74" s="44">
        <v>0</v>
      </c>
      <c r="M74" s="79">
        <v>63</v>
      </c>
      <c r="N74" s="72">
        <f t="shared" si="20"/>
        <v>9734596.8718827199</v>
      </c>
      <c r="O74" s="44"/>
      <c r="P74" s="163"/>
      <c r="Q74" s="162"/>
      <c r="R74" s="162">
        <v>412386.65</v>
      </c>
      <c r="S74" s="162">
        <f>+'Приложение №2'!E74-'Приложение №1'!P74-'Приложение №1'!T74-'Приложение №1'!R74</f>
        <v>5662093.7818827191</v>
      </c>
      <c r="T74" s="161">
        <v>3660116.4400000004</v>
      </c>
      <c r="U74" s="44">
        <f t="shared" si="21"/>
        <v>7677.1268705699686</v>
      </c>
      <c r="V74" s="44">
        <f t="shared" si="21"/>
        <v>7677.1268705699686</v>
      </c>
      <c r="W74" s="80">
        <v>2022</v>
      </c>
      <c r="X74" s="29" t="e">
        <f>+#REF!-'[1]Приложение №1'!$P449</f>
        <v>#REF!</v>
      </c>
      <c r="Z74" s="31">
        <f t="shared" si="22"/>
        <v>20424271.119999997</v>
      </c>
      <c r="AA74" s="27">
        <v>3880461.3812546395</v>
      </c>
      <c r="AB74" s="27">
        <v>2361201.0958737601</v>
      </c>
      <c r="AC74" s="27">
        <v>1112617.8937948202</v>
      </c>
      <c r="AD74" s="27">
        <v>948184.97499599995</v>
      </c>
      <c r="AE74" s="27">
        <v>0</v>
      </c>
      <c r="AF74" s="27"/>
      <c r="AG74" s="27">
        <v>395993.45985528</v>
      </c>
      <c r="AH74" s="27">
        <v>0</v>
      </c>
      <c r="AI74" s="27">
        <v>0</v>
      </c>
      <c r="AJ74" s="27">
        <v>0</v>
      </c>
      <c r="AK74" s="27">
        <v>9178717.215051299</v>
      </c>
      <c r="AL74" s="27">
        <v>0</v>
      </c>
      <c r="AM74" s="27">
        <v>1951914.7557999999</v>
      </c>
      <c r="AN74" s="32">
        <v>204242.71119999999</v>
      </c>
      <c r="AO74" s="33">
        <v>390937.63217419997</v>
      </c>
      <c r="AP74" s="84">
        <f>+N74-'Приложение №2'!E74</f>
        <v>0</v>
      </c>
      <c r="AQ74" s="1">
        <v>502354.09</v>
      </c>
      <c r="AR74" s="1">
        <f t="shared" ref="AR74:AR85" si="23">+(K74*10+L74*20)*12*0.85</f>
        <v>129336</v>
      </c>
      <c r="AS74" s="1">
        <f>+(K74*10+L74*20)*12*30</f>
        <v>4564800</v>
      </c>
      <c r="AT74" s="29">
        <f t="shared" si="6"/>
        <v>1097293.7818827191</v>
      </c>
    </row>
    <row r="75" spans="1:51" x14ac:dyDescent="0.25">
      <c r="A75" s="76">
        <f t="shared" si="7"/>
        <v>59</v>
      </c>
      <c r="B75" s="77">
        <f t="shared" si="8"/>
        <v>59</v>
      </c>
      <c r="C75" s="77" t="s">
        <v>72</v>
      </c>
      <c r="D75" s="77" t="s">
        <v>323</v>
      </c>
      <c r="E75" s="78">
        <v>1982</v>
      </c>
      <c r="F75" s="78">
        <v>2005</v>
      </c>
      <c r="G75" s="78" t="s">
        <v>44</v>
      </c>
      <c r="H75" s="78">
        <v>4</v>
      </c>
      <c r="I75" s="78">
        <v>3</v>
      </c>
      <c r="J75" s="44">
        <v>4260.17</v>
      </c>
      <c r="K75" s="44">
        <v>3632.44</v>
      </c>
      <c r="L75" s="44">
        <v>448.5</v>
      </c>
      <c r="M75" s="79">
        <v>282</v>
      </c>
      <c r="N75" s="72">
        <f t="shared" si="20"/>
        <v>34443200.645936362</v>
      </c>
      <c r="O75" s="44"/>
      <c r="P75" s="162">
        <v>9795460.2799999993</v>
      </c>
      <c r="Q75" s="162"/>
      <c r="R75" s="162">
        <f>+AQ75+AR75</f>
        <v>2404077.6800000002</v>
      </c>
      <c r="S75" s="162">
        <f>+'Приложение №2'!E75-'Приложение №1'!P75-'Приложение №1'!Q75-'Приложение №1'!R75</f>
        <v>22243662.685936362</v>
      </c>
      <c r="T75" s="161">
        <f>+'Приложение №2'!E75-'Приложение №1'!P75-'Приложение №1'!Q75-'Приложение №1'!R75-'Приложение №1'!S75</f>
        <v>0</v>
      </c>
      <c r="U75" s="68">
        <f t="shared" si="21"/>
        <v>8440.0164290424163</v>
      </c>
      <c r="V75" s="68">
        <f t="shared" si="21"/>
        <v>8440.0164290424163</v>
      </c>
      <c r="W75" s="80">
        <v>2022</v>
      </c>
      <c r="X75" s="29" t="e">
        <f>+#REF!-'[1]Приложение №1'!$P844</f>
        <v>#REF!</v>
      </c>
      <c r="Z75" s="31">
        <f t="shared" si="22"/>
        <v>64128906.539999999</v>
      </c>
      <c r="AA75" s="27">
        <v>9690780.7754885387</v>
      </c>
      <c r="AB75" s="27">
        <v>3453223.58397828</v>
      </c>
      <c r="AC75" s="27">
        <v>3607850.2836289201</v>
      </c>
      <c r="AD75" s="27">
        <v>2258742.3947533201</v>
      </c>
      <c r="AE75" s="27">
        <v>0</v>
      </c>
      <c r="AF75" s="27"/>
      <c r="AG75" s="27">
        <v>371861.79313164001</v>
      </c>
      <c r="AH75" s="27">
        <v>0</v>
      </c>
      <c r="AI75" s="27">
        <v>17716221.746810999</v>
      </c>
      <c r="AJ75" s="27">
        <v>0</v>
      </c>
      <c r="AK75" s="27">
        <v>9198344.3463416398</v>
      </c>
      <c r="AL75" s="27">
        <v>9921491.0771583598</v>
      </c>
      <c r="AM75" s="27">
        <v>6039716.3901000004</v>
      </c>
      <c r="AN75" s="32">
        <v>641289.06539999996</v>
      </c>
      <c r="AO75" s="33">
        <v>1229385.0832082999</v>
      </c>
      <c r="AP75" s="84">
        <f>+N75-'Приложение №2'!E75</f>
        <v>0</v>
      </c>
      <c r="AQ75" s="1">
        <v>1942074.8</v>
      </c>
      <c r="AR75" s="1">
        <f t="shared" si="23"/>
        <v>462002.88</v>
      </c>
      <c r="AS75" s="1">
        <f>+(K75*10+L75*20)*12*30</f>
        <v>16305984.000000002</v>
      </c>
      <c r="AT75" s="29">
        <f t="shared" si="6"/>
        <v>5937678.6859363597</v>
      </c>
    </row>
    <row r="76" spans="1:51" x14ac:dyDescent="0.25">
      <c r="A76" s="76">
        <f t="shared" si="7"/>
        <v>60</v>
      </c>
      <c r="B76" s="77">
        <f t="shared" si="8"/>
        <v>60</v>
      </c>
      <c r="C76" s="77" t="s">
        <v>72</v>
      </c>
      <c r="D76" s="77" t="s">
        <v>184</v>
      </c>
      <c r="E76" s="78">
        <v>1976</v>
      </c>
      <c r="F76" s="78">
        <v>2013</v>
      </c>
      <c r="G76" s="78" t="s">
        <v>44</v>
      </c>
      <c r="H76" s="78">
        <v>4</v>
      </c>
      <c r="I76" s="78">
        <v>4</v>
      </c>
      <c r="J76" s="44">
        <v>2991.3</v>
      </c>
      <c r="K76" s="44">
        <v>2484.4</v>
      </c>
      <c r="L76" s="44">
        <v>250.6</v>
      </c>
      <c r="M76" s="79">
        <v>122</v>
      </c>
      <c r="N76" s="72">
        <f t="shared" si="20"/>
        <v>1171020.99</v>
      </c>
      <c r="O76" s="44"/>
      <c r="P76" s="162"/>
      <c r="Q76" s="162"/>
      <c r="R76" s="162">
        <v>230063.63</v>
      </c>
      <c r="S76" s="162">
        <f>701319.39+239637.97</f>
        <v>940957.36</v>
      </c>
      <c r="T76" s="161">
        <f>+'Приложение №2'!E76-'Приложение №1'!P76-'Приложение №1'!Q76-'Приложение №1'!R76-'Приложение №1'!S76</f>
        <v>0</v>
      </c>
      <c r="U76" s="68">
        <f t="shared" si="21"/>
        <v>428.16123948811702</v>
      </c>
      <c r="V76" s="68">
        <f t="shared" si="21"/>
        <v>428.16123948811702</v>
      </c>
      <c r="W76" s="80">
        <v>2022</v>
      </c>
      <c r="X76" s="29" t="e">
        <f>+#REF!-'[1]Приложение №1'!$P656</f>
        <v>#REF!</v>
      </c>
      <c r="Z76" s="31">
        <f t="shared" si="22"/>
        <v>37022548.278852001</v>
      </c>
      <c r="AA76" s="27">
        <v>6531079.8989818199</v>
      </c>
      <c r="AB76" s="27">
        <v>0</v>
      </c>
      <c r="AC76" s="27">
        <v>0</v>
      </c>
      <c r="AD76" s="27">
        <v>0</v>
      </c>
      <c r="AE76" s="27">
        <v>1171020.99</v>
      </c>
      <c r="AF76" s="27"/>
      <c r="AG76" s="27">
        <v>0</v>
      </c>
      <c r="AH76" s="27">
        <v>0</v>
      </c>
      <c r="AI76" s="27">
        <v>11939807.781027</v>
      </c>
      <c r="AJ76" s="27">
        <v>0</v>
      </c>
      <c r="AK76" s="27">
        <v>6199203.4736406608</v>
      </c>
      <c r="AL76" s="27">
        <v>6686566.5827221796</v>
      </c>
      <c r="AM76" s="27">
        <v>3445210.5711000003</v>
      </c>
      <c r="AN76" s="32">
        <v>359077.49579999998</v>
      </c>
      <c r="AO76" s="33">
        <v>690581.48558034003</v>
      </c>
      <c r="AP76" s="84">
        <f>+N76-'Приложение №2'!E76</f>
        <v>0</v>
      </c>
      <c r="AQ76" s="1">
        <v>1388531.28</v>
      </c>
      <c r="AR76" s="1">
        <f t="shared" si="23"/>
        <v>304531.20000000001</v>
      </c>
      <c r="AS76" s="1">
        <f>+(K76*10+L76*20)*12*30</f>
        <v>10748160</v>
      </c>
      <c r="AT76" s="29">
        <f t="shared" si="6"/>
        <v>-9807202.6400000006</v>
      </c>
    </row>
    <row r="77" spans="1:51" x14ac:dyDescent="0.25">
      <c r="A77" s="76">
        <f t="shared" si="7"/>
        <v>61</v>
      </c>
      <c r="B77" s="77">
        <f t="shared" si="8"/>
        <v>61</v>
      </c>
      <c r="C77" s="77" t="s">
        <v>72</v>
      </c>
      <c r="D77" s="77" t="s">
        <v>325</v>
      </c>
      <c r="E77" s="78">
        <v>1977</v>
      </c>
      <c r="F77" s="78">
        <v>1977</v>
      </c>
      <c r="G77" s="78" t="s">
        <v>51</v>
      </c>
      <c r="H77" s="78">
        <v>4</v>
      </c>
      <c r="I77" s="78">
        <v>6</v>
      </c>
      <c r="J77" s="44">
        <v>5672.9</v>
      </c>
      <c r="K77" s="44">
        <v>4964.7</v>
      </c>
      <c r="L77" s="44">
        <v>0</v>
      </c>
      <c r="M77" s="79">
        <v>207</v>
      </c>
      <c r="N77" s="129">
        <f t="shared" si="20"/>
        <v>16849690.808428802</v>
      </c>
      <c r="O77" s="44"/>
      <c r="P77" s="162">
        <v>3593219.09</v>
      </c>
      <c r="Q77" s="162"/>
      <c r="R77" s="162">
        <v>1638227</v>
      </c>
      <c r="S77" s="162">
        <f>+'Приложение №2'!E77-'Приложение №1'!P77-'Приложение №1'!R77</f>
        <v>11618244.718428802</v>
      </c>
      <c r="T77" s="161"/>
      <c r="U77" s="68">
        <f t="shared" si="21"/>
        <v>3393.8990892559073</v>
      </c>
      <c r="V77" s="68">
        <f t="shared" si="21"/>
        <v>3393.8990892559073</v>
      </c>
      <c r="W77" s="80">
        <v>2022</v>
      </c>
      <c r="X77" s="29" t="e">
        <f>+#REF!-'[1]Приложение №1'!$P1019</f>
        <v>#REF!</v>
      </c>
      <c r="Z77" s="31">
        <f t="shared" si="22"/>
        <v>40803772.100000001</v>
      </c>
      <c r="AA77" s="27">
        <v>8274934.6457723388</v>
      </c>
      <c r="AB77" s="27">
        <v>4785620.9278290002</v>
      </c>
      <c r="AC77" s="27">
        <v>5058755.6557213198</v>
      </c>
      <c r="AD77" s="27">
        <v>3857344.1921599195</v>
      </c>
      <c r="AE77" s="27">
        <v>1540930.0457111399</v>
      </c>
      <c r="AF77" s="27"/>
      <c r="AG77" s="27">
        <v>411179.32298520009</v>
      </c>
      <c r="AH77" s="27">
        <v>0</v>
      </c>
      <c r="AI77" s="27">
        <v>0</v>
      </c>
      <c r="AJ77" s="27">
        <v>0</v>
      </c>
      <c r="AK77" s="27">
        <v>0</v>
      </c>
      <c r="AL77" s="27">
        <v>11247866.888920201</v>
      </c>
      <c r="AM77" s="27">
        <v>4449861.0098000001</v>
      </c>
      <c r="AN77" s="32">
        <v>408037.72100000002</v>
      </c>
      <c r="AO77" s="33">
        <v>769241.69010087999</v>
      </c>
      <c r="AP77" s="84">
        <f>+N77-'Приложение №2'!E77</f>
        <v>0</v>
      </c>
      <c r="AQ77" s="1">
        <f>2390424.58-114155.72</f>
        <v>2276268.86</v>
      </c>
      <c r="AR77" s="1">
        <f t="shared" si="23"/>
        <v>506399.39999999997</v>
      </c>
      <c r="AS77" s="1">
        <f>+(K77*10+L77*20)*12*30</f>
        <v>17872920</v>
      </c>
      <c r="AT77" s="29">
        <f t="shared" si="6"/>
        <v>-6254675.2815711983</v>
      </c>
    </row>
    <row r="78" spans="1:51" x14ac:dyDescent="0.25">
      <c r="A78" s="76">
        <f t="shared" si="7"/>
        <v>62</v>
      </c>
      <c r="B78" s="77">
        <f t="shared" si="8"/>
        <v>62</v>
      </c>
      <c r="C78" s="77" t="s">
        <v>72</v>
      </c>
      <c r="D78" s="77" t="s">
        <v>187</v>
      </c>
      <c r="E78" s="78">
        <v>1974</v>
      </c>
      <c r="F78" s="78">
        <v>2013</v>
      </c>
      <c r="G78" s="78" t="s">
        <v>51</v>
      </c>
      <c r="H78" s="78">
        <v>4</v>
      </c>
      <c r="I78" s="78">
        <v>4</v>
      </c>
      <c r="J78" s="44">
        <v>3890.5</v>
      </c>
      <c r="K78" s="44">
        <v>3406.6</v>
      </c>
      <c r="L78" s="44">
        <v>0</v>
      </c>
      <c r="M78" s="79">
        <v>175</v>
      </c>
      <c r="N78" s="72">
        <f t="shared" si="20"/>
        <v>15568933.82189</v>
      </c>
      <c r="O78" s="44"/>
      <c r="P78" s="162">
        <v>2144774.3499999996</v>
      </c>
      <c r="Q78" s="162"/>
      <c r="R78" s="162">
        <v>1186883.42</v>
      </c>
      <c r="S78" s="162">
        <f>+'Приложение №2'!E78-'Приложение №1'!P78-'Приложение №1'!Q78-'Приложение №1'!R78</f>
        <v>12237276.051890001</v>
      </c>
      <c r="T78" s="162">
        <f>+'Приложение №2'!E78-'Приложение №1'!P78-'Приложение №1'!R78-'Приложение №1'!S78</f>
        <v>0</v>
      </c>
      <c r="U78" s="44">
        <f t="shared" si="21"/>
        <v>4570.2265666324192</v>
      </c>
      <c r="V78" s="44">
        <f t="shared" si="21"/>
        <v>4570.2265666324192</v>
      </c>
      <c r="W78" s="80">
        <v>2022</v>
      </c>
      <c r="X78" s="29" t="e">
        <f>+#REF!-'[1]Приложение №1'!$P786</f>
        <v>#REF!</v>
      </c>
      <c r="Z78" s="31">
        <f t="shared" si="22"/>
        <v>24100395.781889997</v>
      </c>
      <c r="AA78" s="27">
        <v>0</v>
      </c>
      <c r="AB78" s="27">
        <v>0</v>
      </c>
      <c r="AC78" s="27">
        <v>0</v>
      </c>
      <c r="AD78" s="27">
        <v>0</v>
      </c>
      <c r="AE78" s="27">
        <v>1356671.24</v>
      </c>
      <c r="AF78" s="27"/>
      <c r="AG78" s="27">
        <v>0</v>
      </c>
      <c r="AH78" s="27">
        <v>0</v>
      </c>
      <c r="AI78" s="27">
        <v>0</v>
      </c>
      <c r="AJ78" s="27">
        <v>0</v>
      </c>
      <c r="AK78" s="27">
        <v>19641111.600080881</v>
      </c>
      <c r="AL78" s="27">
        <v>0</v>
      </c>
      <c r="AM78" s="27">
        <v>2439179.8219999997</v>
      </c>
      <c r="AN78" s="32">
        <v>227512.61719999998</v>
      </c>
      <c r="AO78" s="33">
        <v>435920.50260911998</v>
      </c>
      <c r="AP78" s="84">
        <f>+N78-'Приложение №2'!E78</f>
        <v>0</v>
      </c>
      <c r="AQ78" s="29">
        <f>1535272.52</f>
        <v>1535272.52</v>
      </c>
      <c r="AR78" s="1">
        <f t="shared" si="23"/>
        <v>347473.2</v>
      </c>
      <c r="AS78" s="1">
        <f>+(K78*10+L78*20)*12*30</f>
        <v>12263760</v>
      </c>
      <c r="AT78" s="29">
        <f t="shared" ref="AT78:AT142" si="24">+S78-AS78</f>
        <v>-26483.948109999299</v>
      </c>
    </row>
    <row r="79" spans="1:51" x14ac:dyDescent="0.25">
      <c r="A79" s="76">
        <f t="shared" si="7"/>
        <v>63</v>
      </c>
      <c r="B79" s="77">
        <f t="shared" si="8"/>
        <v>63</v>
      </c>
      <c r="C79" s="77" t="s">
        <v>72</v>
      </c>
      <c r="D79" s="77" t="s">
        <v>327</v>
      </c>
      <c r="E79" s="78">
        <v>1978</v>
      </c>
      <c r="F79" s="78">
        <v>2008</v>
      </c>
      <c r="G79" s="78" t="s">
        <v>51</v>
      </c>
      <c r="H79" s="78">
        <v>5</v>
      </c>
      <c r="I79" s="78">
        <v>4</v>
      </c>
      <c r="J79" s="44">
        <v>4887.2</v>
      </c>
      <c r="K79" s="44">
        <v>4152.5</v>
      </c>
      <c r="L79" s="44">
        <v>141.4</v>
      </c>
      <c r="M79" s="79">
        <v>187</v>
      </c>
      <c r="N79" s="129">
        <f t="shared" si="20"/>
        <v>14757670.589566819</v>
      </c>
      <c r="O79" s="44"/>
      <c r="P79" s="162"/>
      <c r="Q79" s="162"/>
      <c r="R79" s="162">
        <v>1507307.9899999998</v>
      </c>
      <c r="S79" s="162">
        <v>8730636.4800000004</v>
      </c>
      <c r="T79" s="161">
        <f>+'Приложение №2'!E79-'Приложение №1'!P79-'Приложение №1'!Q79-'Приложение №1'!R79-'Приложение №1'!S79</f>
        <v>4519726.1195668187</v>
      </c>
      <c r="U79" s="68">
        <f t="shared" si="21"/>
        <v>3436.8920071652392</v>
      </c>
      <c r="V79" s="68">
        <f t="shared" si="21"/>
        <v>3436.8920071652392</v>
      </c>
      <c r="W79" s="80">
        <v>2022</v>
      </c>
      <c r="X79" s="29" t="e">
        <f>+#REF!-'[1]Приложение №1'!$P1025</f>
        <v>#REF!</v>
      </c>
      <c r="Z79" s="31">
        <f t="shared" si="22"/>
        <v>48841397.922002405</v>
      </c>
      <c r="AA79" s="27"/>
      <c r="AB79" s="27">
        <v>4165477.2147311401</v>
      </c>
      <c r="AC79" s="27">
        <v>4403217.8352661803</v>
      </c>
      <c r="AD79" s="27">
        <v>3357491.0318031595</v>
      </c>
      <c r="AE79" s="27">
        <v>1341248.93566524</v>
      </c>
      <c r="AF79" s="27"/>
      <c r="AG79" s="27">
        <v>357896.73428460007</v>
      </c>
      <c r="AH79" s="27">
        <v>0</v>
      </c>
      <c r="AI79" s="27"/>
      <c r="AJ79" s="27">
        <v>0</v>
      </c>
      <c r="AK79" s="27">
        <v>24893551.051466998</v>
      </c>
      <c r="AL79" s="27"/>
      <c r="AM79" s="27">
        <v>8041636.4647000004</v>
      </c>
      <c r="AN79" s="32">
        <v>786561.17310000001</v>
      </c>
      <c r="AO79" s="33">
        <v>1494317.4809850804</v>
      </c>
      <c r="AP79" s="84">
        <f>+N79-'Приложение №2'!E79</f>
        <v>0</v>
      </c>
      <c r="AQ79" s="1">
        <v>1938809.74</v>
      </c>
      <c r="AR79" s="1">
        <f t="shared" si="23"/>
        <v>452400.6</v>
      </c>
      <c r="AS79" s="1">
        <f>+(K79*10+L79*20)*12*30-6800843.52</f>
        <v>9166236.4800000004</v>
      </c>
      <c r="AT79" s="29">
        <f t="shared" si="24"/>
        <v>-435600</v>
      </c>
    </row>
    <row r="80" spans="1:51" x14ac:dyDescent="0.25">
      <c r="A80" s="76">
        <f t="shared" si="7"/>
        <v>64</v>
      </c>
      <c r="B80" s="77">
        <f t="shared" si="8"/>
        <v>64</v>
      </c>
      <c r="C80" s="77" t="s">
        <v>72</v>
      </c>
      <c r="D80" s="77" t="s">
        <v>328</v>
      </c>
      <c r="E80" s="78">
        <v>1979</v>
      </c>
      <c r="F80" s="78">
        <v>2008</v>
      </c>
      <c r="G80" s="78" t="s">
        <v>51</v>
      </c>
      <c r="H80" s="78">
        <v>5</v>
      </c>
      <c r="I80" s="78">
        <v>4</v>
      </c>
      <c r="J80" s="44">
        <v>4897.1000000000004</v>
      </c>
      <c r="K80" s="44">
        <v>4311.8999999999996</v>
      </c>
      <c r="L80" s="44">
        <v>0</v>
      </c>
      <c r="M80" s="79">
        <v>199</v>
      </c>
      <c r="N80" s="129">
        <f t="shared" si="20"/>
        <v>14905757.105931219</v>
      </c>
      <c r="O80" s="44"/>
      <c r="P80" s="162"/>
      <c r="Q80" s="162"/>
      <c r="R80" s="162">
        <v>1319980.6299999999</v>
      </c>
      <c r="S80" s="162">
        <f>+'Приложение №2'!E80-'Приложение №1'!R80-'Приложение №1'!T80</f>
        <v>7217514.8399999999</v>
      </c>
      <c r="T80" s="161">
        <v>6368261.6359312199</v>
      </c>
      <c r="U80" s="68">
        <f t="shared" si="21"/>
        <v>3456.8884032401538</v>
      </c>
      <c r="V80" s="68">
        <f t="shared" si="21"/>
        <v>3456.8884032401538</v>
      </c>
      <c r="W80" s="80">
        <v>2022</v>
      </c>
      <c r="X80" s="29" t="e">
        <f>+#REF!-'[1]Приложение №1'!$P1026</f>
        <v>#REF!</v>
      </c>
      <c r="Z80" s="31">
        <f t="shared" si="22"/>
        <v>66063234.670839608</v>
      </c>
      <c r="AA80" s="27">
        <v>7227671.0917319991</v>
      </c>
      <c r="AB80" s="27">
        <v>4179959.7862247396</v>
      </c>
      <c r="AC80" s="27">
        <v>4418526.9856534805</v>
      </c>
      <c r="AD80" s="27">
        <v>3369164.3891211599</v>
      </c>
      <c r="AE80" s="27">
        <v>1345912.20295434</v>
      </c>
      <c r="AF80" s="27"/>
      <c r="AG80" s="27">
        <v>359141.07311459997</v>
      </c>
      <c r="AH80" s="27">
        <v>0</v>
      </c>
      <c r="AI80" s="27"/>
      <c r="AJ80" s="27">
        <v>0</v>
      </c>
      <c r="AK80" s="27">
        <v>24980101.190715298</v>
      </c>
      <c r="AL80" s="27">
        <v>9824353.4120570999</v>
      </c>
      <c r="AM80" s="27">
        <v>8069595.7042000005</v>
      </c>
      <c r="AN80" s="32">
        <v>789295.89660000009</v>
      </c>
      <c r="AO80" s="33">
        <v>1499512.9384668807</v>
      </c>
      <c r="AP80" s="84">
        <f>+N80-'Приложение №2'!E80</f>
        <v>0</v>
      </c>
      <c r="AQ80" s="1">
        <v>2090807.65</v>
      </c>
      <c r="AR80" s="1">
        <f t="shared" si="23"/>
        <v>439813.8</v>
      </c>
      <c r="AS80" s="1">
        <f>+(K80*10+L80*20)*12*30-8305325.16</f>
        <v>7217514.8399999999</v>
      </c>
      <c r="AT80" s="29">
        <f t="shared" si="24"/>
        <v>0</v>
      </c>
    </row>
    <row r="81" spans="1:46" x14ac:dyDescent="0.25">
      <c r="A81" s="76">
        <f t="shared" si="7"/>
        <v>65</v>
      </c>
      <c r="B81" s="77">
        <f t="shared" si="8"/>
        <v>65</v>
      </c>
      <c r="C81" s="77" t="s">
        <v>72</v>
      </c>
      <c r="D81" s="77" t="s">
        <v>329</v>
      </c>
      <c r="E81" s="78">
        <v>1977</v>
      </c>
      <c r="F81" s="78">
        <v>2008</v>
      </c>
      <c r="G81" s="78" t="s">
        <v>51</v>
      </c>
      <c r="H81" s="78">
        <v>4</v>
      </c>
      <c r="I81" s="78">
        <v>4</v>
      </c>
      <c r="J81" s="44">
        <v>3978.4</v>
      </c>
      <c r="K81" s="44">
        <v>3426.4</v>
      </c>
      <c r="L81" s="44">
        <v>0</v>
      </c>
      <c r="M81" s="79">
        <v>156</v>
      </c>
      <c r="N81" s="129">
        <f t="shared" si="20"/>
        <v>9499544.7837941013</v>
      </c>
      <c r="O81" s="44"/>
      <c r="P81" s="162"/>
      <c r="Q81" s="162"/>
      <c r="R81" s="162">
        <f>+AQ81+AR81-102484.4</f>
        <v>1804243.37</v>
      </c>
      <c r="S81" s="162">
        <f>+'Приложение №2'!E81-'Приложение №1'!R81</f>
        <v>7695301.4137941012</v>
      </c>
      <c r="T81" s="161">
        <f>+'Приложение №2'!E81-'Приложение №1'!P81-'Приложение №1'!Q81-'Приложение №1'!R81-'Приложение №1'!S81</f>
        <v>0</v>
      </c>
      <c r="U81" s="68">
        <f t="shared" si="21"/>
        <v>2772.4564510255955</v>
      </c>
      <c r="V81" s="68">
        <f t="shared" si="21"/>
        <v>2772.4564510255955</v>
      </c>
      <c r="W81" s="80">
        <v>2022</v>
      </c>
      <c r="X81" s="29" t="e">
        <f>+#REF!-'[1]Приложение №1'!$P1028</f>
        <v>#REF!</v>
      </c>
      <c r="Z81" s="31">
        <f t="shared" si="22"/>
        <v>12575637.629999999</v>
      </c>
      <c r="AA81" s="27">
        <v>5842505.2034731191</v>
      </c>
      <c r="AB81" s="27">
        <v>0</v>
      </c>
      <c r="AC81" s="27">
        <v>3571726.84810158</v>
      </c>
      <c r="AD81" s="27">
        <v>0</v>
      </c>
      <c r="AE81" s="27">
        <v>1087971.3496965601</v>
      </c>
      <c r="AF81" s="27"/>
      <c r="AG81" s="27">
        <v>290312.54463120009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1421354.8426000001</v>
      </c>
      <c r="AN81" s="32">
        <v>125756.3763</v>
      </c>
      <c r="AO81" s="33">
        <v>236010.46519754</v>
      </c>
      <c r="AP81" s="84">
        <f>+N81-'Приложение №2'!E81</f>
        <v>0</v>
      </c>
      <c r="AQ81" s="1">
        <v>1557234.97</v>
      </c>
      <c r="AR81" s="1">
        <f t="shared" si="23"/>
        <v>349492.8</v>
      </c>
      <c r="AS81" s="1">
        <f>+(K81*10+L81*20)*12*30</f>
        <v>12335040</v>
      </c>
      <c r="AT81" s="29">
        <f t="shared" si="24"/>
        <v>-4639738.5862058988</v>
      </c>
    </row>
    <row r="82" spans="1:46" x14ac:dyDescent="0.25">
      <c r="A82" s="76">
        <f t="shared" ref="A82:B97" si="25">+A81+1</f>
        <v>66</v>
      </c>
      <c r="B82" s="77">
        <f t="shared" si="25"/>
        <v>66</v>
      </c>
      <c r="C82" s="77" t="s">
        <v>72</v>
      </c>
      <c r="D82" s="77" t="s">
        <v>330</v>
      </c>
      <c r="E82" s="78">
        <v>1977</v>
      </c>
      <c r="F82" s="78">
        <v>2013</v>
      </c>
      <c r="G82" s="78" t="s">
        <v>51</v>
      </c>
      <c r="H82" s="78">
        <v>5</v>
      </c>
      <c r="I82" s="78">
        <v>4</v>
      </c>
      <c r="J82" s="44">
        <v>3776.9</v>
      </c>
      <c r="K82" s="44">
        <v>3428.1</v>
      </c>
      <c r="L82" s="44">
        <v>0</v>
      </c>
      <c r="M82" s="79">
        <v>165</v>
      </c>
      <c r="N82" s="129">
        <f t="shared" si="20"/>
        <v>6122093.3446254004</v>
      </c>
      <c r="O82" s="44"/>
      <c r="P82" s="162">
        <v>1902810.5300000007</v>
      </c>
      <c r="Q82" s="162"/>
      <c r="R82" s="162">
        <f>+AQ82+AR82-750257.76</f>
        <v>1319637.71</v>
      </c>
      <c r="S82" s="162">
        <f>+'Приложение №2'!E82-'Приложение №1'!R82-P82</f>
        <v>2899645.1046253997</v>
      </c>
      <c r="T82" s="161">
        <f>+'Приложение №2'!E82-'Приложение №1'!P82-'Приложение №1'!Q82-'Приложение №1'!R82-'Приложение №1'!S82</f>
        <v>0</v>
      </c>
      <c r="U82" s="68">
        <f t="shared" si="21"/>
        <v>1785.8561140647591</v>
      </c>
      <c r="V82" s="68">
        <f t="shared" si="21"/>
        <v>1785.8561140647591</v>
      </c>
      <c r="W82" s="80">
        <v>2022</v>
      </c>
      <c r="X82" s="29" t="e">
        <f>+#REF!-'[1]Приложение №1'!$P1029</f>
        <v>#REF!</v>
      </c>
      <c r="Z82" s="31">
        <f t="shared" si="22"/>
        <v>48865245.616670541</v>
      </c>
      <c r="AA82" s="27">
        <v>5729314.5934642795</v>
      </c>
      <c r="AB82" s="27">
        <v>3313419.2585243396</v>
      </c>
      <c r="AC82" s="27"/>
      <c r="AD82" s="27">
        <v>2670708.5095941597</v>
      </c>
      <c r="AE82" s="27">
        <v>1066893.3801993597</v>
      </c>
      <c r="AF82" s="27"/>
      <c r="AG82" s="27">
        <v>284688.13311960007</v>
      </c>
      <c r="AH82" s="27">
        <v>0</v>
      </c>
      <c r="AI82" s="27"/>
      <c r="AJ82" s="27">
        <v>0</v>
      </c>
      <c r="AK82" s="27">
        <v>19801517.854670577</v>
      </c>
      <c r="AL82" s="27">
        <v>7787683.0063746003</v>
      </c>
      <c r="AM82" s="27">
        <v>6396701.2079000007</v>
      </c>
      <c r="AN82" s="32">
        <v>625668.27380000008</v>
      </c>
      <c r="AO82" s="33">
        <v>1188651.3990236199</v>
      </c>
      <c r="AP82" s="84">
        <f>+N82-'Приложение №2'!E82</f>
        <v>0</v>
      </c>
      <c r="AQ82" s="1">
        <v>1720229.27</v>
      </c>
      <c r="AR82" s="1">
        <f t="shared" si="23"/>
        <v>349666.2</v>
      </c>
      <c r="AS82" s="1">
        <f>+(K82*10+L82*20)*12*30</f>
        <v>12341160</v>
      </c>
      <c r="AT82" s="29">
        <f t="shared" si="24"/>
        <v>-9441514.8953745998</v>
      </c>
    </row>
    <row r="83" spans="1:46" x14ac:dyDescent="0.25">
      <c r="A83" s="76">
        <f t="shared" si="25"/>
        <v>67</v>
      </c>
      <c r="B83" s="77">
        <f t="shared" si="25"/>
        <v>67</v>
      </c>
      <c r="C83" s="77" t="s">
        <v>72</v>
      </c>
      <c r="D83" s="77" t="s">
        <v>331</v>
      </c>
      <c r="E83" s="78">
        <v>1978</v>
      </c>
      <c r="F83" s="78">
        <v>2008</v>
      </c>
      <c r="G83" s="78" t="s">
        <v>51</v>
      </c>
      <c r="H83" s="78">
        <v>5</v>
      </c>
      <c r="I83" s="78">
        <v>4</v>
      </c>
      <c r="J83" s="44">
        <v>3883.8</v>
      </c>
      <c r="K83" s="44">
        <v>3458.3</v>
      </c>
      <c r="L83" s="44">
        <v>0</v>
      </c>
      <c r="M83" s="79">
        <v>222</v>
      </c>
      <c r="N83" s="129">
        <f t="shared" si="20"/>
        <v>13180476.834345801</v>
      </c>
      <c r="O83" s="44"/>
      <c r="P83" s="162">
        <v>3368341.02</v>
      </c>
      <c r="Q83" s="162"/>
      <c r="R83" s="162">
        <f>+AQ83+AR83-976547.58</f>
        <v>1029202.7300000001</v>
      </c>
      <c r="S83" s="162">
        <f>+'Приложение №2'!E83-'Приложение №1'!R83-P83</f>
        <v>8782933.0843458008</v>
      </c>
      <c r="T83" s="161">
        <f>+'Приложение №2'!E83-'Приложение №1'!P83-'Приложение №1'!Q83-'Приложение №1'!R83-'Приложение №1'!S83</f>
        <v>0</v>
      </c>
      <c r="U83" s="68">
        <f t="shared" si="21"/>
        <v>3811.2589521862765</v>
      </c>
      <c r="V83" s="68">
        <f t="shared" si="21"/>
        <v>3811.2589521862765</v>
      </c>
      <c r="W83" s="80">
        <v>2022</v>
      </c>
      <c r="X83" s="29" t="e">
        <f>+#REF!-'[1]Приложение №1'!$P1032</f>
        <v>#REF!</v>
      </c>
      <c r="Z83" s="31">
        <f t="shared" si="22"/>
        <v>63420061.129999995</v>
      </c>
      <c r="AA83" s="27">
        <v>5807446.1655264599</v>
      </c>
      <c r="AB83" s="27">
        <v>3358604.8833262799</v>
      </c>
      <c r="AC83" s="27">
        <v>3550294.0375593598</v>
      </c>
      <c r="AD83" s="27">
        <v>2707129.3844263195</v>
      </c>
      <c r="AE83" s="27">
        <v>1081442.7754918202</v>
      </c>
      <c r="AF83" s="27"/>
      <c r="AG83" s="27">
        <v>288570.47026920004</v>
      </c>
      <c r="AH83" s="27">
        <v>0</v>
      </c>
      <c r="AI83" s="27">
        <v>10338138.3710934</v>
      </c>
      <c r="AJ83" s="27">
        <v>0</v>
      </c>
      <c r="AK83" s="27">
        <v>20071554.294351</v>
      </c>
      <c r="AL83" s="27">
        <v>7893884.8726541996</v>
      </c>
      <c r="AM83" s="27">
        <v>6483934.0373000009</v>
      </c>
      <c r="AN83" s="32">
        <v>634200.61129999999</v>
      </c>
      <c r="AO83" s="33">
        <v>1204861.22670196</v>
      </c>
      <c r="AP83" s="84">
        <f>+N83-'Приложение №2'!E83</f>
        <v>0</v>
      </c>
      <c r="AQ83" s="1">
        <v>1653003.71</v>
      </c>
      <c r="AR83" s="1">
        <f t="shared" si="23"/>
        <v>352746.6</v>
      </c>
      <c r="AS83" s="1">
        <f>+(K83*10+L83*20)*12*30</f>
        <v>12449880</v>
      </c>
      <c r="AT83" s="29">
        <f t="shared" si="24"/>
        <v>-3666946.9156541992</v>
      </c>
    </row>
    <row r="84" spans="1:46" x14ac:dyDescent="0.25">
      <c r="A84" s="76">
        <f t="shared" si="25"/>
        <v>68</v>
      </c>
      <c r="B84" s="77">
        <f t="shared" si="25"/>
        <v>68</v>
      </c>
      <c r="C84" s="77" t="s">
        <v>72</v>
      </c>
      <c r="D84" s="77" t="s">
        <v>333</v>
      </c>
      <c r="E84" s="78">
        <v>1978</v>
      </c>
      <c r="F84" s="78">
        <v>2013</v>
      </c>
      <c r="G84" s="78" t="s">
        <v>51</v>
      </c>
      <c r="H84" s="78">
        <v>5</v>
      </c>
      <c r="I84" s="78">
        <v>4</v>
      </c>
      <c r="J84" s="44">
        <v>4866.6000000000004</v>
      </c>
      <c r="K84" s="44">
        <v>4226.8</v>
      </c>
      <c r="L84" s="44">
        <v>67</v>
      </c>
      <c r="M84" s="79">
        <v>317</v>
      </c>
      <c r="N84" s="129">
        <f t="shared" si="20"/>
        <v>6961640.1664998997</v>
      </c>
      <c r="O84" s="44"/>
      <c r="P84" s="162">
        <v>2801964.8706000075</v>
      </c>
      <c r="Q84" s="162"/>
      <c r="R84" s="162">
        <f>+'Приложение №2'!E84-'Приложение №1'!P84-'Приложение №1'!S84</f>
        <v>360566.95649989974</v>
      </c>
      <c r="S84" s="162">
        <v>3799108.3393999925</v>
      </c>
      <c r="T84" s="161">
        <f>+'Приложение №2'!E84-'Приложение №1'!P84-'Приложение №1'!Q84-'Приложение №1'!R84-'Приложение №1'!S84</f>
        <v>0</v>
      </c>
      <c r="U84" s="68">
        <f t="shared" si="21"/>
        <v>1621.3238079323442</v>
      </c>
      <c r="V84" s="68">
        <f t="shared" si="21"/>
        <v>1621.3238079323442</v>
      </c>
      <c r="W84" s="80">
        <v>2022</v>
      </c>
      <c r="X84" s="29" t="e">
        <f>+#REF!-'[1]Приложение №1'!$P1034</f>
        <v>#REF!</v>
      </c>
      <c r="Z84" s="31">
        <f t="shared" si="22"/>
        <v>73977525.395146951</v>
      </c>
      <c r="AA84" s="27">
        <v>7175917.2738107406</v>
      </c>
      <c r="AB84" s="27">
        <v>4150029.1384713002</v>
      </c>
      <c r="AC84" s="27"/>
      <c r="AD84" s="27">
        <v>3345039.4506639596</v>
      </c>
      <c r="AE84" s="27">
        <v>1336274.7838901998</v>
      </c>
      <c r="AF84" s="27"/>
      <c r="AG84" s="27">
        <v>356569.43953259999</v>
      </c>
      <c r="AH84" s="27">
        <v>0</v>
      </c>
      <c r="AI84" s="27">
        <v>12774225.313571399</v>
      </c>
      <c r="AJ84" s="27">
        <v>0</v>
      </c>
      <c r="AK84" s="27">
        <v>24801230.902935479</v>
      </c>
      <c r="AL84" s="27">
        <v>9754006.0220001023</v>
      </c>
      <c r="AM84" s="27">
        <v>8011813.2759000007</v>
      </c>
      <c r="AN84" s="32">
        <v>783644.13470000017</v>
      </c>
      <c r="AO84" s="33">
        <v>1488775.6596711604</v>
      </c>
      <c r="AP84" s="84">
        <f>+N84-'Приложение №2'!E84</f>
        <v>0</v>
      </c>
      <c r="AQ84" s="1">
        <f>2064874.72-682951.44</f>
        <v>1381923.28</v>
      </c>
      <c r="AR84" s="1">
        <f t="shared" si="23"/>
        <v>444801.6</v>
      </c>
      <c r="AS84" s="1">
        <f>+(K84*10+L84*20)*12*30-4953727.17</f>
        <v>10745152.83</v>
      </c>
      <c r="AT84" s="29">
        <f t="shared" si="24"/>
        <v>-6946044.4906000076</v>
      </c>
    </row>
    <row r="85" spans="1:46" x14ac:dyDescent="0.25">
      <c r="A85" s="76">
        <f t="shared" si="25"/>
        <v>69</v>
      </c>
      <c r="B85" s="77">
        <f t="shared" si="25"/>
        <v>69</v>
      </c>
      <c r="C85" s="77" t="s">
        <v>72</v>
      </c>
      <c r="D85" s="77" t="s">
        <v>334</v>
      </c>
      <c r="E85" s="78">
        <v>1981</v>
      </c>
      <c r="F85" s="78">
        <v>2009</v>
      </c>
      <c r="G85" s="78" t="s">
        <v>51</v>
      </c>
      <c r="H85" s="78">
        <v>5</v>
      </c>
      <c r="I85" s="78">
        <v>4</v>
      </c>
      <c r="J85" s="44">
        <v>6938.7</v>
      </c>
      <c r="K85" s="44">
        <v>6182.6</v>
      </c>
      <c r="L85" s="44">
        <v>0</v>
      </c>
      <c r="M85" s="79">
        <v>194</v>
      </c>
      <c r="N85" s="129">
        <f t="shared" si="20"/>
        <v>33699195.586773798</v>
      </c>
      <c r="O85" s="44"/>
      <c r="P85" s="161">
        <v>2786108.66</v>
      </c>
      <c r="Q85" s="162"/>
      <c r="R85" s="162">
        <f>1946079.41+233304.37</f>
        <v>2179383.7799999998</v>
      </c>
      <c r="S85" s="162">
        <f>+'Приложение №2'!E85-'Приложение №1'!P85-'Приложение №1'!R85-'Приложение №1'!T85</f>
        <v>18729521.126773797</v>
      </c>
      <c r="T85" s="161">
        <v>10004182.02</v>
      </c>
      <c r="U85" s="68">
        <f t="shared" si="21"/>
        <v>5450.6511155135049</v>
      </c>
      <c r="V85" s="68">
        <f t="shared" si="21"/>
        <v>5450.6511155135049</v>
      </c>
      <c r="W85" s="80">
        <v>2022</v>
      </c>
      <c r="X85" s="29" t="e">
        <f>+#REF!-'[1]Приложение №1'!$P1035</f>
        <v>#REF!</v>
      </c>
      <c r="Z85" s="31">
        <f t="shared" si="22"/>
        <v>112490116.45000002</v>
      </c>
      <c r="AA85" s="27">
        <v>10300846.19123742</v>
      </c>
      <c r="AB85" s="27">
        <v>5957260.9616612401</v>
      </c>
      <c r="AC85" s="27">
        <v>6297265.9176991209</v>
      </c>
      <c r="AD85" s="27">
        <v>4801718.7991861207</v>
      </c>
      <c r="AE85" s="27">
        <v>1918188.3660231601</v>
      </c>
      <c r="AF85" s="27"/>
      <c r="AG85" s="27">
        <v>511846.3343322</v>
      </c>
      <c r="AH85" s="27">
        <v>0</v>
      </c>
      <c r="AI85" s="27">
        <v>18337074.5641356</v>
      </c>
      <c r="AJ85" s="27">
        <v>0</v>
      </c>
      <c r="AK85" s="27">
        <v>35601534.275782861</v>
      </c>
      <c r="AL85" s="27">
        <v>14001626.819054702</v>
      </c>
      <c r="AM85" s="27">
        <v>11500753.575800002</v>
      </c>
      <c r="AN85" s="32">
        <v>1124901.1645</v>
      </c>
      <c r="AO85" s="33">
        <v>2137099.4805875802</v>
      </c>
      <c r="AP85" s="84">
        <f>+N85-'Приложение №2'!E85</f>
        <v>0</v>
      </c>
      <c r="AQ85" s="1">
        <f>2933225.6-137130.98</f>
        <v>2796094.62</v>
      </c>
      <c r="AR85" s="1">
        <f t="shared" si="23"/>
        <v>630625.19999999995</v>
      </c>
      <c r="AS85" s="1">
        <f>+(K85*10+L85*20)*12*30</f>
        <v>22257360</v>
      </c>
      <c r="AT85" s="29">
        <f t="shared" si="24"/>
        <v>-3527838.873226203</v>
      </c>
    </row>
    <row r="86" spans="1:46" s="35" customFormat="1" x14ac:dyDescent="0.25">
      <c r="A86" s="76">
        <f t="shared" si="25"/>
        <v>70</v>
      </c>
      <c r="B86" s="77">
        <f t="shared" si="25"/>
        <v>70</v>
      </c>
      <c r="C86" s="77" t="s">
        <v>72</v>
      </c>
      <c r="D86" s="77" t="s">
        <v>562</v>
      </c>
      <c r="E86" s="78" t="s">
        <v>569</v>
      </c>
      <c r="F86" s="78"/>
      <c r="G86" s="78" t="s">
        <v>573</v>
      </c>
      <c r="H86" s="78" t="s">
        <v>571</v>
      </c>
      <c r="I86" s="78" t="s">
        <v>575</v>
      </c>
      <c r="J86" s="44">
        <v>8385.68</v>
      </c>
      <c r="K86" s="44">
        <v>7039.3</v>
      </c>
      <c r="L86" s="44">
        <v>0</v>
      </c>
      <c r="M86" s="79">
        <v>255</v>
      </c>
      <c r="N86" s="129">
        <f t="shared" si="20"/>
        <v>9021353.7382023316</v>
      </c>
      <c r="O86" s="44">
        <v>0</v>
      </c>
      <c r="P86" s="162"/>
      <c r="Q86" s="162">
        <v>0</v>
      </c>
      <c r="R86" s="162">
        <f>+AQ86+AR86</f>
        <v>5101944.1893999996</v>
      </c>
      <c r="S86" s="162">
        <f>+'Приложение №2'!E86-'Приложение №1'!R86</f>
        <v>3919409.548802332</v>
      </c>
      <c r="T86" s="161">
        <f>+'Приложение №2'!E86-'Приложение №1'!P86-'Приложение №1'!Q86-'Приложение №1'!R86-'Приложение №1'!S86</f>
        <v>0</v>
      </c>
      <c r="U86" s="68">
        <f>N86/K86</f>
        <v>1281.569721165788</v>
      </c>
      <c r="V86" s="68">
        <v>1172.2830200640003</v>
      </c>
      <c r="W86" s="80">
        <v>2022</v>
      </c>
      <c r="X86" s="35">
        <v>3214815.68</v>
      </c>
      <c r="Y86" s="35">
        <f>+(K86*12.08+L86*20.47)*12</f>
        <v>1020416.9280000001</v>
      </c>
      <c r="AA86" s="36">
        <f>+N86-'[5]Приложение № 2'!E82</f>
        <v>8032944.6082023317</v>
      </c>
      <c r="AD86" s="36">
        <f>+N86-'[5]Приложение № 2'!E82</f>
        <v>8032944.6082023317</v>
      </c>
      <c r="AP86" s="84">
        <f>+N86-'Приложение №2'!E86</f>
        <v>0</v>
      </c>
      <c r="AQ86" s="35">
        <v>4147710.76</v>
      </c>
      <c r="AR86" s="1">
        <f>+(K86*13.29+L86*22.52)*12*0.85</f>
        <v>954233.42939999979</v>
      </c>
      <c r="AS86" s="1">
        <f>+(K86*13.29+L86*22.52)*12*30</f>
        <v>33678826.919999994</v>
      </c>
      <c r="AT86" s="29">
        <f t="shared" si="24"/>
        <v>-29759417.371197663</v>
      </c>
    </row>
    <row r="87" spans="1:46" x14ac:dyDescent="0.25">
      <c r="A87" s="76">
        <f t="shared" si="25"/>
        <v>71</v>
      </c>
      <c r="B87" s="77">
        <f t="shared" si="25"/>
        <v>71</v>
      </c>
      <c r="C87" s="77" t="s">
        <v>72</v>
      </c>
      <c r="D87" s="77" t="s">
        <v>336</v>
      </c>
      <c r="E87" s="78">
        <v>1990</v>
      </c>
      <c r="F87" s="78">
        <v>2005</v>
      </c>
      <c r="G87" s="78" t="s">
        <v>51</v>
      </c>
      <c r="H87" s="78">
        <v>5</v>
      </c>
      <c r="I87" s="78">
        <v>4</v>
      </c>
      <c r="J87" s="44">
        <v>4982</v>
      </c>
      <c r="K87" s="44">
        <v>4404.6000000000004</v>
      </c>
      <c r="L87" s="44">
        <v>0</v>
      </c>
      <c r="M87" s="79">
        <v>212</v>
      </c>
      <c r="N87" s="129">
        <f t="shared" si="20"/>
        <v>29481765.911612161</v>
      </c>
      <c r="O87" s="44"/>
      <c r="P87" s="162">
        <v>8060872.4300000006</v>
      </c>
      <c r="Q87" s="162"/>
      <c r="R87" s="162">
        <f>+AQ87+AR87</f>
        <v>2550477.0000000005</v>
      </c>
      <c r="S87" s="162">
        <f>+'Приложение №2'!E87-'Приложение №1'!P87-'Приложение №1'!R87-'Приложение №1'!T87</f>
        <v>16238030.801612156</v>
      </c>
      <c r="T87" s="161">
        <v>2632385.6800000016</v>
      </c>
      <c r="U87" s="68">
        <f t="shared" ref="U87:V120" si="26">$N87/($K87+$L87)</f>
        <v>6693.4036942315215</v>
      </c>
      <c r="V87" s="68">
        <f t="shared" si="26"/>
        <v>6693.4036942315215</v>
      </c>
      <c r="W87" s="80">
        <v>2022</v>
      </c>
      <c r="X87" s="29" t="e">
        <f>+#REF!-'[1]Приложение №1'!$P1043</f>
        <v>#REF!</v>
      </c>
      <c r="Z87" s="31">
        <f t="shared" ref="Z87:Z120" si="27">SUM(AA87:AO87)</f>
        <v>49032236.020000011</v>
      </c>
      <c r="AA87" s="27">
        <v>0</v>
      </c>
      <c r="AB87" s="27">
        <v>0</v>
      </c>
      <c r="AC87" s="27">
        <v>4479661.5288129607</v>
      </c>
      <c r="AD87" s="27">
        <v>0</v>
      </c>
      <c r="AE87" s="27">
        <v>0</v>
      </c>
      <c r="AF87" s="27"/>
      <c r="AG87" s="27">
        <v>0</v>
      </c>
      <c r="AH87" s="27">
        <v>0</v>
      </c>
      <c r="AI87" s="27">
        <v>13044373.2933948</v>
      </c>
      <c r="AJ87" s="27">
        <v>0</v>
      </c>
      <c r="AK87" s="27">
        <v>25325724.749393042</v>
      </c>
      <c r="AL87" s="27">
        <v>0</v>
      </c>
      <c r="AM87" s="27">
        <v>4755116.6318000006</v>
      </c>
      <c r="AN87" s="32">
        <v>490322.3602</v>
      </c>
      <c r="AO87" s="33">
        <v>937037.45639919979</v>
      </c>
      <c r="AP87" s="84">
        <f>+N87-'Приложение №2'!E87</f>
        <v>0</v>
      </c>
      <c r="AQ87" s="1">
        <f>2210839.58-109631.78</f>
        <v>2101207.8000000003</v>
      </c>
      <c r="AR87" s="1">
        <f t="shared" ref="AR87:AR110" si="28">+(K87*10+L87*20)*12*0.85</f>
        <v>449269.2</v>
      </c>
      <c r="AS87" s="1">
        <f>+(K87*10+L87*20)*12*30-126359.21</f>
        <v>15730200.789999999</v>
      </c>
      <c r="AT87" s="29">
        <f t="shared" si="24"/>
        <v>507830.01161215641</v>
      </c>
    </row>
    <row r="88" spans="1:46" x14ac:dyDescent="0.25">
      <c r="A88" s="76">
        <f t="shared" si="25"/>
        <v>72</v>
      </c>
      <c r="B88" s="77">
        <f t="shared" si="25"/>
        <v>72</v>
      </c>
      <c r="C88" s="77" t="s">
        <v>72</v>
      </c>
      <c r="D88" s="77" t="s">
        <v>468</v>
      </c>
      <c r="E88" s="78">
        <v>1970</v>
      </c>
      <c r="F88" s="78">
        <v>2013</v>
      </c>
      <c r="G88" s="78" t="s">
        <v>44</v>
      </c>
      <c r="H88" s="78">
        <v>5</v>
      </c>
      <c r="I88" s="78">
        <v>4</v>
      </c>
      <c r="J88" s="44">
        <v>3068</v>
      </c>
      <c r="K88" s="44">
        <v>2483.8000000000002</v>
      </c>
      <c r="L88" s="44">
        <v>584.20000000000005</v>
      </c>
      <c r="M88" s="79">
        <v>142</v>
      </c>
      <c r="N88" s="129">
        <f t="shared" ref="N88:N112" si="29">+P88+Q88+R88+S88+T88</f>
        <v>1195255.9053653199</v>
      </c>
      <c r="O88" s="44"/>
      <c r="P88" s="162"/>
      <c r="Q88" s="162"/>
      <c r="R88" s="162">
        <f>+'Приложение №2'!E88-'Приложение №1'!S88</f>
        <v>138246.74536532001</v>
      </c>
      <c r="S88" s="161">
        <v>1057009.1599999999</v>
      </c>
      <c r="T88" s="161"/>
      <c r="U88" s="68">
        <f t="shared" si="26"/>
        <v>389.58797436940023</v>
      </c>
      <c r="V88" s="68">
        <f t="shared" si="26"/>
        <v>389.58797436940023</v>
      </c>
      <c r="W88" s="80">
        <v>2022</v>
      </c>
      <c r="X88" s="29" t="e">
        <f>+#REF!-'[1]Приложение №1'!$P1441</f>
        <v>#REF!</v>
      </c>
      <c r="Z88" s="31">
        <f t="shared" si="27"/>
        <v>25875618.41</v>
      </c>
      <c r="AA88" s="27">
        <v>5945419.54417866</v>
      </c>
      <c r="AB88" s="27">
        <v>2118597.4078747798</v>
      </c>
      <c r="AC88" s="27">
        <v>2213462.8846331402</v>
      </c>
      <c r="AD88" s="27">
        <v>1385767.7235401999</v>
      </c>
      <c r="AE88" s="27">
        <v>0</v>
      </c>
      <c r="AF88" s="27"/>
      <c r="AG88" s="27">
        <v>228142.02967667999</v>
      </c>
      <c r="AH88" s="27">
        <v>0</v>
      </c>
      <c r="AI88" s="27">
        <v>10869131.540912401</v>
      </c>
      <c r="AJ88" s="27">
        <v>0</v>
      </c>
      <c r="AK88" s="27">
        <v>0</v>
      </c>
      <c r="AL88" s="27">
        <v>0</v>
      </c>
      <c r="AM88" s="27">
        <v>2358614.5958000002</v>
      </c>
      <c r="AN88" s="32">
        <v>258756.18410000001</v>
      </c>
      <c r="AO88" s="33">
        <v>497726.49928414001</v>
      </c>
      <c r="AP88" s="84">
        <f>+N88-'Приложение №2'!E88</f>
        <v>0</v>
      </c>
      <c r="AQ88" s="1">
        <v>504168.77</v>
      </c>
      <c r="AR88" s="1">
        <f t="shared" si="28"/>
        <v>372524.39999999997</v>
      </c>
      <c r="AS88" s="1">
        <f>+(K88*10+L88*20)*12*30</f>
        <v>13147920</v>
      </c>
      <c r="AT88" s="29">
        <f t="shared" si="24"/>
        <v>-12090910.84</v>
      </c>
    </row>
    <row r="89" spans="1:46" x14ac:dyDescent="0.25">
      <c r="A89" s="76">
        <f t="shared" si="25"/>
        <v>73</v>
      </c>
      <c r="B89" s="77">
        <f t="shared" si="25"/>
        <v>73</v>
      </c>
      <c r="C89" s="77" t="s">
        <v>72</v>
      </c>
      <c r="D89" s="77" t="s">
        <v>539</v>
      </c>
      <c r="E89" s="78">
        <v>1996</v>
      </c>
      <c r="F89" s="78"/>
      <c r="G89" s="78" t="s">
        <v>51</v>
      </c>
      <c r="H89" s="78">
        <v>5</v>
      </c>
      <c r="I89" s="78">
        <v>2</v>
      </c>
      <c r="J89" s="44">
        <v>3019</v>
      </c>
      <c r="K89" s="44">
        <v>2443.9</v>
      </c>
      <c r="L89" s="44">
        <v>0</v>
      </c>
      <c r="M89" s="79">
        <v>97</v>
      </c>
      <c r="N89" s="129">
        <f t="shared" si="29"/>
        <v>5574102.9828846604</v>
      </c>
      <c r="O89" s="44"/>
      <c r="P89" s="162">
        <v>421112.51</v>
      </c>
      <c r="Q89" s="162"/>
      <c r="R89" s="162">
        <f>+AQ89+AR89-103102.05-574610.82</f>
        <v>1310388.0899999999</v>
      </c>
      <c r="S89" s="162">
        <f>+'Приложение №2'!E89-'Приложение №1'!R89-P89</f>
        <v>3842602.3828846607</v>
      </c>
      <c r="T89" s="161">
        <f>+'Приложение №2'!E89-'Приложение №1'!P89-'Приложение №1'!Q89-'Приложение №1'!R89-'Приложение №1'!S89</f>
        <v>0</v>
      </c>
      <c r="U89" s="68">
        <f t="shared" si="26"/>
        <v>2280.8228580893901</v>
      </c>
      <c r="V89" s="68">
        <f t="shared" si="26"/>
        <v>2280.8228580893901</v>
      </c>
      <c r="W89" s="80">
        <v>2022</v>
      </c>
      <c r="X89" s="29" t="e">
        <f>+#REF!-'[1]Приложение №1'!$P1442</f>
        <v>#REF!</v>
      </c>
      <c r="Z89" s="31">
        <f t="shared" si="27"/>
        <v>42710518.469999999</v>
      </c>
      <c r="AA89" s="27">
        <v>4563184.2077858401</v>
      </c>
      <c r="AB89" s="27">
        <v>2639014.1793056997</v>
      </c>
      <c r="AC89" s="27">
        <v>2789633.3844447597</v>
      </c>
      <c r="AD89" s="27">
        <v>2127119.1704859594</v>
      </c>
      <c r="AE89" s="27">
        <v>849740.56339409994</v>
      </c>
      <c r="AF89" s="27"/>
      <c r="AG89" s="27">
        <v>226743.42160260002</v>
      </c>
      <c r="AH89" s="27">
        <v>0</v>
      </c>
      <c r="AI89" s="27">
        <v>8123162.6588364001</v>
      </c>
      <c r="AJ89" s="27">
        <v>0</v>
      </c>
      <c r="AK89" s="27">
        <v>15771166.374696182</v>
      </c>
      <c r="AL89" s="27">
        <v>0</v>
      </c>
      <c r="AM89" s="27">
        <v>4382571.3064000001</v>
      </c>
      <c r="AN89" s="32">
        <v>427105.18469999998</v>
      </c>
      <c r="AO89" s="33">
        <v>811078.01834846009</v>
      </c>
      <c r="AP89" s="84">
        <f>+N89-'Приложение №2'!E89</f>
        <v>0</v>
      </c>
      <c r="AQ89" s="1">
        <v>1738823.16</v>
      </c>
      <c r="AR89" s="1">
        <f t="shared" si="28"/>
        <v>249277.8</v>
      </c>
      <c r="AS89" s="1">
        <f>+(K89*10+L89*20)*12*30</f>
        <v>8798040</v>
      </c>
      <c r="AT89" s="29">
        <f t="shared" si="24"/>
        <v>-4955437.6171153393</v>
      </c>
    </row>
    <row r="90" spans="1:46" x14ac:dyDescent="0.25">
      <c r="A90" s="76">
        <f t="shared" si="25"/>
        <v>74</v>
      </c>
      <c r="B90" s="77">
        <f t="shared" si="25"/>
        <v>74</v>
      </c>
      <c r="C90" s="77" t="s">
        <v>72</v>
      </c>
      <c r="D90" s="77" t="s">
        <v>341</v>
      </c>
      <c r="E90" s="78">
        <v>1982</v>
      </c>
      <c r="F90" s="78">
        <v>2013</v>
      </c>
      <c r="G90" s="78" t="s">
        <v>51</v>
      </c>
      <c r="H90" s="78">
        <v>5</v>
      </c>
      <c r="I90" s="78">
        <v>4</v>
      </c>
      <c r="J90" s="44">
        <v>4923.8999999999996</v>
      </c>
      <c r="K90" s="44">
        <v>4353.2</v>
      </c>
      <c r="L90" s="44">
        <v>0</v>
      </c>
      <c r="M90" s="79">
        <v>184</v>
      </c>
      <c r="N90" s="129">
        <f t="shared" si="29"/>
        <v>2006872.7686219998</v>
      </c>
      <c r="O90" s="44"/>
      <c r="P90" s="162"/>
      <c r="Q90" s="162"/>
      <c r="R90" s="162">
        <f>+'Приложение №2'!E90</f>
        <v>2006872.7686219998</v>
      </c>
      <c r="S90" s="162">
        <f>+'Приложение №2'!E90-'Приложение №1'!R90</f>
        <v>0</v>
      </c>
      <c r="T90" s="161">
        <f>+'Приложение №2'!E90-'Приложение №1'!P90-'Приложение №1'!Q90-'Приложение №1'!R90-'Приложение №1'!S90</f>
        <v>0</v>
      </c>
      <c r="U90" s="68">
        <f t="shared" si="26"/>
        <v>461.01092727694567</v>
      </c>
      <c r="V90" s="68">
        <f t="shared" si="26"/>
        <v>461.01092727694567</v>
      </c>
      <c r="W90" s="80">
        <v>2022</v>
      </c>
      <c r="X90" s="29" t="e">
        <f>+#REF!-'[1]Приложение №1'!$P1051</f>
        <v>#REF!</v>
      </c>
      <c r="Z90" s="31">
        <f t="shared" si="27"/>
        <v>2003612.24</v>
      </c>
      <c r="AA90" s="27">
        <v>0</v>
      </c>
      <c r="AB90" s="27">
        <v>0</v>
      </c>
      <c r="AC90" s="27">
        <v>0</v>
      </c>
      <c r="AD90" s="27">
        <v>0</v>
      </c>
      <c r="AE90" s="27">
        <v>1857825.9394380001</v>
      </c>
      <c r="AF90" s="27"/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99984.47</v>
      </c>
      <c r="AN90" s="27">
        <v>5174.9399999999996</v>
      </c>
      <c r="AO90" s="33">
        <v>40626.890562000008</v>
      </c>
      <c r="AP90" s="84">
        <f>+N90-'Приложение №2'!E90</f>
        <v>0</v>
      </c>
      <c r="AQ90" s="1">
        <v>2027227.26</v>
      </c>
      <c r="AR90" s="1">
        <f t="shared" si="28"/>
        <v>444026.39999999997</v>
      </c>
      <c r="AS90" s="1">
        <f>+(K90*10+L90*20)*12*30</f>
        <v>15671520</v>
      </c>
      <c r="AT90" s="29">
        <f t="shared" si="24"/>
        <v>-15671520</v>
      </c>
    </row>
    <row r="91" spans="1:46" x14ac:dyDescent="0.25">
      <c r="A91" s="76">
        <f t="shared" si="25"/>
        <v>75</v>
      </c>
      <c r="B91" s="77">
        <f t="shared" si="25"/>
        <v>75</v>
      </c>
      <c r="C91" s="77" t="s">
        <v>72</v>
      </c>
      <c r="D91" s="77" t="s">
        <v>342</v>
      </c>
      <c r="E91" s="78">
        <v>1981</v>
      </c>
      <c r="F91" s="78">
        <v>2013</v>
      </c>
      <c r="G91" s="78" t="s">
        <v>51</v>
      </c>
      <c r="H91" s="78">
        <v>5</v>
      </c>
      <c r="I91" s="78">
        <v>4</v>
      </c>
      <c r="J91" s="44">
        <v>4944.1000000000004</v>
      </c>
      <c r="K91" s="44">
        <v>4354.8999999999996</v>
      </c>
      <c r="L91" s="44">
        <v>0</v>
      </c>
      <c r="M91" s="79">
        <v>212</v>
      </c>
      <c r="N91" s="129">
        <f t="shared" si="29"/>
        <v>2008071.8906700001</v>
      </c>
      <c r="O91" s="44"/>
      <c r="P91" s="162"/>
      <c r="Q91" s="162"/>
      <c r="R91" s="162">
        <f>+'Приложение №2'!E91</f>
        <v>2008071.8906700001</v>
      </c>
      <c r="S91" s="162">
        <f>+'Приложение №2'!E91-'Приложение №1'!R91</f>
        <v>0</v>
      </c>
      <c r="T91" s="161">
        <f>+'Приложение №2'!E91-'Приложение №1'!P91-'Приложение №1'!Q91-'Приложение №1'!R91-'Приложение №1'!S91</f>
        <v>0</v>
      </c>
      <c r="U91" s="68">
        <f t="shared" si="26"/>
        <v>461.10631487979066</v>
      </c>
      <c r="V91" s="68">
        <f t="shared" si="26"/>
        <v>461.10631487979066</v>
      </c>
      <c r="W91" s="80">
        <v>2022</v>
      </c>
      <c r="X91" s="29" t="e">
        <f>+#REF!-'[1]Приложение №1'!$P1052</f>
        <v>#REF!</v>
      </c>
      <c r="Z91" s="31">
        <f t="shared" si="27"/>
        <v>2005269.71</v>
      </c>
      <c r="AA91" s="27">
        <v>0</v>
      </c>
      <c r="AB91" s="27">
        <v>0</v>
      </c>
      <c r="AC91" s="27">
        <v>0</v>
      </c>
      <c r="AD91" s="27">
        <v>0</v>
      </c>
      <c r="AE91" s="27">
        <v>1855611.1229879998</v>
      </c>
      <c r="AF91" s="27"/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103902.76</v>
      </c>
      <c r="AN91" s="27">
        <v>5177.37</v>
      </c>
      <c r="AO91" s="33">
        <v>40578.457011999999</v>
      </c>
      <c r="AP91" s="84">
        <f>+N91-'Приложение №2'!E91</f>
        <v>0</v>
      </c>
      <c r="AQ91" s="1">
        <v>2139968.2200000002</v>
      </c>
      <c r="AR91" s="1">
        <f t="shared" si="28"/>
        <v>444199.8</v>
      </c>
      <c r="AS91" s="1">
        <f>+(K91*10+L91*20)*12*30</f>
        <v>15677640</v>
      </c>
      <c r="AT91" s="29">
        <f t="shared" si="24"/>
        <v>-15677640</v>
      </c>
    </row>
    <row r="92" spans="1:46" x14ac:dyDescent="0.25">
      <c r="A92" s="76">
        <f t="shared" si="25"/>
        <v>76</v>
      </c>
      <c r="B92" s="77">
        <f t="shared" si="25"/>
        <v>76</v>
      </c>
      <c r="C92" s="77" t="s">
        <v>72</v>
      </c>
      <c r="D92" s="77" t="s">
        <v>343</v>
      </c>
      <c r="E92" s="78">
        <v>1985</v>
      </c>
      <c r="F92" s="78">
        <v>2013</v>
      </c>
      <c r="G92" s="78" t="s">
        <v>51</v>
      </c>
      <c r="H92" s="78">
        <v>5</v>
      </c>
      <c r="I92" s="78">
        <v>4</v>
      </c>
      <c r="J92" s="44">
        <v>4831.5</v>
      </c>
      <c r="K92" s="44">
        <v>4248.8999999999996</v>
      </c>
      <c r="L92" s="44">
        <v>0</v>
      </c>
      <c r="M92" s="79">
        <v>185</v>
      </c>
      <c r="N92" s="129">
        <f t="shared" si="29"/>
        <v>2179061.4200000004</v>
      </c>
      <c r="O92" s="44"/>
      <c r="P92" s="162">
        <v>41639.089999999997</v>
      </c>
      <c r="Q92" s="162"/>
      <c r="R92" s="162">
        <v>1146251.6500000001</v>
      </c>
      <c r="S92" s="162">
        <v>991170.68</v>
      </c>
      <c r="T92" s="161">
        <f>+'Приложение №2'!E92-'Приложение №1'!P92-'Приложение №1'!Q92-'Приложение №1'!R92-'Приложение №1'!S92</f>
        <v>0</v>
      </c>
      <c r="U92" s="68">
        <f t="shared" si="26"/>
        <v>512.85307255995679</v>
      </c>
      <c r="V92" s="68">
        <f t="shared" si="26"/>
        <v>512.85307255995679</v>
      </c>
      <c r="W92" s="80">
        <v>2022</v>
      </c>
      <c r="X92" s="29" t="e">
        <f>+#REF!-'[1]Приложение №1'!$P1053</f>
        <v>#REF!</v>
      </c>
      <c r="Z92" s="31">
        <f t="shared" si="27"/>
        <v>14731405.994299399</v>
      </c>
      <c r="AA92" s="27">
        <v>0</v>
      </c>
      <c r="AB92" s="27">
        <v>0</v>
      </c>
      <c r="AC92" s="27">
        <v>0</v>
      </c>
      <c r="AD92" s="27">
        <v>0</v>
      </c>
      <c r="AE92" s="27">
        <v>1320450.7628806198</v>
      </c>
      <c r="AF92" s="27"/>
      <c r="AG92" s="27">
        <v>0</v>
      </c>
      <c r="AH92" s="27">
        <v>0</v>
      </c>
      <c r="AI92" s="27"/>
      <c r="AJ92" s="27">
        <v>0</v>
      </c>
      <c r="AK92" s="27">
        <v>0</v>
      </c>
      <c r="AL92" s="27">
        <v>9638500.1460678</v>
      </c>
      <c r="AM92" s="27">
        <v>2983222.9760999996</v>
      </c>
      <c r="AN92" s="32">
        <v>273543.60320000001</v>
      </c>
      <c r="AO92" s="33">
        <v>515688.50605098007</v>
      </c>
      <c r="AP92" s="84">
        <f>+N92-'Приложение №2'!E92</f>
        <v>0</v>
      </c>
      <c r="AQ92" s="1">
        <f>2031310.17-1377300.63</f>
        <v>654009.54</v>
      </c>
      <c r="AR92" s="1">
        <f t="shared" si="28"/>
        <v>433387.8</v>
      </c>
      <c r="AS92" s="1">
        <f>+(K92*10+L92*20)*12*30-4430181.56</f>
        <v>10865858.440000001</v>
      </c>
      <c r="AT92" s="29">
        <f t="shared" si="24"/>
        <v>-9874687.7600000016</v>
      </c>
    </row>
    <row r="93" spans="1:46" x14ac:dyDescent="0.25">
      <c r="A93" s="76">
        <f t="shared" si="25"/>
        <v>77</v>
      </c>
      <c r="B93" s="77">
        <f t="shared" si="25"/>
        <v>77</v>
      </c>
      <c r="C93" s="77" t="s">
        <v>72</v>
      </c>
      <c r="D93" s="77" t="s">
        <v>190</v>
      </c>
      <c r="E93" s="78">
        <v>1973</v>
      </c>
      <c r="F93" s="78">
        <v>2013</v>
      </c>
      <c r="G93" s="78" t="s">
        <v>44</v>
      </c>
      <c r="H93" s="78">
        <v>4</v>
      </c>
      <c r="I93" s="78">
        <v>4</v>
      </c>
      <c r="J93" s="44">
        <v>2799.6</v>
      </c>
      <c r="K93" s="44">
        <v>1950.2</v>
      </c>
      <c r="L93" s="44">
        <v>849.4</v>
      </c>
      <c r="M93" s="79">
        <v>97</v>
      </c>
      <c r="N93" s="129">
        <f t="shared" si="29"/>
        <v>856186.02</v>
      </c>
      <c r="O93" s="44"/>
      <c r="P93" s="162"/>
      <c r="Q93" s="162"/>
      <c r="R93" s="165"/>
      <c r="S93" s="162">
        <f>+'Приложение №2'!E93</f>
        <v>856186.02</v>
      </c>
      <c r="T93" s="161"/>
      <c r="U93" s="68">
        <f t="shared" si="26"/>
        <v>305.82441063009003</v>
      </c>
      <c r="V93" s="68">
        <f t="shared" si="26"/>
        <v>305.82441063009003</v>
      </c>
      <c r="W93" s="80">
        <v>2022</v>
      </c>
      <c r="X93" s="29" t="e">
        <f>+#REF!-'[1]Приложение №1'!$P670</f>
        <v>#REF!</v>
      </c>
      <c r="Z93" s="31">
        <f t="shared" si="27"/>
        <v>12055712.754182</v>
      </c>
      <c r="AA93" s="27">
        <v>0</v>
      </c>
      <c r="AB93" s="27">
        <v>0</v>
      </c>
      <c r="AC93" s="27">
        <v>0</v>
      </c>
      <c r="AD93" s="27">
        <v>0</v>
      </c>
      <c r="AE93" s="27">
        <v>855198.98</v>
      </c>
      <c r="AF93" s="27"/>
      <c r="AG93" s="27">
        <v>0</v>
      </c>
      <c r="AH93" s="27">
        <v>0</v>
      </c>
      <c r="AI93" s="27">
        <v>0</v>
      </c>
      <c r="AJ93" s="27">
        <v>0</v>
      </c>
      <c r="AK93" s="27">
        <v>4622378.1154139396</v>
      </c>
      <c r="AL93" s="27">
        <v>4985775.8594565606</v>
      </c>
      <c r="AM93" s="27">
        <v>1265941.3650000002</v>
      </c>
      <c r="AN93" s="32">
        <v>113650.91250000001</v>
      </c>
      <c r="AO93" s="33">
        <v>212767.52181150002</v>
      </c>
      <c r="AP93" s="84">
        <f>+N93-'Приложение №2'!E93</f>
        <v>0</v>
      </c>
      <c r="AQ93" s="1">
        <v>1792695.27</v>
      </c>
      <c r="AR93" s="1">
        <f t="shared" si="28"/>
        <v>372198</v>
      </c>
      <c r="AS93" s="1">
        <f>+(K93*10+L93*20)*12*30</f>
        <v>13136400</v>
      </c>
      <c r="AT93" s="29">
        <f t="shared" si="24"/>
        <v>-12280213.98</v>
      </c>
    </row>
    <row r="94" spans="1:46" x14ac:dyDescent="0.25">
      <c r="A94" s="76">
        <f t="shared" si="25"/>
        <v>78</v>
      </c>
      <c r="B94" s="77">
        <f t="shared" si="25"/>
        <v>78</v>
      </c>
      <c r="C94" s="77" t="s">
        <v>72</v>
      </c>
      <c r="D94" s="77" t="s">
        <v>191</v>
      </c>
      <c r="E94" s="78">
        <v>1976</v>
      </c>
      <c r="F94" s="78">
        <v>2013</v>
      </c>
      <c r="G94" s="78" t="s">
        <v>51</v>
      </c>
      <c r="H94" s="78">
        <v>4</v>
      </c>
      <c r="I94" s="78">
        <v>6</v>
      </c>
      <c r="J94" s="44">
        <v>5727.3</v>
      </c>
      <c r="K94" s="44">
        <v>4928.1000000000004</v>
      </c>
      <c r="L94" s="44">
        <v>70.7</v>
      </c>
      <c r="M94" s="79">
        <v>234</v>
      </c>
      <c r="N94" s="129">
        <f t="shared" si="29"/>
        <v>2296257.4311860004</v>
      </c>
      <c r="O94" s="44"/>
      <c r="P94" s="162">
        <v>1556194.47</v>
      </c>
      <c r="Q94" s="162"/>
      <c r="R94" s="162">
        <f>+'Приложение №2'!E94-'Приложение №1'!P94-'Приложение №1'!S94</f>
        <v>274059.37118600035</v>
      </c>
      <c r="S94" s="162">
        <v>466003.59</v>
      </c>
      <c r="T94" s="161">
        <f>+'Приложение №2'!E94-'Приложение №1'!P94-'Приложение №1'!Q94-'Приложение №1'!R94-'Приложение №1'!S94</f>
        <v>0</v>
      </c>
      <c r="U94" s="68">
        <f t="shared" si="26"/>
        <v>459.36173305313281</v>
      </c>
      <c r="V94" s="68">
        <f t="shared" si="26"/>
        <v>459.36173305313281</v>
      </c>
      <c r="W94" s="80">
        <v>2022</v>
      </c>
      <c r="X94" s="29">
        <f>+S94-'[1]Приложение №1'!$P671</f>
        <v>-7704500.1799999997</v>
      </c>
      <c r="Z94" s="31">
        <f t="shared" si="27"/>
        <v>8101376.7311859997</v>
      </c>
      <c r="AA94" s="27">
        <v>0</v>
      </c>
      <c r="AB94" s="27">
        <v>0</v>
      </c>
      <c r="AC94" s="27">
        <v>5108867.6053762194</v>
      </c>
      <c r="AD94" s="27">
        <v>0</v>
      </c>
      <c r="AE94" s="27">
        <v>2022198.06</v>
      </c>
      <c r="AF94" s="27"/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786081.95299999998</v>
      </c>
      <c r="AN94" s="32">
        <v>60658.294300000001</v>
      </c>
      <c r="AO94" s="33">
        <v>123570.81850978</v>
      </c>
      <c r="AP94" s="84">
        <f>+N94-'Приложение №2'!E94</f>
        <v>0</v>
      </c>
      <c r="AQ94" s="1">
        <f>2269068.63-1153662.35-337091.58</f>
        <v>778314.69999999972</v>
      </c>
      <c r="AR94" s="1">
        <f t="shared" si="28"/>
        <v>517089</v>
      </c>
      <c r="AS94" s="1">
        <f>+(K94*10+L94*20)*12*30-1213002.672-2895880.10928442</f>
        <v>14141317.218715582</v>
      </c>
      <c r="AT94" s="29">
        <f t="shared" si="24"/>
        <v>-13675313.628715582</v>
      </c>
    </row>
    <row r="95" spans="1:46" x14ac:dyDescent="0.25">
      <c r="A95" s="76">
        <f t="shared" si="25"/>
        <v>79</v>
      </c>
      <c r="B95" s="77">
        <f t="shared" si="25"/>
        <v>79</v>
      </c>
      <c r="C95" s="77" t="s">
        <v>72</v>
      </c>
      <c r="D95" s="77" t="s">
        <v>347</v>
      </c>
      <c r="E95" s="78">
        <v>1979</v>
      </c>
      <c r="F95" s="78">
        <v>2013</v>
      </c>
      <c r="G95" s="78" t="s">
        <v>51</v>
      </c>
      <c r="H95" s="78">
        <v>4</v>
      </c>
      <c r="I95" s="78">
        <v>6</v>
      </c>
      <c r="J95" s="44">
        <v>5599.1</v>
      </c>
      <c r="K95" s="44">
        <v>5005.8999999999996</v>
      </c>
      <c r="L95" s="44">
        <v>0</v>
      </c>
      <c r="M95" s="79">
        <v>207</v>
      </c>
      <c r="N95" s="129">
        <f t="shared" si="29"/>
        <v>16801922.47724456</v>
      </c>
      <c r="O95" s="44"/>
      <c r="P95" s="162"/>
      <c r="Q95" s="162"/>
      <c r="R95" s="162">
        <f>+AQ95+AR95-114059</f>
        <v>2768356.94</v>
      </c>
      <c r="S95" s="162">
        <f>+'Приложение №2'!E95-'Приложение №1'!R95</f>
        <v>14033565.53724456</v>
      </c>
      <c r="T95" s="161">
        <f>+'Приложение №2'!E95-'Приложение №1'!P95-'Приложение №1'!Q95-'Приложение №1'!R95-'Приложение №1'!S95</f>
        <v>0</v>
      </c>
      <c r="U95" s="68">
        <f t="shared" si="26"/>
        <v>3356.423915228942</v>
      </c>
      <c r="V95" s="68">
        <f t="shared" si="26"/>
        <v>3356.423915228942</v>
      </c>
      <c r="W95" s="80">
        <v>2022</v>
      </c>
      <c r="X95" s="29" t="e">
        <f>+#REF!-'[1]Приложение №1'!$P1069</f>
        <v>#REF!</v>
      </c>
      <c r="Z95" s="31">
        <f t="shared" si="27"/>
        <v>28192630.469999995</v>
      </c>
      <c r="AA95" s="27">
        <v>8364919.510725962</v>
      </c>
      <c r="AB95" s="27">
        <v>4837661.63124552</v>
      </c>
      <c r="AC95" s="27">
        <v>5113766.538725879</v>
      </c>
      <c r="AD95" s="27">
        <v>3899290.4561225995</v>
      </c>
      <c r="AE95" s="27">
        <v>1557686.7201785401</v>
      </c>
      <c r="AF95" s="27"/>
      <c r="AG95" s="27">
        <v>415650.64718099998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3192764.7577999998</v>
      </c>
      <c r="AN95" s="32">
        <v>281926.30469999998</v>
      </c>
      <c r="AO95" s="33">
        <v>528963.90332049993</v>
      </c>
      <c r="AP95" s="84">
        <f>+N95-'Приложение №2'!E95</f>
        <v>0</v>
      </c>
      <c r="AQ95" s="1">
        <v>2371814.14</v>
      </c>
      <c r="AR95" s="1">
        <f t="shared" si="28"/>
        <v>510601.8</v>
      </c>
      <c r="AS95" s="1">
        <f>+(K95*10+L95*20)*12*30-3198417.38</f>
        <v>14822822.620000001</v>
      </c>
      <c r="AT95" s="29">
        <f t="shared" si="24"/>
        <v>-789257.08275544085</v>
      </c>
    </row>
    <row r="96" spans="1:46" x14ac:dyDescent="0.25">
      <c r="A96" s="76">
        <f t="shared" si="25"/>
        <v>80</v>
      </c>
      <c r="B96" s="77">
        <f t="shared" si="25"/>
        <v>80</v>
      </c>
      <c r="C96" s="77" t="s">
        <v>72</v>
      </c>
      <c r="D96" s="77" t="s">
        <v>348</v>
      </c>
      <c r="E96" s="78">
        <v>1976</v>
      </c>
      <c r="F96" s="78">
        <v>2013</v>
      </c>
      <c r="G96" s="78" t="s">
        <v>51</v>
      </c>
      <c r="H96" s="78">
        <v>4</v>
      </c>
      <c r="I96" s="78">
        <v>6</v>
      </c>
      <c r="J96" s="44">
        <v>5761.37</v>
      </c>
      <c r="K96" s="44">
        <v>4953.17</v>
      </c>
      <c r="L96" s="44">
        <v>0</v>
      </c>
      <c r="M96" s="79">
        <v>208</v>
      </c>
      <c r="N96" s="72">
        <f t="shared" si="29"/>
        <v>6920739.4009156823</v>
      </c>
      <c r="O96" s="44"/>
      <c r="P96" s="162"/>
      <c r="Q96" s="162"/>
      <c r="R96" s="162">
        <f>+AQ96+AR96</f>
        <v>3001913.7399999998</v>
      </c>
      <c r="S96" s="162">
        <f>+'Приложение №2'!E96-'Приложение №1'!R96</f>
        <v>3918825.6609156816</v>
      </c>
      <c r="T96" s="162">
        <v>9.3132257461547852E-10</v>
      </c>
      <c r="U96" s="44">
        <f t="shared" si="26"/>
        <v>1397.2343773615044</v>
      </c>
      <c r="V96" s="44">
        <f t="shared" si="26"/>
        <v>1397.2343773615044</v>
      </c>
      <c r="W96" s="80">
        <v>2022</v>
      </c>
      <c r="X96" s="29" t="e">
        <f>+#REF!-'[1]Приложение №1'!$P874</f>
        <v>#REF!</v>
      </c>
      <c r="Z96" s="31">
        <f t="shared" si="27"/>
        <v>18855188.25</v>
      </c>
      <c r="AA96" s="27">
        <v>0</v>
      </c>
      <c r="AB96" s="27">
        <v>4852018.6895581791</v>
      </c>
      <c r="AC96" s="27">
        <v>5128943.0079808198</v>
      </c>
      <c r="AD96" s="27">
        <v>3910862.6451854394</v>
      </c>
      <c r="AE96" s="27">
        <v>1562309.5679603999</v>
      </c>
      <c r="AF96" s="27"/>
      <c r="AG96" s="27">
        <v>416884.20653627999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2448551.2283000001</v>
      </c>
      <c r="AN96" s="32">
        <v>188551.88250000004</v>
      </c>
      <c r="AO96" s="33">
        <v>347067.0219788801</v>
      </c>
      <c r="AP96" s="84">
        <f>+N96-'Приложение №2'!E96</f>
        <v>0</v>
      </c>
      <c r="AQ96" s="1">
        <f>2496690.4</f>
        <v>2496690.4</v>
      </c>
      <c r="AR96" s="1">
        <f t="shared" si="28"/>
        <v>505223.33999999991</v>
      </c>
      <c r="AS96" s="1">
        <f>+(K96*10+L96*20)*12*30</f>
        <v>17831411.999999996</v>
      </c>
      <c r="AT96" s="29">
        <f t="shared" si="24"/>
        <v>-13912586.339084314</v>
      </c>
    </row>
    <row r="97" spans="1:51" x14ac:dyDescent="0.25">
      <c r="A97" s="76">
        <f t="shared" si="25"/>
        <v>81</v>
      </c>
      <c r="B97" s="77">
        <f t="shared" si="25"/>
        <v>81</v>
      </c>
      <c r="C97" s="77" t="s">
        <v>72</v>
      </c>
      <c r="D97" s="77" t="s">
        <v>470</v>
      </c>
      <c r="E97" s="78">
        <v>1964</v>
      </c>
      <c r="F97" s="78">
        <v>1978</v>
      </c>
      <c r="G97" s="78" t="s">
        <v>44</v>
      </c>
      <c r="H97" s="78">
        <v>4</v>
      </c>
      <c r="I97" s="78">
        <v>4</v>
      </c>
      <c r="J97" s="44">
        <v>2691.4</v>
      </c>
      <c r="K97" s="44">
        <v>2511.6</v>
      </c>
      <c r="L97" s="44">
        <v>55</v>
      </c>
      <c r="M97" s="79">
        <v>136</v>
      </c>
      <c r="N97" s="129">
        <f t="shared" si="29"/>
        <v>10029177.534309041</v>
      </c>
      <c r="O97" s="44"/>
      <c r="P97" s="162">
        <v>1737458.06</v>
      </c>
      <c r="Q97" s="162"/>
      <c r="R97" s="162">
        <v>1030975.08</v>
      </c>
      <c r="S97" s="162">
        <f>+'Приложение №2'!E97-'Приложение №1'!P97-'Приложение №1'!R97-'Приложение №1'!T97</f>
        <v>7050041.3243090399</v>
      </c>
      <c r="T97" s="161">
        <v>210703.0700000003</v>
      </c>
      <c r="U97" s="68">
        <f t="shared" si="26"/>
        <v>3907.5732620233152</v>
      </c>
      <c r="V97" s="68">
        <f t="shared" si="26"/>
        <v>3907.5732620233152</v>
      </c>
      <c r="W97" s="80">
        <v>2022</v>
      </c>
      <c r="X97" s="29" t="e">
        <f>+#REF!-'[1]Приложение №1'!$P1460</f>
        <v>#REF!</v>
      </c>
      <c r="Z97" s="31">
        <f t="shared" si="27"/>
        <v>27187931.989999998</v>
      </c>
      <c r="AA97" s="27">
        <v>5957834.6788287591</v>
      </c>
      <c r="AB97" s="27">
        <v>2123021.4274273203</v>
      </c>
      <c r="AC97" s="27">
        <v>2218085.0113825197</v>
      </c>
      <c r="AD97" s="27">
        <v>1388661.4588106403</v>
      </c>
      <c r="AE97" s="27">
        <v>849633.77513700002</v>
      </c>
      <c r="AF97" s="27"/>
      <c r="AG97" s="27">
        <v>228618.42683567997</v>
      </c>
      <c r="AH97" s="27">
        <v>0</v>
      </c>
      <c r="AI97" s="27">
        <v>10891828.3075938</v>
      </c>
      <c r="AJ97" s="27">
        <v>0</v>
      </c>
      <c r="AK97" s="27">
        <v>0</v>
      </c>
      <c r="AL97" s="27">
        <v>0</v>
      </c>
      <c r="AM97" s="27">
        <v>2741023.9698999999</v>
      </c>
      <c r="AN97" s="32">
        <v>271879.3199</v>
      </c>
      <c r="AO97" s="33">
        <v>517345.61418428004</v>
      </c>
      <c r="AP97" s="84">
        <f>+N97-'Приложение №2'!E97</f>
        <v>0</v>
      </c>
      <c r="AQ97" s="1">
        <v>1127947.9099999999</v>
      </c>
      <c r="AR97" s="1">
        <f t="shared" si="28"/>
        <v>267403.2</v>
      </c>
      <c r="AS97" s="1">
        <f>+(K97*10+L97*20)*12*30-1866218.37</f>
        <v>7571541.6299999999</v>
      </c>
      <c r="AT97" s="29">
        <f t="shared" si="24"/>
        <v>-521500.30569096003</v>
      </c>
    </row>
    <row r="98" spans="1:51" x14ac:dyDescent="0.25">
      <c r="A98" s="76">
        <f t="shared" ref="A98:B113" si="30">+A97+1</f>
        <v>82</v>
      </c>
      <c r="B98" s="77">
        <f t="shared" si="30"/>
        <v>82</v>
      </c>
      <c r="C98" s="77" t="s">
        <v>72</v>
      </c>
      <c r="D98" s="77" t="s">
        <v>471</v>
      </c>
      <c r="E98" s="78">
        <v>1964</v>
      </c>
      <c r="F98" s="78">
        <v>2013</v>
      </c>
      <c r="G98" s="78" t="s">
        <v>44</v>
      </c>
      <c r="H98" s="78">
        <v>4</v>
      </c>
      <c r="I98" s="78">
        <v>2</v>
      </c>
      <c r="J98" s="44">
        <v>1305.4000000000001</v>
      </c>
      <c r="K98" s="44">
        <v>1212.2</v>
      </c>
      <c r="L98" s="44">
        <v>0</v>
      </c>
      <c r="M98" s="79">
        <v>58</v>
      </c>
      <c r="N98" s="129">
        <f t="shared" si="29"/>
        <v>5379408.0875821002</v>
      </c>
      <c r="O98" s="44"/>
      <c r="P98" s="162">
        <v>474969.93999999994</v>
      </c>
      <c r="Q98" s="162"/>
      <c r="R98" s="162">
        <f>+AQ98+AR98-114795.25</f>
        <v>552763.5</v>
      </c>
      <c r="S98" s="162">
        <f>+'Приложение №2'!E98-'Приложение №1'!P98-'Приложение №1'!Q98-'Приложение №1'!R98</f>
        <v>4351674.6475821007</v>
      </c>
      <c r="T98" s="161">
        <f>+'Приложение №2'!E98-'Приложение №1'!P98-'Приложение №1'!Q98-'Приложение №1'!R98-'Приложение №1'!S98</f>
        <v>0</v>
      </c>
      <c r="U98" s="68">
        <f t="shared" si="26"/>
        <v>4437.7232202459163</v>
      </c>
      <c r="V98" s="68">
        <f t="shared" si="26"/>
        <v>4437.7232202459163</v>
      </c>
      <c r="W98" s="80">
        <v>2022</v>
      </c>
      <c r="X98" s="29" t="e">
        <f>+#REF!-'[1]Приложение №1'!$P1461</f>
        <v>#REF!</v>
      </c>
      <c r="Z98" s="31">
        <f t="shared" si="27"/>
        <v>12125695.48759958</v>
      </c>
      <c r="AA98" s="27">
        <v>2893205.1202508998</v>
      </c>
      <c r="AB98" s="27">
        <v>1030967.92465086</v>
      </c>
      <c r="AC98" s="27"/>
      <c r="AD98" s="27">
        <v>674352.78890196001</v>
      </c>
      <c r="AE98" s="27">
        <v>412593.65314902004</v>
      </c>
      <c r="AF98" s="27"/>
      <c r="AG98" s="27">
        <v>111020.19812099998</v>
      </c>
      <c r="AH98" s="27">
        <v>0</v>
      </c>
      <c r="AI98" s="27">
        <v>5289219.1770767998</v>
      </c>
      <c r="AJ98" s="27">
        <v>0</v>
      </c>
      <c r="AK98" s="27">
        <v>0</v>
      </c>
      <c r="AL98" s="27">
        <v>0</v>
      </c>
      <c r="AM98" s="27">
        <v>1331078.3206</v>
      </c>
      <c r="AN98" s="32">
        <v>132028.27580000003</v>
      </c>
      <c r="AO98" s="33">
        <v>251230.02904904005</v>
      </c>
      <c r="AP98" s="84">
        <f>+N98-'Приложение №2'!E98</f>
        <v>0</v>
      </c>
      <c r="AQ98" s="1">
        <f>572097.59-28183.24</f>
        <v>543914.35</v>
      </c>
      <c r="AR98" s="1">
        <f t="shared" si="28"/>
        <v>123644.4</v>
      </c>
      <c r="AS98" s="1">
        <f>+(K98*10+L98*20)*12*30-225791.95</f>
        <v>4138128.05</v>
      </c>
      <c r="AT98" s="29">
        <f t="shared" si="24"/>
        <v>213546.59758210089</v>
      </c>
    </row>
    <row r="99" spans="1:51" x14ac:dyDescent="0.25">
      <c r="A99" s="76">
        <f t="shared" si="30"/>
        <v>83</v>
      </c>
      <c r="B99" s="77">
        <f t="shared" si="30"/>
        <v>83</v>
      </c>
      <c r="C99" s="77" t="s">
        <v>72</v>
      </c>
      <c r="D99" s="77" t="s">
        <v>472</v>
      </c>
      <c r="E99" s="78">
        <v>1964</v>
      </c>
      <c r="F99" s="78">
        <v>2013</v>
      </c>
      <c r="G99" s="78" t="s">
        <v>44</v>
      </c>
      <c r="H99" s="78">
        <v>4</v>
      </c>
      <c r="I99" s="78">
        <v>2</v>
      </c>
      <c r="J99" s="44">
        <v>1348</v>
      </c>
      <c r="K99" s="44">
        <v>1248.9000000000001</v>
      </c>
      <c r="L99" s="44">
        <v>0</v>
      </c>
      <c r="M99" s="79">
        <v>74</v>
      </c>
      <c r="N99" s="129">
        <f t="shared" si="29"/>
        <v>3305142.0224692803</v>
      </c>
      <c r="O99" s="44"/>
      <c r="P99" s="162"/>
      <c r="Q99" s="162"/>
      <c r="R99" s="162">
        <v>228782.46</v>
      </c>
      <c r="S99" s="162">
        <f>+'Приложение №2'!E99-'Приложение №1'!R99</f>
        <v>3076359.5624692803</v>
      </c>
      <c r="T99" s="161">
        <f>+'Приложение №2'!E99-'Приложение №1'!P99-'Приложение №1'!Q99-'Приложение №1'!R99-'Приложение №1'!S99</f>
        <v>0</v>
      </c>
      <c r="U99" s="68">
        <f t="shared" si="26"/>
        <v>2646.4424873643047</v>
      </c>
      <c r="V99" s="68">
        <f t="shared" si="26"/>
        <v>2646.4424873643047</v>
      </c>
      <c r="W99" s="80">
        <v>2022</v>
      </c>
      <c r="X99" s="29" t="e">
        <f>+#REF!-'[1]Приложение №1'!$P1462</f>
        <v>#REF!</v>
      </c>
      <c r="Z99" s="31">
        <f t="shared" si="27"/>
        <v>13604861.210000001</v>
      </c>
      <c r="AA99" s="27">
        <v>2981304.8663361603</v>
      </c>
      <c r="AB99" s="27">
        <v>1062361.4877094799</v>
      </c>
      <c r="AC99" s="27">
        <v>1109931.3752150398</v>
      </c>
      <c r="AD99" s="27">
        <v>694887.21792840003</v>
      </c>
      <c r="AE99" s="27">
        <v>425157.36756066006</v>
      </c>
      <c r="AF99" s="27"/>
      <c r="AG99" s="27">
        <v>114400.82936267999</v>
      </c>
      <c r="AH99" s="27">
        <v>0</v>
      </c>
      <c r="AI99" s="27">
        <v>5450278.9118777998</v>
      </c>
      <c r="AJ99" s="27">
        <v>0</v>
      </c>
      <c r="AK99" s="27">
        <v>0</v>
      </c>
      <c r="AL99" s="27">
        <v>0</v>
      </c>
      <c r="AM99" s="27">
        <v>1371610.4151999999</v>
      </c>
      <c r="AN99" s="32">
        <v>136048.6121</v>
      </c>
      <c r="AO99" s="33">
        <v>258880.12670978002</v>
      </c>
      <c r="AP99" s="84">
        <f>+N99-'Приложение №2'!E99</f>
        <v>0</v>
      </c>
      <c r="AQ99" s="1">
        <v>546149.31000000006</v>
      </c>
      <c r="AR99" s="1">
        <f t="shared" si="28"/>
        <v>127387.8</v>
      </c>
      <c r="AS99" s="1">
        <f>+(K99*10+L99*20)*12*30</f>
        <v>4496040</v>
      </c>
      <c r="AT99" s="29">
        <f t="shared" si="24"/>
        <v>-1419680.4375307197</v>
      </c>
    </row>
    <row r="100" spans="1:51" x14ac:dyDescent="0.25">
      <c r="A100" s="76">
        <f t="shared" si="30"/>
        <v>84</v>
      </c>
      <c r="B100" s="77">
        <f t="shared" si="30"/>
        <v>84</v>
      </c>
      <c r="C100" s="77" t="s">
        <v>72</v>
      </c>
      <c r="D100" s="77" t="s">
        <v>354</v>
      </c>
      <c r="E100" s="78">
        <v>1979</v>
      </c>
      <c r="F100" s="78">
        <v>2013</v>
      </c>
      <c r="G100" s="78" t="s">
        <v>51</v>
      </c>
      <c r="H100" s="78">
        <v>4</v>
      </c>
      <c r="I100" s="78">
        <v>4</v>
      </c>
      <c r="J100" s="44">
        <v>3976.8</v>
      </c>
      <c r="K100" s="44">
        <v>3445</v>
      </c>
      <c r="L100" s="44">
        <v>0</v>
      </c>
      <c r="M100" s="79">
        <v>147</v>
      </c>
      <c r="N100" s="129">
        <f t="shared" si="29"/>
        <v>11237171.892672002</v>
      </c>
      <c r="O100" s="44"/>
      <c r="P100" s="162"/>
      <c r="Q100" s="162"/>
      <c r="R100" s="162">
        <f>+AQ100+AR100-102291.02</f>
        <v>1880810.18</v>
      </c>
      <c r="S100" s="162">
        <f>+'Приложение №2'!E100-'Приложение №1'!R100</f>
        <v>9356361.7126720026</v>
      </c>
      <c r="T100" s="161">
        <f>+'Приложение №2'!E100-'Приложение №1'!P100-'Приложение №1'!Q100-'Приложение №1'!R100-'Приложение №1'!S100</f>
        <v>0</v>
      </c>
      <c r="U100" s="68">
        <f t="shared" si="26"/>
        <v>3261.8786335767786</v>
      </c>
      <c r="V100" s="68">
        <f t="shared" si="26"/>
        <v>3261.8786335767786</v>
      </c>
      <c r="W100" s="80">
        <v>2022</v>
      </c>
      <c r="X100" s="29" t="e">
        <f>+#REF!-'[1]Приложение №1'!$P1079</f>
        <v>#REF!</v>
      </c>
      <c r="Z100" s="31">
        <f t="shared" si="27"/>
        <v>19622588.440000001</v>
      </c>
      <c r="AA100" s="27">
        <v>5822137.5647799</v>
      </c>
      <c r="AB100" s="27">
        <v>3367101.3183015599</v>
      </c>
      <c r="AC100" s="27">
        <v>3559275.4023027602</v>
      </c>
      <c r="AD100" s="27">
        <v>2713977.7540528802</v>
      </c>
      <c r="AE100" s="27">
        <v>1084178.5535662202</v>
      </c>
      <c r="AF100" s="27"/>
      <c r="AG100" s="27">
        <v>289300.48238279991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2222222.8914000001</v>
      </c>
      <c r="AN100" s="32">
        <v>196225.88440000007</v>
      </c>
      <c r="AO100" s="33">
        <v>368168.58881388011</v>
      </c>
      <c r="AP100" s="84">
        <f>+N100-'Приложение №2'!E100</f>
        <v>0</v>
      </c>
      <c r="AQ100" s="1">
        <v>1631711.2</v>
      </c>
      <c r="AR100" s="1">
        <f t="shared" si="28"/>
        <v>351390</v>
      </c>
      <c r="AS100" s="1">
        <f>+(K100*10+L100*20)*12*30</f>
        <v>12402000</v>
      </c>
      <c r="AT100" s="29">
        <f t="shared" si="24"/>
        <v>-3045638.2873279974</v>
      </c>
    </row>
    <row r="101" spans="1:51" x14ac:dyDescent="0.25">
      <c r="A101" s="76">
        <f t="shared" si="30"/>
        <v>85</v>
      </c>
      <c r="B101" s="77">
        <f t="shared" si="30"/>
        <v>85</v>
      </c>
      <c r="C101" s="77" t="s">
        <v>72</v>
      </c>
      <c r="D101" s="77" t="s">
        <v>355</v>
      </c>
      <c r="E101" s="78">
        <v>1979</v>
      </c>
      <c r="F101" s="78">
        <v>2013</v>
      </c>
      <c r="G101" s="78" t="s">
        <v>51</v>
      </c>
      <c r="H101" s="78">
        <v>4</v>
      </c>
      <c r="I101" s="78">
        <v>4</v>
      </c>
      <c r="J101" s="44">
        <v>3917.8</v>
      </c>
      <c r="K101" s="44">
        <v>3440.2</v>
      </c>
      <c r="L101" s="44">
        <v>0</v>
      </c>
      <c r="M101" s="79">
        <v>140</v>
      </c>
      <c r="N101" s="129">
        <f t="shared" si="29"/>
        <v>11195845.836039999</v>
      </c>
      <c r="O101" s="44"/>
      <c r="P101" s="162"/>
      <c r="Q101" s="162"/>
      <c r="R101" s="162">
        <f>+AQ101+AR101-102179.5</f>
        <v>1936128.0399999998</v>
      </c>
      <c r="S101" s="162">
        <f>+'Приложение №2'!E101-'Приложение №1'!R101</f>
        <v>9259717.7960400004</v>
      </c>
      <c r="T101" s="161">
        <f>+'Приложение №2'!E101-'Приложение №1'!P101-'Приложение №1'!Q101-'Приложение №1'!R101-'Приложение №1'!S101</f>
        <v>0</v>
      </c>
      <c r="U101" s="68">
        <f t="shared" si="26"/>
        <v>3254.4171373873614</v>
      </c>
      <c r="V101" s="68">
        <f t="shared" si="26"/>
        <v>3254.4171373873614</v>
      </c>
      <c r="W101" s="80">
        <v>2022</v>
      </c>
      <c r="X101" s="29" t="e">
        <f>+#REF!-'[1]Приложение №1'!$P1080</f>
        <v>#REF!</v>
      </c>
      <c r="Z101" s="31">
        <f t="shared" si="27"/>
        <v>19409336.159999996</v>
      </c>
      <c r="AA101" s="27">
        <v>5758864.3566909004</v>
      </c>
      <c r="AB101" s="27">
        <v>3330508.6911448804</v>
      </c>
      <c r="AC101" s="27">
        <v>3520594.2884208602</v>
      </c>
      <c r="AD101" s="27">
        <v>2684483.0712293996</v>
      </c>
      <c r="AE101" s="27">
        <v>1072396.0376261999</v>
      </c>
      <c r="AF101" s="27"/>
      <c r="AG101" s="27">
        <v>286156.45293899998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2198072.4550000001</v>
      </c>
      <c r="AN101" s="32">
        <v>194093.3616</v>
      </c>
      <c r="AO101" s="33">
        <v>364167.44534875994</v>
      </c>
      <c r="AP101" s="84">
        <f>+N101-'Приложение №2'!E101</f>
        <v>0</v>
      </c>
      <c r="AQ101" s="1">
        <v>1687407.14</v>
      </c>
      <c r="AR101" s="1">
        <f t="shared" si="28"/>
        <v>350900.39999999997</v>
      </c>
      <c r="AS101" s="1">
        <f>+(K101*10+L101*20)*12*30</f>
        <v>12384720</v>
      </c>
      <c r="AT101" s="29">
        <f t="shared" si="24"/>
        <v>-3125002.2039599996</v>
      </c>
    </row>
    <row r="102" spans="1:51" x14ac:dyDescent="0.25">
      <c r="A102" s="76">
        <f t="shared" si="30"/>
        <v>86</v>
      </c>
      <c r="B102" s="77">
        <f t="shared" si="30"/>
        <v>86</v>
      </c>
      <c r="C102" s="77" t="s">
        <v>72</v>
      </c>
      <c r="D102" s="77" t="s">
        <v>356</v>
      </c>
      <c r="E102" s="78">
        <v>1979</v>
      </c>
      <c r="F102" s="78">
        <v>2013</v>
      </c>
      <c r="G102" s="78" t="s">
        <v>51</v>
      </c>
      <c r="H102" s="78">
        <v>4</v>
      </c>
      <c r="I102" s="78">
        <v>4</v>
      </c>
      <c r="J102" s="44">
        <v>3969.95</v>
      </c>
      <c r="K102" s="44">
        <v>3453.7</v>
      </c>
      <c r="L102" s="44">
        <v>0</v>
      </c>
      <c r="M102" s="79">
        <v>154</v>
      </c>
      <c r="N102" s="129">
        <f t="shared" si="29"/>
        <v>9426184.9459980018</v>
      </c>
      <c r="O102" s="44"/>
      <c r="P102" s="162"/>
      <c r="Q102" s="162"/>
      <c r="R102" s="162">
        <f>+AQ102+AR102-102179.5</f>
        <v>1705810.5499999998</v>
      </c>
      <c r="S102" s="162">
        <f>+'Приложение №2'!E102-'Приложение №1'!R102</f>
        <v>7720374.395998002</v>
      </c>
      <c r="T102" s="161">
        <f>+'Приложение №2'!E102-'Приложение №1'!P102-'Приложение №1'!Q102-'Приложение №1'!R102-'Приложение №1'!S102</f>
        <v>0</v>
      </c>
      <c r="U102" s="68">
        <f t="shared" si="26"/>
        <v>2729.3004447398448</v>
      </c>
      <c r="V102" s="68">
        <f t="shared" si="26"/>
        <v>2729.3004447398448</v>
      </c>
      <c r="W102" s="80">
        <v>2022</v>
      </c>
      <c r="X102" s="29" t="e">
        <f>+#REF!-'[1]Приложение №1'!$P1081</f>
        <v>#REF!</v>
      </c>
      <c r="Z102" s="31">
        <f t="shared" si="27"/>
        <v>19594173.580000002</v>
      </c>
      <c r="AA102" s="27">
        <v>5813706.7057906203</v>
      </c>
      <c r="AB102" s="27">
        <v>3362225.5261996798</v>
      </c>
      <c r="AC102" s="27">
        <v>3554121.3229787997</v>
      </c>
      <c r="AD102" s="27">
        <v>2710047.7279637996</v>
      </c>
      <c r="AE102" s="27">
        <v>1082608.5872498399</v>
      </c>
      <c r="AF102" s="27"/>
      <c r="AG102" s="27">
        <v>288881.55977184005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2219004.9588999995</v>
      </c>
      <c r="AN102" s="32">
        <v>195941.73580000002</v>
      </c>
      <c r="AO102" s="33">
        <v>367635.45534541999</v>
      </c>
      <c r="AP102" s="84">
        <f>+N102-'Приложение №2'!E102</f>
        <v>0</v>
      </c>
      <c r="AQ102" s="1">
        <v>1455712.65</v>
      </c>
      <c r="AR102" s="1">
        <f t="shared" si="28"/>
        <v>352277.39999999997</v>
      </c>
      <c r="AS102" s="1">
        <f>+(K102*10+L102*20)*12*30</f>
        <v>12433320</v>
      </c>
      <c r="AT102" s="29">
        <f t="shared" si="24"/>
        <v>-4712945.604001998</v>
      </c>
    </row>
    <row r="103" spans="1:51" x14ac:dyDescent="0.25">
      <c r="A103" s="76">
        <f t="shared" si="30"/>
        <v>87</v>
      </c>
      <c r="B103" s="77">
        <f t="shared" si="30"/>
        <v>87</v>
      </c>
      <c r="C103" s="77" t="s">
        <v>72</v>
      </c>
      <c r="D103" s="77" t="s">
        <v>473</v>
      </c>
      <c r="E103" s="78">
        <v>1961</v>
      </c>
      <c r="F103" s="78">
        <v>2013</v>
      </c>
      <c r="G103" s="78" t="s">
        <v>44</v>
      </c>
      <c r="H103" s="78">
        <v>4</v>
      </c>
      <c r="I103" s="78">
        <v>3</v>
      </c>
      <c r="J103" s="44">
        <v>3049.5</v>
      </c>
      <c r="K103" s="44">
        <v>2277.6</v>
      </c>
      <c r="L103" s="44">
        <v>771.9</v>
      </c>
      <c r="M103" s="79">
        <v>94</v>
      </c>
      <c r="N103" s="129">
        <f t="shared" si="29"/>
        <v>1102560.24537608</v>
      </c>
      <c r="O103" s="44"/>
      <c r="P103" s="162"/>
      <c r="Q103" s="162"/>
      <c r="R103" s="162">
        <v>105566.35</v>
      </c>
      <c r="S103" s="162">
        <f>+'Приложение №2'!E103-'Приложение №1'!R103</f>
        <v>996993.89537608007</v>
      </c>
      <c r="T103" s="161">
        <f>+'Приложение №2'!E103-'Приложение №1'!P103-'Приложение №1'!Q103-'Приложение №1'!R103-'Приложение №1'!S103</f>
        <v>0</v>
      </c>
      <c r="U103" s="68">
        <f t="shared" si="26"/>
        <v>361.5544336370159</v>
      </c>
      <c r="V103" s="68">
        <f t="shared" si="26"/>
        <v>361.5544336370159</v>
      </c>
      <c r="W103" s="80">
        <v>2022</v>
      </c>
      <c r="X103" s="29" t="e">
        <f>+#REF!-'[1]Приложение №1'!$P1463</f>
        <v>#REF!</v>
      </c>
      <c r="Z103" s="31">
        <f t="shared" si="27"/>
        <v>13067933.899999999</v>
      </c>
      <c r="AA103" s="27">
        <v>5253036.7368624602</v>
      </c>
      <c r="AB103" s="27">
        <v>1871872.94908698</v>
      </c>
      <c r="AC103" s="27">
        <v>1955690.7227369398</v>
      </c>
      <c r="AD103" s="27">
        <v>1224386.0518469999</v>
      </c>
      <c r="AE103" s="27">
        <v>749124.08010090003</v>
      </c>
      <c r="AF103" s="27"/>
      <c r="AG103" s="27">
        <v>201573.40567307998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1435431.6034000001</v>
      </c>
      <c r="AN103" s="32">
        <v>130679.33899999999</v>
      </c>
      <c r="AO103" s="33">
        <v>246139.01129264</v>
      </c>
      <c r="AP103" s="84">
        <f>+N103-'Приложение №2'!E103</f>
        <v>0</v>
      </c>
      <c r="AQ103" s="1">
        <v>1647685.87</v>
      </c>
      <c r="AR103" s="1">
        <f t="shared" si="28"/>
        <v>389782.8</v>
      </c>
      <c r="AS103" s="1">
        <f>+(K103*10+L103*20)*12*30-1902349.22</f>
        <v>11854690.779999999</v>
      </c>
      <c r="AT103" s="29">
        <f t="shared" si="24"/>
        <v>-10857696.884623919</v>
      </c>
    </row>
    <row r="104" spans="1:51" x14ac:dyDescent="0.25">
      <c r="A104" s="76">
        <f t="shared" si="30"/>
        <v>88</v>
      </c>
      <c r="B104" s="77">
        <f t="shared" si="30"/>
        <v>88</v>
      </c>
      <c r="C104" s="77" t="s">
        <v>72</v>
      </c>
      <c r="D104" s="77" t="s">
        <v>474</v>
      </c>
      <c r="E104" s="78">
        <v>1963</v>
      </c>
      <c r="F104" s="78">
        <v>2005</v>
      </c>
      <c r="G104" s="78" t="s">
        <v>44</v>
      </c>
      <c r="H104" s="78">
        <v>4</v>
      </c>
      <c r="I104" s="78">
        <v>2</v>
      </c>
      <c r="J104" s="44">
        <v>1240.4000000000001</v>
      </c>
      <c r="K104" s="44">
        <v>1075.8</v>
      </c>
      <c r="L104" s="44">
        <v>111.9</v>
      </c>
      <c r="M104" s="79">
        <v>70</v>
      </c>
      <c r="N104" s="129">
        <f t="shared" si="29"/>
        <v>2251928.7114039203</v>
      </c>
      <c r="O104" s="44"/>
      <c r="P104" s="162"/>
      <c r="Q104" s="162"/>
      <c r="R104" s="162">
        <f>+AR104</f>
        <v>132559.19999999998</v>
      </c>
      <c r="S104" s="162">
        <f>+'Приложение №2'!E104-'Приложение №1'!P104-'Приложение №1'!Q104-'Приложение №1'!R104</f>
        <v>2119369.5114039201</v>
      </c>
      <c r="T104" s="161">
        <f>+'Приложение №2'!E104-'Приложение №1'!P104-'Приложение №1'!Q104-'Приложение №1'!R104-'Приложение №1'!S104</f>
        <v>0</v>
      </c>
      <c r="U104" s="68">
        <f t="shared" si="26"/>
        <v>1896.0416867928941</v>
      </c>
      <c r="V104" s="68">
        <f t="shared" si="26"/>
        <v>1896.0416867928941</v>
      </c>
      <c r="W104" s="80">
        <v>2022</v>
      </c>
      <c r="X104" s="29" t="e">
        <f>+#REF!-'[1]Приложение №1'!$P1464</f>
        <v>#REF!</v>
      </c>
      <c r="Z104" s="31">
        <f t="shared" si="27"/>
        <v>6371609.4744707597</v>
      </c>
      <c r="AA104" s="27">
        <v>2696472.9036772796</v>
      </c>
      <c r="AB104" s="27">
        <v>960864.14913719997</v>
      </c>
      <c r="AC104" s="27"/>
      <c r="AD104" s="27">
        <v>628498.13628335996</v>
      </c>
      <c r="AE104" s="27">
        <v>384538.10584644001</v>
      </c>
      <c r="AF104" s="27"/>
      <c r="AG104" s="27">
        <v>103471.04618424</v>
      </c>
      <c r="AH104" s="27">
        <v>0</v>
      </c>
      <c r="AI104" s="27"/>
      <c r="AJ104" s="27">
        <v>0</v>
      </c>
      <c r="AK104" s="27">
        <v>0</v>
      </c>
      <c r="AL104" s="27">
        <v>0</v>
      </c>
      <c r="AM104" s="27">
        <v>1240567.6336999999</v>
      </c>
      <c r="AN104" s="32">
        <v>123050.61470000001</v>
      </c>
      <c r="AO104" s="33">
        <v>234146.88494223999</v>
      </c>
      <c r="AP104" s="84">
        <f>+N104-'Приложение №2'!E104</f>
        <v>0</v>
      </c>
      <c r="AQ104" s="1">
        <v>669629.44999999995</v>
      </c>
      <c r="AR104" s="1">
        <f t="shared" si="28"/>
        <v>132559.19999999998</v>
      </c>
      <c r="AS104" s="1">
        <f>+(K104*10+L104*20)*12*30-1442997.24</f>
        <v>3235562.76</v>
      </c>
      <c r="AT104" s="29">
        <f t="shared" si="24"/>
        <v>-1116193.2485960796</v>
      </c>
    </row>
    <row r="105" spans="1:51" x14ac:dyDescent="0.25">
      <c r="A105" s="76">
        <f t="shared" si="30"/>
        <v>89</v>
      </c>
      <c r="B105" s="77">
        <f t="shared" si="30"/>
        <v>89</v>
      </c>
      <c r="C105" s="77" t="s">
        <v>72</v>
      </c>
      <c r="D105" s="77" t="s">
        <v>475</v>
      </c>
      <c r="E105" s="78">
        <v>1965</v>
      </c>
      <c r="F105" s="78">
        <v>2005</v>
      </c>
      <c r="G105" s="78" t="s">
        <v>44</v>
      </c>
      <c r="H105" s="78">
        <v>4</v>
      </c>
      <c r="I105" s="78">
        <v>4</v>
      </c>
      <c r="J105" s="44">
        <v>2661.8</v>
      </c>
      <c r="K105" s="44">
        <v>2220.4</v>
      </c>
      <c r="L105" s="44">
        <v>229.71</v>
      </c>
      <c r="M105" s="79">
        <v>111</v>
      </c>
      <c r="N105" s="72">
        <f>+P105+Q105+R105+S105+T105</f>
        <v>1618117.19564</v>
      </c>
      <c r="O105" s="44"/>
      <c r="P105" s="162"/>
      <c r="Q105" s="162"/>
      <c r="R105" s="162">
        <f>+'Приложение №2'!E105</f>
        <v>1618117.19564</v>
      </c>
      <c r="S105" s="162">
        <f>+'Приложение №2'!E105-'Приложение №1'!R105</f>
        <v>0</v>
      </c>
      <c r="T105" s="162">
        <f>+'Приложение №2'!E105-'Приложение №1'!P105-'Приложение №1'!Q105-'Приложение №1'!R105-'Приложение №1'!S105</f>
        <v>0</v>
      </c>
      <c r="U105" s="44">
        <f>$N105/($K105+$L105)</f>
        <v>660.42634642526252</v>
      </c>
      <c r="V105" s="44">
        <f>$N105/($K105+$L105)</f>
        <v>660.42634642526252</v>
      </c>
      <c r="W105" s="80">
        <v>2022</v>
      </c>
      <c r="X105" s="29" t="e">
        <f>+#REF!-'[1]Приложение №1'!$P1656</f>
        <v>#REF!</v>
      </c>
      <c r="Z105" s="31">
        <f>SUM(AA105:AO105)</f>
        <v>26489548.390000001</v>
      </c>
      <c r="AA105" s="27">
        <v>5804794.2058142396</v>
      </c>
      <c r="AB105" s="27">
        <v>2068486.8169081199</v>
      </c>
      <c r="AC105" s="27">
        <v>2161108.4722953597</v>
      </c>
      <c r="AD105" s="27">
        <v>1352990.5470060001</v>
      </c>
      <c r="AE105" s="27">
        <v>827809.00358814001</v>
      </c>
      <c r="AF105" s="27"/>
      <c r="AG105" s="27">
        <v>222745.84764851996</v>
      </c>
      <c r="AH105" s="27">
        <v>0</v>
      </c>
      <c r="AI105" s="27">
        <v>10612047.031450199</v>
      </c>
      <c r="AJ105" s="27">
        <v>0</v>
      </c>
      <c r="AK105" s="27">
        <v>0</v>
      </c>
      <c r="AL105" s="27">
        <v>0</v>
      </c>
      <c r="AM105" s="27">
        <v>2670614.5608000001</v>
      </c>
      <c r="AN105" s="32">
        <v>264895.48389999999</v>
      </c>
      <c r="AO105" s="33">
        <v>504056.42058942007</v>
      </c>
      <c r="AP105" s="84">
        <f>+N105-'Приложение №2'!E105</f>
        <v>0</v>
      </c>
      <c r="AQ105" s="1">
        <f>1243271.94-96320.77</f>
        <v>1146951.17</v>
      </c>
      <c r="AR105" s="1">
        <f>+(K105*10+L105*20)*12*0.85</f>
        <v>273341.64</v>
      </c>
      <c r="AS105" s="1">
        <f>+(K105*10+L105*20)*12*30</f>
        <v>9647352</v>
      </c>
      <c r="AT105" s="29">
        <f>+S105-AS105</f>
        <v>-9647352</v>
      </c>
      <c r="AU105" s="29">
        <f>+P105-'[6]Приложение №1'!$P299</f>
        <v>0</v>
      </c>
      <c r="AV105" s="29">
        <f>+Q105-'[6]Приложение №1'!$Q299</f>
        <v>0</v>
      </c>
      <c r="AW105" s="29">
        <f>+R105-'[6]Приложение №1'!$R299</f>
        <v>0</v>
      </c>
      <c r="AX105" s="29">
        <f>+S105-'[6]Приложение №1'!$S299</f>
        <v>0</v>
      </c>
      <c r="AY105" s="29">
        <f>+T105-'[6]Приложение №1'!$T299</f>
        <v>0</v>
      </c>
    </row>
    <row r="106" spans="1:51" x14ac:dyDescent="0.25">
      <c r="A106" s="76">
        <f t="shared" si="30"/>
        <v>90</v>
      </c>
      <c r="B106" s="77">
        <f t="shared" si="30"/>
        <v>90</v>
      </c>
      <c r="C106" s="77" t="s">
        <v>72</v>
      </c>
      <c r="D106" s="77" t="s">
        <v>359</v>
      </c>
      <c r="E106" s="78">
        <v>1977</v>
      </c>
      <c r="F106" s="78">
        <v>2013</v>
      </c>
      <c r="G106" s="78" t="s">
        <v>51</v>
      </c>
      <c r="H106" s="78">
        <v>4</v>
      </c>
      <c r="I106" s="78">
        <v>4</v>
      </c>
      <c r="J106" s="44">
        <v>3916.4</v>
      </c>
      <c r="K106" s="44">
        <v>3440.3</v>
      </c>
      <c r="L106" s="44">
        <v>0</v>
      </c>
      <c r="M106" s="79">
        <v>163</v>
      </c>
      <c r="N106" s="129">
        <f t="shared" si="29"/>
        <v>24806931.352086637</v>
      </c>
      <c r="O106" s="44"/>
      <c r="P106" s="162"/>
      <c r="Q106" s="162"/>
      <c r="R106" s="162">
        <f>+AQ106+AR106-101933.18</f>
        <v>1930515.8099999998</v>
      </c>
      <c r="S106" s="162">
        <f>+'Приложение №2'!E106-'Приложение №1'!P106-'Приложение №1'!R106-'Приложение №1'!T106</f>
        <v>15732026.832086638</v>
      </c>
      <c r="T106" s="161">
        <v>7144388.71</v>
      </c>
      <c r="U106" s="68">
        <f t="shared" si="26"/>
        <v>7210.6884144076494</v>
      </c>
      <c r="V106" s="68">
        <f t="shared" si="26"/>
        <v>7210.6884144076494</v>
      </c>
      <c r="W106" s="80">
        <v>2022</v>
      </c>
      <c r="X106" s="29" t="e">
        <f>+#REF!-'[1]Приложение №1'!$P1085</f>
        <v>#REF!</v>
      </c>
      <c r="Z106" s="31">
        <f t="shared" si="27"/>
        <v>62685332.069999993</v>
      </c>
      <c r="AA106" s="27">
        <v>5740166.195995139</v>
      </c>
      <c r="AB106" s="27">
        <v>3319695.0395049001</v>
      </c>
      <c r="AC106" s="27">
        <v>3509163.4526478597</v>
      </c>
      <c r="AD106" s="27">
        <v>2675766.9644319597</v>
      </c>
      <c r="AE106" s="27">
        <v>1068914.1259818</v>
      </c>
      <c r="AF106" s="27"/>
      <c r="AG106" s="27">
        <v>285227.34661260003</v>
      </c>
      <c r="AH106" s="27">
        <v>0</v>
      </c>
      <c r="AI106" s="27">
        <v>10218369.797231399</v>
      </c>
      <c r="AJ106" s="27">
        <v>0</v>
      </c>
      <c r="AK106" s="27">
        <v>19839022.919366278</v>
      </c>
      <c r="AL106" s="27">
        <v>7802433.2655801</v>
      </c>
      <c r="AM106" s="27">
        <v>6408816.8779000007</v>
      </c>
      <c r="AN106" s="32">
        <v>626853.32070000004</v>
      </c>
      <c r="AO106" s="33">
        <v>1190902.7640479603</v>
      </c>
      <c r="AP106" s="84">
        <f>+N106-'Приложение №2'!E106</f>
        <v>0</v>
      </c>
      <c r="AQ106" s="1">
        <v>1681538.39</v>
      </c>
      <c r="AR106" s="1">
        <f t="shared" si="28"/>
        <v>350910.6</v>
      </c>
      <c r="AS106" s="1">
        <f>+(K106*10+L106*20)*12*30</f>
        <v>12385080</v>
      </c>
      <c r="AT106" s="29">
        <f t="shared" si="24"/>
        <v>3346946.8320866376</v>
      </c>
    </row>
    <row r="107" spans="1:51" x14ac:dyDescent="0.25">
      <c r="A107" s="76">
        <f t="shared" si="30"/>
        <v>91</v>
      </c>
      <c r="B107" s="77">
        <f t="shared" si="30"/>
        <v>91</v>
      </c>
      <c r="C107" s="77" t="s">
        <v>72</v>
      </c>
      <c r="D107" s="77" t="s">
        <v>362</v>
      </c>
      <c r="E107" s="78">
        <v>1992</v>
      </c>
      <c r="F107" s="78">
        <v>2013</v>
      </c>
      <c r="G107" s="78" t="s">
        <v>51</v>
      </c>
      <c r="H107" s="78">
        <v>5</v>
      </c>
      <c r="I107" s="78">
        <v>4</v>
      </c>
      <c r="J107" s="44">
        <v>5274.7</v>
      </c>
      <c r="K107" s="44">
        <v>4397.95</v>
      </c>
      <c r="L107" s="44">
        <v>82.7</v>
      </c>
      <c r="M107" s="79">
        <v>351</v>
      </c>
      <c r="N107" s="129">
        <f t="shared" si="29"/>
        <v>27716228.542847086</v>
      </c>
      <c r="O107" s="44"/>
      <c r="P107" s="162">
        <v>2576094.2200000002</v>
      </c>
      <c r="Q107" s="162"/>
      <c r="R107" s="162">
        <f>+AQ107+AR107-94851</f>
        <v>2358216.9700000002</v>
      </c>
      <c r="S107" s="162">
        <f>+'Приложение №2'!E107-'Приложение №1'!P107-'Приложение №1'!R107-'Приложение №1'!T107</f>
        <v>13396040.082847085</v>
      </c>
      <c r="T107" s="161">
        <v>9385877.2699999996</v>
      </c>
      <c r="U107" s="68">
        <f t="shared" si="26"/>
        <v>6185.7606692884037</v>
      </c>
      <c r="V107" s="68">
        <f t="shared" si="26"/>
        <v>6185.7606692884037</v>
      </c>
      <c r="W107" s="80">
        <v>2022</v>
      </c>
      <c r="X107" s="29" t="e">
        <f>+#REF!-'[1]Приложение №1'!$P1088</f>
        <v>#REF!</v>
      </c>
      <c r="Z107" s="31">
        <f t="shared" si="27"/>
        <v>73758689.839999989</v>
      </c>
      <c r="AA107" s="27">
        <v>6929151.7355478602</v>
      </c>
      <c r="AB107" s="27">
        <v>4007317.8733992605</v>
      </c>
      <c r="AC107" s="27">
        <v>4236031.7089398</v>
      </c>
      <c r="AD107" s="27">
        <v>3230010.1851276006</v>
      </c>
      <c r="AE107" s="27">
        <v>0</v>
      </c>
      <c r="AF107" s="27"/>
      <c r="AG107" s="27">
        <v>344307.72949692002</v>
      </c>
      <c r="AH107" s="27">
        <v>0</v>
      </c>
      <c r="AI107" s="27">
        <v>12334945.070788199</v>
      </c>
      <c r="AJ107" s="27">
        <v>0</v>
      </c>
      <c r="AK107" s="27">
        <v>23948365.833656877</v>
      </c>
      <c r="AL107" s="27">
        <v>9418585.1320217997</v>
      </c>
      <c r="AM107" s="27">
        <v>7163024.8004000001</v>
      </c>
      <c r="AN107" s="32">
        <v>737586.89840000006</v>
      </c>
      <c r="AO107" s="33">
        <v>1409362.8722216799</v>
      </c>
      <c r="AP107" s="84">
        <f>+N107-'Приложение №2'!E107</f>
        <v>0</v>
      </c>
      <c r="AQ107" s="1">
        <v>1987606.27</v>
      </c>
      <c r="AR107" s="1">
        <f t="shared" si="28"/>
        <v>465461.7</v>
      </c>
      <c r="AS107" s="1">
        <f>+(K107*10+L107*20)*12*30</f>
        <v>16428060</v>
      </c>
      <c r="AT107" s="29">
        <f t="shared" si="24"/>
        <v>-3032019.9171529151</v>
      </c>
    </row>
    <row r="108" spans="1:51" x14ac:dyDescent="0.25">
      <c r="A108" s="76">
        <f t="shared" si="30"/>
        <v>92</v>
      </c>
      <c r="B108" s="77">
        <f t="shared" si="30"/>
        <v>92</v>
      </c>
      <c r="C108" s="77" t="s">
        <v>72</v>
      </c>
      <c r="D108" s="77" t="s">
        <v>364</v>
      </c>
      <c r="E108" s="78">
        <v>1987</v>
      </c>
      <c r="F108" s="78">
        <v>1987</v>
      </c>
      <c r="G108" s="78" t="s">
        <v>44</v>
      </c>
      <c r="H108" s="78">
        <v>5</v>
      </c>
      <c r="I108" s="78">
        <v>3</v>
      </c>
      <c r="J108" s="44">
        <v>5170.7</v>
      </c>
      <c r="K108" s="44">
        <v>2871.7</v>
      </c>
      <c r="L108" s="44">
        <v>2299</v>
      </c>
      <c r="M108" s="79">
        <v>334</v>
      </c>
      <c r="N108" s="129">
        <f t="shared" si="29"/>
        <v>14611197.907108922</v>
      </c>
      <c r="O108" s="44"/>
      <c r="P108" s="162">
        <v>3490403.93</v>
      </c>
      <c r="Q108" s="162"/>
      <c r="R108" s="162">
        <f>2347658.31-144404.29</f>
        <v>2203254.02</v>
      </c>
      <c r="S108" s="162">
        <f>+'Приложение №2'!E108-'Приложение №1'!P108-'Приложение №1'!R108-'Приложение №1'!T108</f>
        <v>8917539.9571089204</v>
      </c>
      <c r="T108" s="161"/>
      <c r="U108" s="68">
        <f t="shared" si="26"/>
        <v>2825.7678664608125</v>
      </c>
      <c r="V108" s="68">
        <f t="shared" si="26"/>
        <v>2825.7678664608125</v>
      </c>
      <c r="W108" s="80">
        <v>2022</v>
      </c>
      <c r="X108" s="29" t="e">
        <f>+#REF!-'[1]Приложение №1'!$P1090</f>
        <v>#REF!</v>
      </c>
      <c r="Z108" s="31">
        <f t="shared" si="27"/>
        <v>44376055.650000006</v>
      </c>
      <c r="AA108" s="27">
        <v>6705846.8643129608</v>
      </c>
      <c r="AB108" s="27">
        <v>2389568.92118868</v>
      </c>
      <c r="AC108" s="27">
        <v>2496567.8323118398</v>
      </c>
      <c r="AD108" s="27">
        <v>1563009.3139332</v>
      </c>
      <c r="AE108" s="27">
        <v>0</v>
      </c>
      <c r="AF108" s="27"/>
      <c r="AG108" s="27">
        <v>257321.70331307995</v>
      </c>
      <c r="AH108" s="27">
        <v>0</v>
      </c>
      <c r="AI108" s="27">
        <v>12259308.387853799</v>
      </c>
      <c r="AJ108" s="27">
        <v>0</v>
      </c>
      <c r="AK108" s="27">
        <v>6365089.67499342</v>
      </c>
      <c r="AL108" s="27">
        <v>6865494.2663706001</v>
      </c>
      <c r="AM108" s="27">
        <v>4179375.6532000005</v>
      </c>
      <c r="AN108" s="32">
        <v>443760.55650000001</v>
      </c>
      <c r="AO108" s="33">
        <v>850712.47602241999</v>
      </c>
      <c r="AP108" s="84">
        <f>+N108-'Приложение №2'!E108</f>
        <v>0</v>
      </c>
      <c r="AQ108" s="1">
        <v>2578731.31</v>
      </c>
      <c r="AR108" s="1">
        <f t="shared" si="28"/>
        <v>761909.4</v>
      </c>
      <c r="AS108" s="1">
        <f>+(K108*10+L108*20)*12*30</f>
        <v>26890920</v>
      </c>
      <c r="AT108" s="29">
        <f t="shared" si="24"/>
        <v>-17973380.042891078</v>
      </c>
    </row>
    <row r="109" spans="1:51" x14ac:dyDescent="0.25">
      <c r="A109" s="76">
        <f t="shared" si="30"/>
        <v>93</v>
      </c>
      <c r="B109" s="77">
        <f t="shared" si="30"/>
        <v>93</v>
      </c>
      <c r="C109" s="77" t="s">
        <v>72</v>
      </c>
      <c r="D109" s="77" t="s">
        <v>200</v>
      </c>
      <c r="E109" s="78">
        <v>1970</v>
      </c>
      <c r="F109" s="78">
        <v>2013</v>
      </c>
      <c r="G109" s="78" t="s">
        <v>44</v>
      </c>
      <c r="H109" s="78">
        <v>4</v>
      </c>
      <c r="I109" s="78">
        <v>4</v>
      </c>
      <c r="J109" s="44">
        <v>3209.3</v>
      </c>
      <c r="K109" s="44">
        <v>2718.2</v>
      </c>
      <c r="L109" s="44">
        <v>0</v>
      </c>
      <c r="M109" s="79">
        <v>128</v>
      </c>
      <c r="N109" s="129">
        <f t="shared" si="29"/>
        <v>1092667.3</v>
      </c>
      <c r="O109" s="44"/>
      <c r="P109" s="162">
        <v>923688.17</v>
      </c>
      <c r="Q109" s="162"/>
      <c r="R109" s="162"/>
      <c r="S109" s="162">
        <v>168979.13</v>
      </c>
      <c r="T109" s="161">
        <f>+'Приложение №2'!E109-'Приложение №1'!P109-'Приложение №1'!Q109-'Приложение №1'!R109-'Приложение №1'!S109</f>
        <v>0</v>
      </c>
      <c r="U109" s="68">
        <f t="shared" si="26"/>
        <v>401.98193657567515</v>
      </c>
      <c r="V109" s="68">
        <f t="shared" si="26"/>
        <v>401.98193657567515</v>
      </c>
      <c r="W109" s="80">
        <v>2022</v>
      </c>
      <c r="X109" s="29" t="e">
        <f>+#REF!-'[1]Приложение №1'!$P687</f>
        <v>#REF!</v>
      </c>
      <c r="Z109" s="31">
        <f t="shared" si="27"/>
        <v>8384825.7976820003</v>
      </c>
      <c r="AA109" s="27">
        <v>0</v>
      </c>
      <c r="AB109" s="27">
        <v>0</v>
      </c>
      <c r="AC109" s="27">
        <v>0</v>
      </c>
      <c r="AD109" s="27">
        <v>0</v>
      </c>
      <c r="AE109" s="27">
        <v>1159895.3899999999</v>
      </c>
      <c r="AF109" s="27"/>
      <c r="AG109" s="27">
        <v>0</v>
      </c>
      <c r="AH109" s="27">
        <v>0</v>
      </c>
      <c r="AI109" s="27">
        <v>0</v>
      </c>
      <c r="AJ109" s="27">
        <v>0</v>
      </c>
      <c r="AK109" s="27">
        <v>6147987.2414091602</v>
      </c>
      <c r="AL109" s="27">
        <v>0</v>
      </c>
      <c r="AM109" s="27">
        <v>864115.30400000012</v>
      </c>
      <c r="AN109" s="32">
        <v>72811.335399999996</v>
      </c>
      <c r="AO109" s="33">
        <v>140016.52687284001</v>
      </c>
      <c r="AP109" s="84">
        <f>+N109-'Приложение №2'!E109</f>
        <v>0</v>
      </c>
      <c r="AQ109" s="1">
        <v>1140903.55</v>
      </c>
      <c r="AR109" s="1">
        <f t="shared" si="28"/>
        <v>277256.39999999997</v>
      </c>
      <c r="AS109" s="1">
        <f>+(K109*10+L109*20)*12*30</f>
        <v>9785520</v>
      </c>
      <c r="AT109" s="29">
        <f t="shared" si="24"/>
        <v>-9616540.8699999992</v>
      </c>
    </row>
    <row r="110" spans="1:51" x14ac:dyDescent="0.25">
      <c r="A110" s="76">
        <f t="shared" si="30"/>
        <v>94</v>
      </c>
      <c r="B110" s="77">
        <f t="shared" si="30"/>
        <v>94</v>
      </c>
      <c r="C110" s="77" t="s">
        <v>72</v>
      </c>
      <c r="D110" s="77" t="s">
        <v>202</v>
      </c>
      <c r="E110" s="78">
        <v>1973</v>
      </c>
      <c r="F110" s="78">
        <v>2013</v>
      </c>
      <c r="G110" s="78" t="s">
        <v>51</v>
      </c>
      <c r="H110" s="78">
        <v>4</v>
      </c>
      <c r="I110" s="78">
        <v>4</v>
      </c>
      <c r="J110" s="44">
        <v>4678.76</v>
      </c>
      <c r="K110" s="44">
        <v>3451.8</v>
      </c>
      <c r="L110" s="44">
        <v>0</v>
      </c>
      <c r="M110" s="79">
        <v>168</v>
      </c>
      <c r="N110" s="72">
        <f t="shared" si="29"/>
        <v>1944736.54</v>
      </c>
      <c r="O110" s="44"/>
      <c r="P110" s="162"/>
      <c r="Q110" s="162"/>
      <c r="R110" s="162">
        <f t="shared" ref="R110" si="31">+AQ110+AR110</f>
        <v>1874829.5699999998</v>
      </c>
      <c r="S110" s="162">
        <f>+'Приложение №2'!E110-'Приложение №1'!R110</f>
        <v>69906.970000000205</v>
      </c>
      <c r="T110" s="162">
        <v>0</v>
      </c>
      <c r="U110" s="44">
        <f t="shared" si="26"/>
        <v>563.39780404426676</v>
      </c>
      <c r="V110" s="44">
        <f t="shared" si="26"/>
        <v>563.39780404426676</v>
      </c>
      <c r="W110" s="80">
        <v>2022</v>
      </c>
      <c r="X110" s="29">
        <f>+S110-'[1]Приложение №1'!$P480</f>
        <v>69906.970000000205</v>
      </c>
      <c r="Z110" s="31">
        <f t="shared" si="27"/>
        <v>1494080.68</v>
      </c>
      <c r="AA110" s="27">
        <v>0</v>
      </c>
      <c r="AB110" s="27">
        <v>0</v>
      </c>
      <c r="AC110" s="27">
        <v>0</v>
      </c>
      <c r="AD110" s="27">
        <v>0</v>
      </c>
      <c r="AE110" s="27">
        <v>1274871.31</v>
      </c>
      <c r="AF110" s="27"/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209316.16</v>
      </c>
      <c r="AN110" s="32">
        <v>2500</v>
      </c>
      <c r="AO110" s="33">
        <v>7393.21</v>
      </c>
      <c r="AP110" s="84">
        <f>+N110-'Приложение №2'!E110</f>
        <v>0</v>
      </c>
      <c r="AQ110" s="29">
        <f>1522745.97</f>
        <v>1522745.97</v>
      </c>
      <c r="AR110" s="1">
        <f t="shared" si="28"/>
        <v>352083.6</v>
      </c>
      <c r="AS110" s="1">
        <f t="shared" ref="AS110" si="32">+(K110*10+L110*20)*12*30</f>
        <v>12426480</v>
      </c>
      <c r="AT110" s="29">
        <f t="shared" si="24"/>
        <v>-12356573.029999999</v>
      </c>
      <c r="AU110" s="29">
        <f>+P110-'[6]Приложение №1'!$P100</f>
        <v>-474969.93999999994</v>
      </c>
      <c r="AV110" s="29">
        <f>+Q110-'[6]Приложение №1'!$Q100</f>
        <v>0</v>
      </c>
      <c r="AW110" s="29">
        <f>+R110-'[6]Приложение №1'!$R100</f>
        <v>1322066.0699999998</v>
      </c>
      <c r="AX110" s="29">
        <f>+S110-'[6]Приложение №1'!$S100</f>
        <v>-4100805.4975821008</v>
      </c>
      <c r="AY110" s="29">
        <f>+T110-'[6]Приложение №1'!$T100</f>
        <v>0</v>
      </c>
    </row>
    <row r="111" spans="1:51" x14ac:dyDescent="0.25">
      <c r="A111" s="76">
        <f t="shared" si="30"/>
        <v>95</v>
      </c>
      <c r="B111" s="77">
        <f t="shared" si="30"/>
        <v>95</v>
      </c>
      <c r="C111" s="77" t="s">
        <v>72</v>
      </c>
      <c r="D111" s="77" t="s">
        <v>541</v>
      </c>
      <c r="E111" s="78">
        <v>1989</v>
      </c>
      <c r="F111" s="78">
        <v>2012</v>
      </c>
      <c r="G111" s="78" t="s">
        <v>44</v>
      </c>
      <c r="H111" s="78">
        <v>9</v>
      </c>
      <c r="I111" s="78">
        <v>1</v>
      </c>
      <c r="J111" s="44">
        <v>5704.32</v>
      </c>
      <c r="K111" s="44">
        <v>3900.7</v>
      </c>
      <c r="L111" s="44">
        <v>0</v>
      </c>
      <c r="M111" s="79">
        <v>280</v>
      </c>
      <c r="N111" s="72">
        <f>+P111+Q111+R111+S111+T111</f>
        <v>3493023.9110059999</v>
      </c>
      <c r="O111" s="44"/>
      <c r="P111" s="162"/>
      <c r="Q111" s="162"/>
      <c r="R111" s="162">
        <f>+AQ111+AR111</f>
        <v>2691688.4905999997</v>
      </c>
      <c r="S111" s="162">
        <f>+'Приложение №2'!E111-'Приложение №1'!R111</f>
        <v>801335.42040600022</v>
      </c>
      <c r="T111" s="162">
        <v>0</v>
      </c>
      <c r="U111" s="44">
        <f>$N111/($K111+$L111)</f>
        <v>895.48642833491431</v>
      </c>
      <c r="V111" s="44">
        <f>$N111/($K111+$L111)</f>
        <v>895.48642833491431</v>
      </c>
      <c r="W111" s="80">
        <v>2022</v>
      </c>
      <c r="X111" s="29" t="e">
        <f>+#REF!-'[1]Приложение №1'!$P1479</f>
        <v>#REF!</v>
      </c>
      <c r="Z111" s="31">
        <f>SUM(AA111:AO111)</f>
        <v>4018667.23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/>
      <c r="AG111" s="27">
        <v>0</v>
      </c>
      <c r="AH111" s="27">
        <v>0</v>
      </c>
      <c r="AI111" s="27">
        <v>3789709.0289940001</v>
      </c>
      <c r="AJ111" s="27">
        <v>0</v>
      </c>
      <c r="AK111" s="27">
        <v>0</v>
      </c>
      <c r="AL111" s="27">
        <v>0</v>
      </c>
      <c r="AM111" s="27">
        <v>122084.94</v>
      </c>
      <c r="AN111" s="27">
        <v>24000</v>
      </c>
      <c r="AO111" s="33">
        <v>82873.261006000001</v>
      </c>
      <c r="AP111" s="84">
        <f>+N111-'Приложение №2'!E111</f>
        <v>0</v>
      </c>
      <c r="AQ111" s="1">
        <v>2162917.4</v>
      </c>
      <c r="AR111" s="1">
        <f>+(K111*13.29+L111*22.52)*12*0.85</f>
        <v>528771.09059999988</v>
      </c>
      <c r="AS111" s="1">
        <f>+(K111*13.29+L111*22.52)*12*30</f>
        <v>18662509.079999998</v>
      </c>
      <c r="AT111" s="29">
        <f>+S111-AS111</f>
        <v>-17861173.659593999</v>
      </c>
      <c r="AU111" s="29">
        <f>+P111-'[6]Приложение №1'!$P312</f>
        <v>0</v>
      </c>
      <c r="AV111" s="29">
        <f>+Q111-'[6]Приложение №1'!$Q312</f>
        <v>0</v>
      </c>
      <c r="AW111" s="29">
        <f>+R111-'[6]Приложение №1'!$R312</f>
        <v>0</v>
      </c>
      <c r="AX111" s="29">
        <f>+S111-'[6]Приложение №1'!$S312</f>
        <v>-525643.31899400009</v>
      </c>
      <c r="AY111" s="29">
        <f>+T111-'[6]Приложение №1'!$T312</f>
        <v>0</v>
      </c>
    </row>
    <row r="112" spans="1:51" x14ac:dyDescent="0.25">
      <c r="A112" s="76">
        <f t="shared" si="30"/>
        <v>96</v>
      </c>
      <c r="B112" s="77">
        <f t="shared" si="30"/>
        <v>96</v>
      </c>
      <c r="C112" s="77" t="s">
        <v>72</v>
      </c>
      <c r="D112" s="77" t="s">
        <v>203</v>
      </c>
      <c r="E112" s="78">
        <v>1992</v>
      </c>
      <c r="F112" s="78">
        <v>2013</v>
      </c>
      <c r="G112" s="78" t="s">
        <v>51</v>
      </c>
      <c r="H112" s="78">
        <v>10</v>
      </c>
      <c r="I112" s="78">
        <v>4</v>
      </c>
      <c r="J112" s="44">
        <v>12644.49</v>
      </c>
      <c r="K112" s="44">
        <v>10557.43</v>
      </c>
      <c r="L112" s="44">
        <v>90.5</v>
      </c>
      <c r="M112" s="79">
        <v>379</v>
      </c>
      <c r="N112" s="129">
        <f t="shared" si="29"/>
        <v>8609691.4240093995</v>
      </c>
      <c r="O112" s="44"/>
      <c r="P112" s="162"/>
      <c r="Q112" s="162"/>
      <c r="R112" s="162">
        <v>6910298.2999999998</v>
      </c>
      <c r="S112" s="162">
        <f>+'Приложение №2'!E112-'Приложение №1'!R112</f>
        <v>1699393.1240093997</v>
      </c>
      <c r="T112" s="161">
        <f>+'Приложение №2'!E112-'Приложение №1'!P112-'Приложение №1'!Q112-'Приложение №1'!R112-'Приложение №1'!S112</f>
        <v>0</v>
      </c>
      <c r="U112" s="68">
        <f t="shared" si="26"/>
        <v>808.57889035797564</v>
      </c>
      <c r="V112" s="68">
        <f t="shared" si="26"/>
        <v>808.57889035797564</v>
      </c>
      <c r="W112" s="80">
        <v>2022</v>
      </c>
      <c r="X112" s="29" t="e">
        <f>+#REF!-'[1]Приложение №1'!$P1093</f>
        <v>#REF!</v>
      </c>
      <c r="Z112" s="31">
        <f t="shared" si="27"/>
        <v>9468137.6899999976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/>
      <c r="AG112" s="27">
        <v>0</v>
      </c>
      <c r="AH112" s="27">
        <v>0</v>
      </c>
      <c r="AI112" s="27">
        <v>8338967.5890905978</v>
      </c>
      <c r="AJ112" s="27">
        <v>0</v>
      </c>
      <c r="AK112" s="27">
        <v>0</v>
      </c>
      <c r="AL112" s="27">
        <v>0</v>
      </c>
      <c r="AM112" s="27">
        <v>852132.39209999994</v>
      </c>
      <c r="AN112" s="32">
        <v>94681.376900000003</v>
      </c>
      <c r="AO112" s="33">
        <v>182356.33190939997</v>
      </c>
      <c r="AP112" s="84">
        <f>+N112-'Приложение №2'!E112</f>
        <v>0</v>
      </c>
      <c r="AQ112" s="1">
        <v>6495346.2400000002</v>
      </c>
      <c r="AR112" s="1">
        <f>+(K112*13.29+L112*22.52)*12*0.85</f>
        <v>1451932.3079399997</v>
      </c>
      <c r="AS112" s="1">
        <f>+(K112*13.29+L112*22.52)*12*30</f>
        <v>51244669.691999994</v>
      </c>
      <c r="AT112" s="29">
        <f t="shared" si="24"/>
        <v>-49545276.567990594</v>
      </c>
    </row>
    <row r="113" spans="1:46" x14ac:dyDescent="0.25">
      <c r="A113" s="76">
        <f t="shared" si="30"/>
        <v>97</v>
      </c>
      <c r="B113" s="77">
        <f t="shared" si="30"/>
        <v>97</v>
      </c>
      <c r="C113" s="77" t="s">
        <v>72</v>
      </c>
      <c r="D113" s="77" t="s">
        <v>366</v>
      </c>
      <c r="E113" s="78">
        <v>1980</v>
      </c>
      <c r="F113" s="78">
        <v>2008</v>
      </c>
      <c r="G113" s="78" t="s">
        <v>51</v>
      </c>
      <c r="H113" s="78">
        <v>5</v>
      </c>
      <c r="I113" s="78">
        <v>6</v>
      </c>
      <c r="J113" s="44">
        <v>7149.4</v>
      </c>
      <c r="K113" s="44">
        <v>6325.2</v>
      </c>
      <c r="L113" s="44">
        <v>0</v>
      </c>
      <c r="M113" s="79">
        <v>293</v>
      </c>
      <c r="N113" s="129">
        <f t="shared" ref="N113:N130" si="33">+P113+Q113+R113+S113+T113</f>
        <v>26333526.466755163</v>
      </c>
      <c r="O113" s="44"/>
      <c r="P113" s="162"/>
      <c r="Q113" s="162"/>
      <c r="R113" s="162">
        <f>+AQ113+AR113-371756.49</f>
        <v>3317737.7199999997</v>
      </c>
      <c r="S113" s="162">
        <f>AS113-S324</f>
        <v>20978836.32</v>
      </c>
      <c r="T113" s="162">
        <f>+'Приложение №2'!E113-'Приложение №1'!P113-'Приложение №1'!R113-'Приложение №1'!S113</f>
        <v>2036952.4267551638</v>
      </c>
      <c r="U113" s="68">
        <f t="shared" si="26"/>
        <v>4163.2717489968954</v>
      </c>
      <c r="V113" s="68">
        <f t="shared" si="26"/>
        <v>4163.2717489968954</v>
      </c>
      <c r="W113" s="80">
        <v>2022</v>
      </c>
      <c r="X113" s="29" t="e">
        <f>+#REF!-'[1]Приложение №1'!$P1094</f>
        <v>#REF!</v>
      </c>
      <c r="Z113" s="31">
        <f t="shared" si="27"/>
        <v>114548451.67</v>
      </c>
      <c r="AA113" s="27">
        <v>10489330.258041179</v>
      </c>
      <c r="AB113" s="27">
        <v>6066266.4462859211</v>
      </c>
      <c r="AC113" s="27">
        <v>6412492.7922270596</v>
      </c>
      <c r="AD113" s="27">
        <v>4889580.2685996005</v>
      </c>
      <c r="AE113" s="27">
        <v>1953287.2251610199</v>
      </c>
      <c r="AF113" s="27"/>
      <c r="AG113" s="27">
        <v>521212.05792599992</v>
      </c>
      <c r="AH113" s="27">
        <v>0</v>
      </c>
      <c r="AI113" s="27">
        <v>18672604.894377001</v>
      </c>
      <c r="AJ113" s="27">
        <v>0</v>
      </c>
      <c r="AK113" s="27">
        <v>36252968.326471262</v>
      </c>
      <c r="AL113" s="27">
        <v>14257827.475101</v>
      </c>
      <c r="AM113" s="27">
        <v>11711193.4519</v>
      </c>
      <c r="AN113" s="32">
        <v>1145484.5167</v>
      </c>
      <c r="AO113" s="33">
        <v>2176203.9572099601</v>
      </c>
      <c r="AP113" s="84">
        <f>+N113-'Приложение №2'!E113</f>
        <v>0</v>
      </c>
      <c r="AQ113" s="1">
        <v>3044323.81</v>
      </c>
      <c r="AR113" s="1">
        <f t="shared" ref="AR113:AR121" si="34">+(K113*10+L113*20)*12*0.85</f>
        <v>645170.4</v>
      </c>
      <c r="AS113" s="1">
        <f t="shared" ref="AS113:AS121" si="35">+(K113*10+L113*20)*12*30</f>
        <v>22770720</v>
      </c>
      <c r="AT113" s="29">
        <f t="shared" si="24"/>
        <v>-1791883.6799999997</v>
      </c>
    </row>
    <row r="114" spans="1:46" x14ac:dyDescent="0.25">
      <c r="A114" s="76">
        <f t="shared" ref="A114:B129" si="36">+A113+1</f>
        <v>98</v>
      </c>
      <c r="B114" s="77">
        <f t="shared" si="36"/>
        <v>98</v>
      </c>
      <c r="C114" s="77" t="s">
        <v>72</v>
      </c>
      <c r="D114" s="77" t="s">
        <v>367</v>
      </c>
      <c r="E114" s="78">
        <v>1991</v>
      </c>
      <c r="F114" s="78">
        <v>2013</v>
      </c>
      <c r="G114" s="78" t="s">
        <v>51</v>
      </c>
      <c r="H114" s="78">
        <v>5</v>
      </c>
      <c r="I114" s="78">
        <v>6</v>
      </c>
      <c r="J114" s="44">
        <v>7178.4</v>
      </c>
      <c r="K114" s="44">
        <v>6274.92</v>
      </c>
      <c r="L114" s="44">
        <v>0</v>
      </c>
      <c r="M114" s="79">
        <v>326</v>
      </c>
      <c r="N114" s="129">
        <f t="shared" si="33"/>
        <v>24274955.771498859</v>
      </c>
      <c r="O114" s="44"/>
      <c r="P114" s="162"/>
      <c r="Q114" s="162"/>
      <c r="R114" s="162">
        <f>+AQ114+AR114</f>
        <v>3540174.4699999997</v>
      </c>
      <c r="S114" s="162">
        <f>+'Приложение №2'!E114-'Приложение №1'!P114-'Приложение №1'!Q114-'Приложение №1'!R114</f>
        <v>20734781.30149886</v>
      </c>
      <c r="T114" s="161">
        <f>+'Приложение №2'!E114-'Приложение №1'!P114-'Приложение №1'!Q114-'Приложение №1'!R114-'Приложение №1'!S114</f>
        <v>0</v>
      </c>
      <c r="U114" s="68">
        <f t="shared" si="26"/>
        <v>3868.5681684386191</v>
      </c>
      <c r="V114" s="68">
        <f t="shared" si="26"/>
        <v>3868.5681684386191</v>
      </c>
      <c r="W114" s="80">
        <v>2022</v>
      </c>
      <c r="X114" s="29" t="e">
        <f>+#REF!-'[1]Приложение №1'!$P1095</f>
        <v>#REF!</v>
      </c>
      <c r="Z114" s="31">
        <f t="shared" si="27"/>
        <v>114739882.34000002</v>
      </c>
      <c r="AA114" s="27">
        <v>10506859.78146714</v>
      </c>
      <c r="AB114" s="27">
        <v>6076404.2463314394</v>
      </c>
      <c r="AC114" s="27">
        <v>6423209.20185294</v>
      </c>
      <c r="AD114" s="27">
        <v>4897751.6187221995</v>
      </c>
      <c r="AE114" s="27">
        <v>1956551.5156395598</v>
      </c>
      <c r="AF114" s="27"/>
      <c r="AG114" s="27">
        <v>522083.09510700009</v>
      </c>
      <c r="AH114" s="27">
        <v>0</v>
      </c>
      <c r="AI114" s="27">
        <v>18703810.111480199</v>
      </c>
      <c r="AJ114" s="27">
        <v>0</v>
      </c>
      <c r="AK114" s="27">
        <v>36313553.428299837</v>
      </c>
      <c r="AL114" s="27">
        <v>14281654.8168945</v>
      </c>
      <c r="AM114" s="27">
        <v>11730764.922900002</v>
      </c>
      <c r="AN114" s="32">
        <v>1147398.8234000001</v>
      </c>
      <c r="AO114" s="33">
        <v>2179840.7779051797</v>
      </c>
      <c r="AP114" s="84">
        <f>+N114-'Приложение №2'!E114</f>
        <v>0</v>
      </c>
      <c r="AQ114" s="1">
        <v>2900132.63</v>
      </c>
      <c r="AR114" s="1">
        <f t="shared" si="34"/>
        <v>640041.83999999985</v>
      </c>
      <c r="AS114" s="1">
        <f t="shared" si="35"/>
        <v>22589711.999999996</v>
      </c>
      <c r="AT114" s="29">
        <f t="shared" si="24"/>
        <v>-1854930.6985011362</v>
      </c>
    </row>
    <row r="115" spans="1:46" x14ac:dyDescent="0.25">
      <c r="A115" s="76">
        <f t="shared" si="36"/>
        <v>99</v>
      </c>
      <c r="B115" s="77">
        <f t="shared" si="36"/>
        <v>99</v>
      </c>
      <c r="C115" s="77" t="s">
        <v>72</v>
      </c>
      <c r="D115" s="77" t="s">
        <v>368</v>
      </c>
      <c r="E115" s="78">
        <v>1988</v>
      </c>
      <c r="F115" s="78">
        <v>2013</v>
      </c>
      <c r="G115" s="78" t="s">
        <v>51</v>
      </c>
      <c r="H115" s="78">
        <v>5</v>
      </c>
      <c r="I115" s="78">
        <v>6</v>
      </c>
      <c r="J115" s="44">
        <v>7060</v>
      </c>
      <c r="K115" s="44">
        <v>6080.7</v>
      </c>
      <c r="L115" s="44">
        <v>143.1</v>
      </c>
      <c r="M115" s="79">
        <v>261</v>
      </c>
      <c r="N115" s="129">
        <f t="shared" si="33"/>
        <v>24384542.330598522</v>
      </c>
      <c r="O115" s="44"/>
      <c r="P115" s="162"/>
      <c r="Q115" s="162"/>
      <c r="R115" s="162">
        <f>+AQ115+AR115</f>
        <v>3405808.57</v>
      </c>
      <c r="S115" s="162">
        <f>+'Приложение №2'!E115-'Приложение №1'!P115-'Приложение №1'!Q115-'Приложение №1'!R115</f>
        <v>20978733.760598522</v>
      </c>
      <c r="T115" s="161">
        <f>+'Приложение №2'!E115-'Приложение №1'!P115-'Приложение №1'!Q115-'Приложение №1'!R115-'Приложение №1'!S115</f>
        <v>0</v>
      </c>
      <c r="U115" s="68">
        <f t="shared" si="26"/>
        <v>3917.9508227447091</v>
      </c>
      <c r="V115" s="68">
        <f t="shared" si="26"/>
        <v>3917.9508227447091</v>
      </c>
      <c r="W115" s="80">
        <v>2022</v>
      </c>
      <c r="X115" s="29" t="e">
        <f>+#REF!-'[1]Приложение №1'!$P1096</f>
        <v>#REF!</v>
      </c>
      <c r="Z115" s="31">
        <f t="shared" si="27"/>
        <v>113728034.62</v>
      </c>
      <c r="AA115" s="27">
        <v>10414203.74815548</v>
      </c>
      <c r="AB115" s="27">
        <v>6022818.7318051206</v>
      </c>
      <c r="AC115" s="27">
        <v>6366565.3410651591</v>
      </c>
      <c r="AD115" s="27">
        <v>4854560.1966455989</v>
      </c>
      <c r="AE115" s="27">
        <v>1939297.42329372</v>
      </c>
      <c r="AF115" s="27"/>
      <c r="AG115" s="27">
        <v>517479.04143600003</v>
      </c>
      <c r="AH115" s="27">
        <v>0</v>
      </c>
      <c r="AI115" s="27">
        <v>18538868.268521998</v>
      </c>
      <c r="AJ115" s="27">
        <v>0</v>
      </c>
      <c r="AK115" s="27">
        <v>35993317.908726364</v>
      </c>
      <c r="AL115" s="27">
        <v>14155710.295986</v>
      </c>
      <c r="AM115" s="27">
        <v>11627315.733400002</v>
      </c>
      <c r="AN115" s="32">
        <v>1137280.3462</v>
      </c>
      <c r="AO115" s="33">
        <v>2160617.5847645602</v>
      </c>
      <c r="AP115" s="84">
        <f>+N115-'Приложение №2'!E115</f>
        <v>0</v>
      </c>
      <c r="AQ115" s="1">
        <v>2756384.77</v>
      </c>
      <c r="AR115" s="1">
        <f t="shared" si="34"/>
        <v>649423.79999999993</v>
      </c>
      <c r="AS115" s="1">
        <f t="shared" si="35"/>
        <v>22920840</v>
      </c>
      <c r="AT115" s="29">
        <f t="shared" si="24"/>
        <v>-1942106.2394014783</v>
      </c>
    </row>
    <row r="116" spans="1:46" x14ac:dyDescent="0.25">
      <c r="A116" s="76">
        <f t="shared" si="36"/>
        <v>100</v>
      </c>
      <c r="B116" s="77">
        <f t="shared" si="36"/>
        <v>100</v>
      </c>
      <c r="C116" s="77" t="s">
        <v>72</v>
      </c>
      <c r="D116" s="77" t="s">
        <v>204</v>
      </c>
      <c r="E116" s="78">
        <v>1975</v>
      </c>
      <c r="F116" s="78">
        <v>2013</v>
      </c>
      <c r="G116" s="78" t="s">
        <v>44</v>
      </c>
      <c r="H116" s="78">
        <v>4</v>
      </c>
      <c r="I116" s="78">
        <v>4</v>
      </c>
      <c r="J116" s="44">
        <v>2912.6</v>
      </c>
      <c r="K116" s="44">
        <v>2004.3</v>
      </c>
      <c r="L116" s="44">
        <v>902.2</v>
      </c>
      <c r="M116" s="79">
        <v>104</v>
      </c>
      <c r="N116" s="129">
        <f t="shared" si="33"/>
        <v>1151789.168633756</v>
      </c>
      <c r="O116" s="44"/>
      <c r="P116" s="162"/>
      <c r="Q116" s="162"/>
      <c r="R116" s="162">
        <f>+'Приложение №2'!E116</f>
        <v>1151789.168633756</v>
      </c>
      <c r="S116" s="162"/>
      <c r="T116" s="161">
        <f>+'Приложение №2'!E116-'Приложение №1'!P116-'Приложение №1'!Q116-'Приложение №1'!R116-'Приложение №1'!S116</f>
        <v>0</v>
      </c>
      <c r="U116" s="68">
        <f t="shared" si="26"/>
        <v>396.28046400610907</v>
      </c>
      <c r="V116" s="68">
        <f t="shared" si="26"/>
        <v>396.28046400610907</v>
      </c>
      <c r="W116" s="80">
        <v>2022</v>
      </c>
      <c r="X116" s="29" t="e">
        <f>+#REF!-'[1]Приложение №1'!$P691</f>
        <v>#REF!</v>
      </c>
      <c r="Z116" s="31">
        <f t="shared" si="27"/>
        <v>33480583.039703999</v>
      </c>
      <c r="AA116" s="27">
        <v>4910426.619134401</v>
      </c>
      <c r="AB116" s="27">
        <v>1749786.8763320402</v>
      </c>
      <c r="AC116" s="27">
        <v>1828137.9504292798</v>
      </c>
      <c r="AD116" s="27">
        <v>1144529.9445770402</v>
      </c>
      <c r="AE116" s="27">
        <v>818458.35</v>
      </c>
      <c r="AF116" s="27"/>
      <c r="AG116" s="27">
        <v>188426.51279339998</v>
      </c>
      <c r="AH116" s="27">
        <v>0</v>
      </c>
      <c r="AI116" s="27">
        <v>8977006.9994345997</v>
      </c>
      <c r="AJ116" s="27">
        <v>0</v>
      </c>
      <c r="AK116" s="27">
        <v>4660903.59852558</v>
      </c>
      <c r="AL116" s="27">
        <v>5027330.1025222801</v>
      </c>
      <c r="AM116" s="27">
        <v>3221989.0267999996</v>
      </c>
      <c r="AN116" s="32">
        <v>327170.53649999999</v>
      </c>
      <c r="AO116" s="33">
        <v>626416.52265538019</v>
      </c>
      <c r="AP116" s="84">
        <f>+N116-'Приложение №2'!E116</f>
        <v>0</v>
      </c>
      <c r="AQ116" s="1">
        <v>1936703.42</v>
      </c>
      <c r="AR116" s="1">
        <f t="shared" si="34"/>
        <v>388487.39999999997</v>
      </c>
      <c r="AS116" s="1">
        <f t="shared" si="35"/>
        <v>13711320</v>
      </c>
      <c r="AT116" s="29">
        <f t="shared" si="24"/>
        <v>-13711320</v>
      </c>
    </row>
    <row r="117" spans="1:46" x14ac:dyDescent="0.25">
      <c r="A117" s="76">
        <f t="shared" si="36"/>
        <v>101</v>
      </c>
      <c r="B117" s="77">
        <f t="shared" si="36"/>
        <v>101</v>
      </c>
      <c r="C117" s="77" t="s">
        <v>72</v>
      </c>
      <c r="D117" s="77" t="s">
        <v>369</v>
      </c>
      <c r="E117" s="78">
        <v>1993</v>
      </c>
      <c r="F117" s="78">
        <v>2013</v>
      </c>
      <c r="G117" s="78" t="s">
        <v>44</v>
      </c>
      <c r="H117" s="78">
        <v>5</v>
      </c>
      <c r="I117" s="78">
        <v>2</v>
      </c>
      <c r="J117" s="44">
        <v>2382.6999999999998</v>
      </c>
      <c r="K117" s="44">
        <v>2177.75</v>
      </c>
      <c r="L117" s="44">
        <v>0</v>
      </c>
      <c r="M117" s="79">
        <v>103</v>
      </c>
      <c r="N117" s="129">
        <f t="shared" si="33"/>
        <v>8825748.4216627013</v>
      </c>
      <c r="O117" s="44"/>
      <c r="P117" s="162">
        <f>218626.81+157679</f>
        <v>376305.81</v>
      </c>
      <c r="Q117" s="162"/>
      <c r="R117" s="162">
        <v>751589.24</v>
      </c>
      <c r="S117" s="162">
        <f>+'Приложение №2'!E117-'Приложение №1'!P117-'Приложение №1'!Q117-'Приложение №1'!R117</f>
        <v>7697853.3716627005</v>
      </c>
      <c r="T117" s="161">
        <f>+'Приложение №2'!E117-'Приложение №1'!P117-'Приложение №1'!Q117-'Приложение №1'!R117-'Приложение №1'!S117</f>
        <v>0</v>
      </c>
      <c r="U117" s="68">
        <f t="shared" si="26"/>
        <v>4052.6912738664682</v>
      </c>
      <c r="V117" s="68">
        <f t="shared" si="26"/>
        <v>4052.6912738664682</v>
      </c>
      <c r="W117" s="80">
        <v>2022</v>
      </c>
      <c r="X117" s="29" t="e">
        <f>+#REF!-'[1]Приложение №1'!$P1097</f>
        <v>#REF!</v>
      </c>
      <c r="Z117" s="31">
        <f t="shared" si="27"/>
        <v>22932892.859999996</v>
      </c>
      <c r="AA117" s="27">
        <v>5269271.9163684594</v>
      </c>
      <c r="AB117" s="27">
        <v>1877658.2087747399</v>
      </c>
      <c r="AC117" s="27">
        <v>1961735.0389824603</v>
      </c>
      <c r="AD117" s="27">
        <v>1228170.1704375602</v>
      </c>
      <c r="AE117" s="27"/>
      <c r="AF117" s="27"/>
      <c r="AG117" s="27">
        <v>202196.39026187998</v>
      </c>
      <c r="AH117" s="27">
        <v>0</v>
      </c>
      <c r="AI117" s="27">
        <v>9633030.8035121989</v>
      </c>
      <c r="AJ117" s="27">
        <v>0</v>
      </c>
      <c r="AK117" s="27">
        <v>0</v>
      </c>
      <c r="AL117" s="27">
        <v>0</v>
      </c>
      <c r="AM117" s="27">
        <v>2090379.2508999999</v>
      </c>
      <c r="AN117" s="32">
        <v>229328.92859999998</v>
      </c>
      <c r="AO117" s="33">
        <v>441122.15216270008</v>
      </c>
      <c r="AP117" s="84">
        <f>+N117-'Приложение №2'!E117</f>
        <v>0</v>
      </c>
      <c r="AQ117" s="1">
        <v>1043569.01</v>
      </c>
      <c r="AR117" s="1">
        <f t="shared" si="34"/>
        <v>222130.5</v>
      </c>
      <c r="AS117" s="1">
        <f t="shared" si="35"/>
        <v>7839900</v>
      </c>
      <c r="AT117" s="29">
        <f t="shared" si="24"/>
        <v>-142046.62833729945</v>
      </c>
    </row>
    <row r="118" spans="1:46" x14ac:dyDescent="0.25">
      <c r="A118" s="76">
        <f t="shared" si="36"/>
        <v>102</v>
      </c>
      <c r="B118" s="77">
        <f t="shared" si="36"/>
        <v>102</v>
      </c>
      <c r="C118" s="77" t="s">
        <v>72</v>
      </c>
      <c r="D118" s="77" t="s">
        <v>478</v>
      </c>
      <c r="E118" s="78">
        <v>1966</v>
      </c>
      <c r="F118" s="78">
        <v>2013</v>
      </c>
      <c r="G118" s="78" t="s">
        <v>44</v>
      </c>
      <c r="H118" s="78">
        <v>4</v>
      </c>
      <c r="I118" s="78">
        <v>6</v>
      </c>
      <c r="J118" s="44">
        <v>2829.5</v>
      </c>
      <c r="K118" s="44">
        <v>2537.8000000000002</v>
      </c>
      <c r="L118" s="44">
        <v>230.6</v>
      </c>
      <c r="M118" s="79">
        <v>144</v>
      </c>
      <c r="N118" s="129">
        <f t="shared" si="33"/>
        <v>4462811.3410231601</v>
      </c>
      <c r="O118" s="44"/>
      <c r="P118" s="162"/>
      <c r="Q118" s="162"/>
      <c r="R118" s="162">
        <f>+AQ118+AR118-102987.16</f>
        <v>1506343.8800000001</v>
      </c>
      <c r="S118" s="162">
        <f>+'Приложение №2'!E118-'Приложение №1'!R118</f>
        <v>2956467.4610231603</v>
      </c>
      <c r="T118" s="161">
        <f>+'Приложение №2'!E118-'Приложение №1'!P118-'Приложение №1'!Q118-'Приложение №1'!R118-'Приложение №1'!S118</f>
        <v>0</v>
      </c>
      <c r="U118" s="68">
        <f t="shared" si="26"/>
        <v>1612.054378349646</v>
      </c>
      <c r="V118" s="68">
        <f t="shared" si="26"/>
        <v>1612.054378349646</v>
      </c>
      <c r="W118" s="80">
        <v>2022</v>
      </c>
      <c r="X118" s="29" t="e">
        <f>+#REF!-'[1]Приложение №1'!$P1488</f>
        <v>#REF!</v>
      </c>
      <c r="Z118" s="31">
        <f t="shared" si="27"/>
        <v>15087934.029999999</v>
      </c>
      <c r="AA118" s="27">
        <v>6065034.6402882598</v>
      </c>
      <c r="AB118" s="27">
        <v>2161221.1824524999</v>
      </c>
      <c r="AC118" s="27">
        <v>2257995.2503873804</v>
      </c>
      <c r="AD118" s="27">
        <v>1413647.7960217199</v>
      </c>
      <c r="AE118" s="27">
        <v>864921.32273358025</v>
      </c>
      <c r="AF118" s="27"/>
      <c r="AG118" s="27">
        <v>232731.98563608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1657316.1065</v>
      </c>
      <c r="AN118" s="32">
        <v>150879.34030000001</v>
      </c>
      <c r="AO118" s="33">
        <v>284186.40568048006</v>
      </c>
      <c r="AP118" s="84">
        <f>+N118-'Приложение №2'!E118</f>
        <v>0</v>
      </c>
      <c r="AQ118" s="1">
        <v>1303433.04</v>
      </c>
      <c r="AR118" s="1">
        <f t="shared" si="34"/>
        <v>305898</v>
      </c>
      <c r="AS118" s="1">
        <f t="shared" si="35"/>
        <v>10796400</v>
      </c>
      <c r="AT118" s="29">
        <f t="shared" si="24"/>
        <v>-7839932.5389768397</v>
      </c>
    </row>
    <row r="119" spans="1:46" x14ac:dyDescent="0.25">
      <c r="A119" s="76">
        <f t="shared" si="36"/>
        <v>103</v>
      </c>
      <c r="B119" s="77">
        <f t="shared" si="36"/>
        <v>103</v>
      </c>
      <c r="C119" s="77" t="s">
        <v>72</v>
      </c>
      <c r="D119" s="77" t="s">
        <v>208</v>
      </c>
      <c r="E119" s="78">
        <v>1973</v>
      </c>
      <c r="F119" s="78">
        <v>2013</v>
      </c>
      <c r="G119" s="78" t="s">
        <v>44</v>
      </c>
      <c r="H119" s="78">
        <v>5</v>
      </c>
      <c r="I119" s="78">
        <v>4</v>
      </c>
      <c r="J119" s="44">
        <v>3187.3</v>
      </c>
      <c r="K119" s="44">
        <v>2508.4</v>
      </c>
      <c r="L119" s="44">
        <v>678.9</v>
      </c>
      <c r="M119" s="79">
        <v>119</v>
      </c>
      <c r="N119" s="129">
        <f t="shared" si="33"/>
        <v>1013056.9700000001</v>
      </c>
      <c r="O119" s="44"/>
      <c r="P119" s="162"/>
      <c r="Q119" s="162"/>
      <c r="R119" s="162">
        <f>+'Приложение №2'!E119</f>
        <v>1013056.9700000001</v>
      </c>
      <c r="S119" s="162">
        <f>+'Приложение №2'!E119-'Приложение №1'!R119</f>
        <v>0</v>
      </c>
      <c r="T119" s="161">
        <f>+'Приложение №2'!E119-'Приложение №1'!P119-'Приложение №1'!Q119-'Приложение №1'!R119-'Приложение №1'!S119</f>
        <v>0</v>
      </c>
      <c r="U119" s="68">
        <f t="shared" si="26"/>
        <v>317.84173752078561</v>
      </c>
      <c r="V119" s="68">
        <f t="shared" si="26"/>
        <v>317.84173752078561</v>
      </c>
      <c r="W119" s="80">
        <v>2022</v>
      </c>
      <c r="X119" s="29" t="e">
        <f>+#REF!-'[1]Приложение №1'!$P700</f>
        <v>#REF!</v>
      </c>
      <c r="Z119" s="31">
        <f t="shared" si="27"/>
        <v>1264729.77</v>
      </c>
      <c r="AA119" s="27">
        <v>0</v>
      </c>
      <c r="AB119" s="27">
        <v>0</v>
      </c>
      <c r="AC119" s="27">
        <v>0</v>
      </c>
      <c r="AD119" s="27">
        <v>0</v>
      </c>
      <c r="AE119" s="27">
        <v>1007223.29</v>
      </c>
      <c r="AF119" s="27"/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241672.8</v>
      </c>
      <c r="AN119" s="32">
        <v>10000</v>
      </c>
      <c r="AO119" s="33">
        <v>5833.68</v>
      </c>
      <c r="AP119" s="84">
        <f>+N119-'Приложение №2'!E119</f>
        <v>0</v>
      </c>
      <c r="AQ119" s="1">
        <v>1840438.6</v>
      </c>
      <c r="AR119" s="1">
        <f t="shared" si="34"/>
        <v>394352.39999999997</v>
      </c>
      <c r="AS119" s="1">
        <f t="shared" si="35"/>
        <v>13918320</v>
      </c>
      <c r="AT119" s="29">
        <f t="shared" si="24"/>
        <v>-13918320</v>
      </c>
    </row>
    <row r="120" spans="1:46" x14ac:dyDescent="0.25">
      <c r="A120" s="76">
        <f t="shared" si="36"/>
        <v>104</v>
      </c>
      <c r="B120" s="77">
        <f t="shared" si="36"/>
        <v>104</v>
      </c>
      <c r="C120" s="77" t="s">
        <v>72</v>
      </c>
      <c r="D120" s="77" t="s">
        <v>372</v>
      </c>
      <c r="E120" s="78">
        <v>1995</v>
      </c>
      <c r="F120" s="78">
        <v>2013</v>
      </c>
      <c r="G120" s="78" t="s">
        <v>44</v>
      </c>
      <c r="H120" s="78">
        <v>5</v>
      </c>
      <c r="I120" s="78">
        <v>2</v>
      </c>
      <c r="J120" s="44">
        <v>2325.6999999999998</v>
      </c>
      <c r="K120" s="44">
        <v>1861.6</v>
      </c>
      <c r="L120" s="44">
        <v>0</v>
      </c>
      <c r="M120" s="79">
        <v>45</v>
      </c>
      <c r="N120" s="129">
        <f t="shared" si="33"/>
        <v>12649312.870907839</v>
      </c>
      <c r="O120" s="44"/>
      <c r="P120" s="162">
        <v>3166309.31</v>
      </c>
      <c r="Q120" s="162"/>
      <c r="R120" s="162">
        <v>801099.03</v>
      </c>
      <c r="S120" s="162">
        <f>+AS120</f>
        <v>6701760</v>
      </c>
      <c r="T120" s="161">
        <f>+'Приложение №2'!E120-'Приложение №1'!P120-'Приложение №1'!Q120-'Приложение №1'!R120-'Приложение №1'!S120</f>
        <v>1980144.5309078395</v>
      </c>
      <c r="U120" s="68">
        <f t="shared" si="26"/>
        <v>6794.8608030231198</v>
      </c>
      <c r="V120" s="68">
        <f t="shared" si="26"/>
        <v>6794.8608030231198</v>
      </c>
      <c r="W120" s="80">
        <v>2022</v>
      </c>
      <c r="X120" s="29" t="e">
        <f>+#REF!-'[1]Приложение №1'!$P1100</f>
        <v>#REF!</v>
      </c>
      <c r="Z120" s="31">
        <f t="shared" si="27"/>
        <v>24619973.59</v>
      </c>
      <c r="AA120" s="27">
        <v>4453931.4770332193</v>
      </c>
      <c r="AB120" s="27">
        <v>1587118.89355698</v>
      </c>
      <c r="AC120" s="27">
        <v>1658186.10096636</v>
      </c>
      <c r="AD120" s="27">
        <v>1038129.3440137201</v>
      </c>
      <c r="AE120" s="27">
        <v>0</v>
      </c>
      <c r="AF120" s="27"/>
      <c r="AG120" s="27">
        <v>170909.54989416001</v>
      </c>
      <c r="AH120" s="27">
        <v>0</v>
      </c>
      <c r="AI120" s="27">
        <v>8142464.4194249995</v>
      </c>
      <c r="AJ120" s="27">
        <v>0</v>
      </c>
      <c r="AK120" s="27">
        <v>0</v>
      </c>
      <c r="AL120" s="27">
        <v>4559967.0846529808</v>
      </c>
      <c r="AM120" s="27">
        <v>2290484.5943999998</v>
      </c>
      <c r="AN120" s="32">
        <v>246199.7359</v>
      </c>
      <c r="AO120" s="33">
        <v>472582.39015758003</v>
      </c>
      <c r="AP120" s="84">
        <f>+N120-'Приложение №2'!E120</f>
        <v>0</v>
      </c>
      <c r="AQ120" s="1">
        <v>717879.06</v>
      </c>
      <c r="AR120" s="1">
        <f t="shared" si="34"/>
        <v>189883.19999999998</v>
      </c>
      <c r="AS120" s="1">
        <f t="shared" si="35"/>
        <v>6701760</v>
      </c>
      <c r="AT120" s="29">
        <f t="shared" si="24"/>
        <v>0</v>
      </c>
    </row>
    <row r="121" spans="1:46" s="35" customFormat="1" x14ac:dyDescent="0.25">
      <c r="A121" s="76">
        <f t="shared" si="36"/>
        <v>105</v>
      </c>
      <c r="B121" s="77">
        <f t="shared" si="36"/>
        <v>105</v>
      </c>
      <c r="C121" s="77" t="s">
        <v>568</v>
      </c>
      <c r="D121" s="77" t="s">
        <v>641</v>
      </c>
      <c r="E121" s="78" t="s">
        <v>610</v>
      </c>
      <c r="F121" s="78"/>
      <c r="G121" s="78" t="s">
        <v>573</v>
      </c>
      <c r="H121" s="78" t="s">
        <v>579</v>
      </c>
      <c r="I121" s="78" t="s">
        <v>583</v>
      </c>
      <c r="J121" s="44">
        <v>5677.5</v>
      </c>
      <c r="K121" s="44">
        <v>4896.3999999999996</v>
      </c>
      <c r="L121" s="44">
        <v>72</v>
      </c>
      <c r="M121" s="79">
        <v>216</v>
      </c>
      <c r="N121" s="129">
        <f t="shared" si="33"/>
        <v>56109594.188878097</v>
      </c>
      <c r="O121" s="44">
        <v>0</v>
      </c>
      <c r="P121" s="162">
        <f>12974985.21+964259.01</f>
        <v>13939244.220000001</v>
      </c>
      <c r="Q121" s="162">
        <v>0</v>
      </c>
      <c r="R121" s="162">
        <v>2546224.96</v>
      </c>
      <c r="S121" s="162">
        <f>+AS121</f>
        <v>18145440</v>
      </c>
      <c r="T121" s="161">
        <f>+'Приложение №2'!E121-'Приложение №1'!P121-'Приложение №1'!Q121-'Приложение №1'!R121-'Приложение №1'!S121</f>
        <v>21478685.008878097</v>
      </c>
      <c r="U121" s="68">
        <v>224.97</v>
      </c>
      <c r="V121" s="68">
        <v>224.97</v>
      </c>
      <c r="W121" s="80">
        <v>2022</v>
      </c>
      <c r="X121" s="35">
        <v>1825680.39</v>
      </c>
      <c r="Y121" s="35">
        <f>+(K121*9.1+L121*18.19)*12</f>
        <v>550403.04</v>
      </c>
      <c r="AA121" s="36">
        <f>+N121-'[5]Приложение № 2'!E95</f>
        <v>54158448.568878099</v>
      </c>
      <c r="AD121" s="36">
        <f>+N121-'[5]Приложение № 2'!E95</f>
        <v>54158448.568878099</v>
      </c>
      <c r="AP121" s="84">
        <f>+N121-'Приложение №2'!E121</f>
        <v>0</v>
      </c>
      <c r="AQ121" s="35">
        <v>2265420.6</v>
      </c>
      <c r="AR121" s="1">
        <f t="shared" si="34"/>
        <v>514120.8</v>
      </c>
      <c r="AS121" s="1">
        <f t="shared" si="35"/>
        <v>18145440</v>
      </c>
      <c r="AT121" s="29">
        <f t="shared" si="24"/>
        <v>0</v>
      </c>
    </row>
    <row r="122" spans="1:46" x14ac:dyDescent="0.25">
      <c r="A122" s="76">
        <f t="shared" si="36"/>
        <v>106</v>
      </c>
      <c r="B122" s="77">
        <f t="shared" si="36"/>
        <v>106</v>
      </c>
      <c r="C122" s="77" t="s">
        <v>72</v>
      </c>
      <c r="D122" s="77" t="s">
        <v>373</v>
      </c>
      <c r="E122" s="78">
        <v>1986</v>
      </c>
      <c r="F122" s="78">
        <v>2013</v>
      </c>
      <c r="G122" s="78" t="s">
        <v>44</v>
      </c>
      <c r="H122" s="78">
        <v>12</v>
      </c>
      <c r="I122" s="78">
        <v>1</v>
      </c>
      <c r="J122" s="44">
        <v>5358.08</v>
      </c>
      <c r="K122" s="44">
        <v>4351.1000000000004</v>
      </c>
      <c r="L122" s="44">
        <v>75.099999999999994</v>
      </c>
      <c r="M122" s="79">
        <v>175</v>
      </c>
      <c r="N122" s="129">
        <f t="shared" si="33"/>
        <v>28210776.703030359</v>
      </c>
      <c r="O122" s="44"/>
      <c r="P122" s="162">
        <v>8285257.2000000002</v>
      </c>
      <c r="Q122" s="162"/>
      <c r="R122" s="162">
        <f>+AQ122+AR122</f>
        <v>3249810.1642</v>
      </c>
      <c r="S122" s="162">
        <f>+'Приложение №2'!E122-'Приложение №1'!P122-'Приложение №1'!Q122-'Приложение №1'!R122</f>
        <v>16675709.338830359</v>
      </c>
      <c r="T122" s="161">
        <f>+'Приложение №2'!E122-'Приложение №1'!P122-'Приложение №1'!Q122-'Приложение №1'!R122-'Приложение №1'!S122</f>
        <v>0</v>
      </c>
      <c r="U122" s="68">
        <f t="shared" ref="U122:V129" si="37">$N122/($K122+$L122)</f>
        <v>6373.5883383105947</v>
      </c>
      <c r="V122" s="68">
        <f t="shared" si="37"/>
        <v>6373.5883383105947</v>
      </c>
      <c r="W122" s="80">
        <v>2022</v>
      </c>
      <c r="X122" s="29" t="e">
        <f>+#REF!-'[1]Приложение №1'!$P1102</f>
        <v>#REF!</v>
      </c>
      <c r="Z122" s="31">
        <f>SUM(AA122:AO122)</f>
        <v>79559391.959999993</v>
      </c>
      <c r="AA122" s="27">
        <v>8341354.4473349992</v>
      </c>
      <c r="AB122" s="27">
        <v>5553433.1235902393</v>
      </c>
      <c r="AC122" s="27">
        <v>3380551.53059988</v>
      </c>
      <c r="AD122" s="27">
        <v>3049959.7596686399</v>
      </c>
      <c r="AE122" s="27">
        <v>1113740.92605384</v>
      </c>
      <c r="AF122" s="27"/>
      <c r="AG122" s="27">
        <v>465647.12643960002</v>
      </c>
      <c r="AH122" s="27">
        <v>0</v>
      </c>
      <c r="AI122" s="27">
        <v>3947389.3810512</v>
      </c>
      <c r="AJ122" s="27">
        <v>0</v>
      </c>
      <c r="AK122" s="27">
        <v>34269240.723520316</v>
      </c>
      <c r="AL122" s="27">
        <v>9011986.1099326797</v>
      </c>
      <c r="AM122" s="27">
        <v>8118689.5914000003</v>
      </c>
      <c r="AN122" s="32">
        <v>795593.91959999991</v>
      </c>
      <c r="AO122" s="33">
        <v>1511805.3208086002</v>
      </c>
      <c r="AP122" s="84">
        <f>+N122-'Приложение №2'!E122</f>
        <v>0</v>
      </c>
      <c r="AQ122" s="1">
        <v>2642732.98</v>
      </c>
      <c r="AR122" s="1">
        <f>+(K122*13.29+L122*22.52)*12*0.85</f>
        <v>607077.18420000002</v>
      </c>
      <c r="AS122" s="1">
        <f>+(K122*13.29+L122*22.52)*12*30</f>
        <v>21426253.560000002</v>
      </c>
      <c r="AT122" s="29">
        <f t="shared" si="24"/>
        <v>-4750544.2211696431</v>
      </c>
    </row>
    <row r="123" spans="1:46" x14ac:dyDescent="0.25">
      <c r="A123" s="76">
        <f t="shared" si="36"/>
        <v>107</v>
      </c>
      <c r="B123" s="77">
        <f t="shared" si="36"/>
        <v>107</v>
      </c>
      <c r="C123" s="77" t="s">
        <v>72</v>
      </c>
      <c r="D123" s="77" t="s">
        <v>479</v>
      </c>
      <c r="E123" s="78">
        <v>1974</v>
      </c>
      <c r="F123" s="78">
        <v>2013</v>
      </c>
      <c r="G123" s="78" t="s">
        <v>51</v>
      </c>
      <c r="H123" s="78">
        <v>4</v>
      </c>
      <c r="I123" s="78">
        <v>6</v>
      </c>
      <c r="J123" s="44">
        <v>5678.2</v>
      </c>
      <c r="K123" s="44">
        <v>4923.8</v>
      </c>
      <c r="L123" s="44">
        <v>69.900000000000006</v>
      </c>
      <c r="M123" s="79">
        <v>205</v>
      </c>
      <c r="N123" s="129">
        <f t="shared" si="33"/>
        <v>8373368.8852534005</v>
      </c>
      <c r="O123" s="44"/>
      <c r="P123" s="162"/>
      <c r="Q123" s="162"/>
      <c r="R123" s="162">
        <v>2055008.88</v>
      </c>
      <c r="S123" s="162">
        <f>+'Приложение №2'!E123-'Приложение №1'!P123-'Приложение №1'!Q123-'Приложение №1'!R123</f>
        <v>6318360.0052534007</v>
      </c>
      <c r="T123" s="161">
        <f>+'Приложение №2'!E123-'Приложение №1'!P123-'Приложение №1'!Q123-'Приложение №1'!R123-'Приложение №1'!S123</f>
        <v>0</v>
      </c>
      <c r="U123" s="68">
        <f t="shared" si="37"/>
        <v>1676.7865280760559</v>
      </c>
      <c r="V123" s="68">
        <f t="shared" si="37"/>
        <v>1676.7865280760559</v>
      </c>
      <c r="W123" s="80">
        <v>2022</v>
      </c>
      <c r="X123" s="29" t="e">
        <f>+#REF!-'[1]Приложение №1'!$P1492</f>
        <v>#REF!</v>
      </c>
      <c r="Z123" s="31">
        <f>SUM(AA123:AO123)</f>
        <v>16666252.090000002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/>
      <c r="AG123" s="27">
        <v>0</v>
      </c>
      <c r="AH123" s="27">
        <v>0</v>
      </c>
      <c r="AI123" s="27">
        <v>14678634.865746601</v>
      </c>
      <c r="AJ123" s="27">
        <v>0</v>
      </c>
      <c r="AK123" s="27">
        <v>0</v>
      </c>
      <c r="AL123" s="27">
        <v>0</v>
      </c>
      <c r="AM123" s="27">
        <v>1499962.6880999999</v>
      </c>
      <c r="AN123" s="32">
        <v>166662.5209</v>
      </c>
      <c r="AO123" s="33">
        <v>320992.01525340008</v>
      </c>
      <c r="AP123" s="84">
        <f>+N123-'Приложение №2'!E123</f>
        <v>0</v>
      </c>
      <c r="AQ123" s="1">
        <v>2280888.52</v>
      </c>
      <c r="AR123" s="1">
        <f>+(K123*10+L123*20)*12*0.85</f>
        <v>516487.2</v>
      </c>
      <c r="AS123" s="1">
        <f>+(K123*10+L123*20)*12*30</f>
        <v>18228960</v>
      </c>
      <c r="AT123" s="29">
        <f t="shared" si="24"/>
        <v>-11910599.994746599</v>
      </c>
    </row>
    <row r="124" spans="1:46" x14ac:dyDescent="0.25">
      <c r="A124" s="76">
        <f t="shared" si="36"/>
        <v>108</v>
      </c>
      <c r="B124" s="77">
        <f t="shared" si="36"/>
        <v>108</v>
      </c>
      <c r="C124" s="77" t="s">
        <v>72</v>
      </c>
      <c r="D124" s="77" t="s">
        <v>480</v>
      </c>
      <c r="E124" s="78">
        <v>1974</v>
      </c>
      <c r="F124" s="78">
        <v>2013</v>
      </c>
      <c r="G124" s="78" t="s">
        <v>51</v>
      </c>
      <c r="H124" s="78">
        <v>4</v>
      </c>
      <c r="I124" s="78">
        <v>6</v>
      </c>
      <c r="J124" s="44">
        <v>5563.5</v>
      </c>
      <c r="K124" s="44">
        <v>4878.8999999999996</v>
      </c>
      <c r="L124" s="44">
        <v>141.30000000000001</v>
      </c>
      <c r="M124" s="79">
        <v>202</v>
      </c>
      <c r="N124" s="129">
        <f t="shared" si="33"/>
        <v>8125441.1614079997</v>
      </c>
      <c r="O124" s="44"/>
      <c r="P124" s="163"/>
      <c r="Q124" s="162"/>
      <c r="R124" s="162">
        <v>2007826.6</v>
      </c>
      <c r="S124" s="162">
        <f>+'Приложение №2'!E124-'Приложение №1'!P124-'Приложение №1'!Q124-'Приложение №1'!R124</f>
        <v>6117614.5614080001</v>
      </c>
      <c r="T124" s="161">
        <f>+'Приложение №2'!E124-'Приложение №1'!P124-'Приложение №1'!Q124-'Приложение №1'!R124-'Приложение №1'!S124</f>
        <v>0</v>
      </c>
      <c r="U124" s="68">
        <f t="shared" si="37"/>
        <v>1618.5492931373251</v>
      </c>
      <c r="V124" s="68">
        <f t="shared" si="37"/>
        <v>1618.5492931373251</v>
      </c>
      <c r="W124" s="80">
        <v>2022</v>
      </c>
      <c r="X124" s="29" t="e">
        <f>+#REF!-'[1]Приложение №1'!$P1493</f>
        <v>#REF!</v>
      </c>
      <c r="Z124" s="31">
        <f>SUM(AA124:AO124)</f>
        <v>16283600.800000001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/>
      <c r="AG124" s="27">
        <v>0</v>
      </c>
      <c r="AH124" s="27">
        <v>0</v>
      </c>
      <c r="AI124" s="27">
        <v>14341618.568592001</v>
      </c>
      <c r="AJ124" s="27">
        <v>0</v>
      </c>
      <c r="AK124" s="27">
        <v>0</v>
      </c>
      <c r="AL124" s="27">
        <v>0</v>
      </c>
      <c r="AM124" s="27">
        <v>1465524.0719999999</v>
      </c>
      <c r="AN124" s="32">
        <v>162836.008</v>
      </c>
      <c r="AO124" s="33">
        <v>313622.15140800003</v>
      </c>
      <c r="AP124" s="84">
        <f>+N124-'Приложение №2'!E124</f>
        <v>0</v>
      </c>
      <c r="AQ124" s="1">
        <v>2384583.81</v>
      </c>
      <c r="AR124" s="1">
        <f>+(K124*10+L124*20)*12*0.85</f>
        <v>526473</v>
      </c>
      <c r="AS124" s="1">
        <f>+(K124*10+L124*20)*12*30</f>
        <v>18581400</v>
      </c>
      <c r="AT124" s="29">
        <f t="shared" si="24"/>
        <v>-12463785.438592</v>
      </c>
    </row>
    <row r="125" spans="1:46" x14ac:dyDescent="0.25">
      <c r="A125" s="76">
        <f t="shared" si="36"/>
        <v>109</v>
      </c>
      <c r="B125" s="77">
        <f t="shared" si="36"/>
        <v>109</v>
      </c>
      <c r="C125" s="77" t="s">
        <v>72</v>
      </c>
      <c r="D125" s="77" t="s">
        <v>212</v>
      </c>
      <c r="E125" s="78">
        <v>1968</v>
      </c>
      <c r="F125" s="78">
        <v>2013</v>
      </c>
      <c r="G125" s="78" t="s">
        <v>51</v>
      </c>
      <c r="H125" s="78">
        <v>4</v>
      </c>
      <c r="I125" s="78">
        <v>4</v>
      </c>
      <c r="J125" s="44">
        <v>1991.8</v>
      </c>
      <c r="K125" s="44">
        <v>1480.5</v>
      </c>
      <c r="L125" s="44">
        <v>509.2</v>
      </c>
      <c r="M125" s="79">
        <v>80</v>
      </c>
      <c r="N125" s="129">
        <f t="shared" si="33"/>
        <v>435458</v>
      </c>
      <c r="O125" s="44"/>
      <c r="P125" s="162">
        <v>185262.05</v>
      </c>
      <c r="Q125" s="162"/>
      <c r="R125" s="162">
        <v>250195.95</v>
      </c>
      <c r="S125" s="162"/>
      <c r="T125" s="161">
        <f>+'Приложение №2'!E125-'Приложение №1'!P125-'Приложение №1'!Q125-'Приложение №1'!R125-'Приложение №1'!S125</f>
        <v>0</v>
      </c>
      <c r="U125" s="68">
        <f t="shared" si="37"/>
        <v>218.85610896114991</v>
      </c>
      <c r="V125" s="68">
        <f t="shared" si="37"/>
        <v>218.85610896114991</v>
      </c>
      <c r="W125" s="80">
        <v>2022</v>
      </c>
      <c r="X125" s="29" t="e">
        <f>+#REF!-'[1]Приложение №1'!$P716</f>
        <v>#REF!</v>
      </c>
      <c r="Z125" s="31">
        <f>SUM(AA125:AO125)</f>
        <v>670440.25</v>
      </c>
      <c r="AA125" s="27">
        <v>0</v>
      </c>
      <c r="AB125" s="27">
        <v>0</v>
      </c>
      <c r="AC125" s="27">
        <v>0</v>
      </c>
      <c r="AD125" s="27">
        <v>0</v>
      </c>
      <c r="AE125" s="27">
        <v>475262.77</v>
      </c>
      <c r="AF125" s="27"/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178933.79</v>
      </c>
      <c r="AN125" s="32">
        <v>10000</v>
      </c>
      <c r="AO125" s="33">
        <v>6243.69</v>
      </c>
      <c r="AP125" s="84">
        <f>+N125-'Приложение №2'!E125</f>
        <v>0</v>
      </c>
      <c r="AQ125" s="1">
        <v>1179424.97</v>
      </c>
      <c r="AR125" s="1">
        <f>+(K125*10+L125*20)*12*0.85</f>
        <v>254887.8</v>
      </c>
      <c r="AS125" s="1">
        <f>+(K125*10+L125*20)*12*30</f>
        <v>8996040</v>
      </c>
      <c r="AT125" s="29">
        <f t="shared" si="24"/>
        <v>-8996040</v>
      </c>
    </row>
    <row r="126" spans="1:46" s="35" customFormat="1" x14ac:dyDescent="0.25">
      <c r="A126" s="76">
        <f t="shared" si="36"/>
        <v>110</v>
      </c>
      <c r="B126" s="77">
        <f t="shared" si="36"/>
        <v>110</v>
      </c>
      <c r="C126" s="77" t="s">
        <v>72</v>
      </c>
      <c r="D126" s="77" t="s">
        <v>726</v>
      </c>
      <c r="E126" s="78">
        <v>1973</v>
      </c>
      <c r="F126" s="78"/>
      <c r="G126" s="78" t="s">
        <v>44</v>
      </c>
      <c r="H126" s="78">
        <v>4</v>
      </c>
      <c r="I126" s="78">
        <v>4</v>
      </c>
      <c r="J126" s="44">
        <v>2965.1</v>
      </c>
      <c r="K126" s="44">
        <v>2671.7</v>
      </c>
      <c r="L126" s="44">
        <v>61.9</v>
      </c>
      <c r="M126" s="79">
        <v>112</v>
      </c>
      <c r="N126" s="129">
        <f t="shared" si="33"/>
        <v>1097504.5</v>
      </c>
      <c r="O126" s="44"/>
      <c r="P126" s="162"/>
      <c r="Q126" s="162"/>
      <c r="R126" s="162">
        <f>+'Приложение №2'!E126</f>
        <v>1097504.5</v>
      </c>
      <c r="S126" s="162"/>
      <c r="T126" s="161">
        <f>+'[7]Приложение №2'!E125-'[7]Приложение №1'!P125-'[7]Приложение №1'!Q125-'[7]Приложение №1'!R125-'[7]Приложение №1'!S125</f>
        <v>0</v>
      </c>
      <c r="U126" s="68">
        <f t="shared" si="37"/>
        <v>401.48686713491367</v>
      </c>
      <c r="V126" s="68">
        <f t="shared" si="37"/>
        <v>401.48686713491367</v>
      </c>
      <c r="W126" s="80">
        <v>2022</v>
      </c>
      <c r="AA126" s="36"/>
      <c r="AD126" s="36"/>
      <c r="AP126" s="84">
        <f>+N126-'Приложение №2'!E126</f>
        <v>0</v>
      </c>
      <c r="AQ126" s="24">
        <v>1534449.43</v>
      </c>
      <c r="AR126" s="1">
        <f>+(K126*10+L126*20)*12*0.85</f>
        <v>285141</v>
      </c>
      <c r="AS126" s="1">
        <f>+(K126*10+L126*20)*12*30</f>
        <v>10063800</v>
      </c>
      <c r="AT126" s="29">
        <f t="shared" si="24"/>
        <v>-10063800</v>
      </c>
    </row>
    <row r="127" spans="1:46" x14ac:dyDescent="0.25">
      <c r="A127" s="76">
        <f t="shared" si="36"/>
        <v>111</v>
      </c>
      <c r="B127" s="77">
        <f t="shared" si="36"/>
        <v>111</v>
      </c>
      <c r="C127" s="77" t="s">
        <v>72</v>
      </c>
      <c r="D127" s="77" t="s">
        <v>213</v>
      </c>
      <c r="E127" s="78">
        <v>1977</v>
      </c>
      <c r="F127" s="78">
        <v>2013</v>
      </c>
      <c r="G127" s="78" t="s">
        <v>44</v>
      </c>
      <c r="H127" s="78">
        <v>9</v>
      </c>
      <c r="I127" s="78">
        <v>1</v>
      </c>
      <c r="J127" s="44">
        <v>2365.9899999999998</v>
      </c>
      <c r="K127" s="44">
        <v>1903.5</v>
      </c>
      <c r="L127" s="44">
        <v>136</v>
      </c>
      <c r="M127" s="79">
        <v>70</v>
      </c>
      <c r="N127" s="129">
        <f t="shared" si="33"/>
        <v>678959.93939557998</v>
      </c>
      <c r="O127" s="44"/>
      <c r="P127" s="162"/>
      <c r="Q127" s="162"/>
      <c r="R127" s="162">
        <v>178776.52939558003</v>
      </c>
      <c r="S127" s="162">
        <f>+'Приложение №2'!E127-'Приложение №1'!P127-'Приложение №1'!Q127-'Приложение №1'!R127</f>
        <v>500183.40999999992</v>
      </c>
      <c r="T127" s="161">
        <f>+'Приложение №2'!E127-'Приложение №1'!P127-'Приложение №1'!Q127-'Приложение №1'!R127-'Приложение №1'!S127</f>
        <v>0</v>
      </c>
      <c r="U127" s="68">
        <f t="shared" si="37"/>
        <v>332.90509408952192</v>
      </c>
      <c r="V127" s="68">
        <f t="shared" si="37"/>
        <v>332.90509408952192</v>
      </c>
      <c r="W127" s="80">
        <v>2022</v>
      </c>
      <c r="X127" s="29" t="e">
        <f>+#REF!-'[1]Приложение №1'!$P721</f>
        <v>#REF!</v>
      </c>
      <c r="Z127" s="31">
        <f t="shared" ref="Z127:Z153" si="38">SUM(AA127:AO127)</f>
        <v>26854433.359999996</v>
      </c>
      <c r="AA127" s="27">
        <v>3681294.5645548799</v>
      </c>
      <c r="AB127" s="27">
        <v>2450899.70770344</v>
      </c>
      <c r="AC127" s="27">
        <v>0</v>
      </c>
      <c r="AD127" s="27">
        <v>1346040.4200070801</v>
      </c>
      <c r="AE127" s="27">
        <v>491527.90003842005</v>
      </c>
      <c r="AF127" s="27"/>
      <c r="AG127" s="27">
        <v>205504.30800059999</v>
      </c>
      <c r="AH127" s="27">
        <v>0</v>
      </c>
      <c r="AI127" s="27">
        <v>0</v>
      </c>
      <c r="AJ127" s="27">
        <v>0</v>
      </c>
      <c r="AK127" s="27">
        <v>15124062.916324738</v>
      </c>
      <c r="AL127" s="27">
        <v>0</v>
      </c>
      <c r="AM127" s="27">
        <v>2777050.0558000002</v>
      </c>
      <c r="AN127" s="32">
        <v>268544.33360000001</v>
      </c>
      <c r="AO127" s="33">
        <v>509509.15397084004</v>
      </c>
      <c r="AP127" s="84">
        <f>+N127-'Приложение №2'!E127</f>
        <v>0</v>
      </c>
      <c r="AQ127" s="1">
        <f>1333569.91-680973.2372-75663.69</f>
        <v>576932.98279999988</v>
      </c>
      <c r="AR127" s="1">
        <f>+(K127*13.29+L127*22.52)*12*0.85</f>
        <v>289274.397</v>
      </c>
      <c r="AS127" s="1">
        <f>+(K127*13.29+L127*22.52)*12*30-6485.14-39928.49</f>
        <v>10163270.969999999</v>
      </c>
      <c r="AT127" s="29">
        <f t="shared" si="24"/>
        <v>-9663087.5599999987</v>
      </c>
    </row>
    <row r="128" spans="1:46" x14ac:dyDescent="0.25">
      <c r="A128" s="76">
        <f t="shared" si="36"/>
        <v>112</v>
      </c>
      <c r="B128" s="77">
        <f t="shared" si="36"/>
        <v>112</v>
      </c>
      <c r="C128" s="77" t="s">
        <v>72</v>
      </c>
      <c r="D128" s="77" t="s">
        <v>215</v>
      </c>
      <c r="E128" s="78">
        <v>1964</v>
      </c>
      <c r="F128" s="78">
        <v>2016</v>
      </c>
      <c r="G128" s="78" t="s">
        <v>44</v>
      </c>
      <c r="H128" s="78">
        <v>4</v>
      </c>
      <c r="I128" s="78">
        <v>4</v>
      </c>
      <c r="J128" s="44">
        <v>2622.1</v>
      </c>
      <c r="K128" s="44">
        <v>2204.5</v>
      </c>
      <c r="L128" s="44">
        <v>225.2</v>
      </c>
      <c r="M128" s="79">
        <v>107</v>
      </c>
      <c r="N128" s="129">
        <f t="shared" si="33"/>
        <v>994811.65</v>
      </c>
      <c r="O128" s="44"/>
      <c r="P128" s="162">
        <v>613613.93000000005</v>
      </c>
      <c r="Q128" s="162"/>
      <c r="R128" s="162">
        <v>381197.72</v>
      </c>
      <c r="S128" s="162">
        <f>+'Приложение №2'!E128-'Приложение №1'!P128-'Приложение №1'!R128</f>
        <v>0</v>
      </c>
      <c r="T128" s="161">
        <f>+'Приложение №2'!E128-'Приложение №1'!P128-'Приложение №1'!Q128-'Приложение №1'!R128-'Приложение №1'!S128</f>
        <v>0</v>
      </c>
      <c r="U128" s="68">
        <f t="shared" si="37"/>
        <v>409.4380581964852</v>
      </c>
      <c r="V128" s="68">
        <f t="shared" si="37"/>
        <v>409.4380581964852</v>
      </c>
      <c r="W128" s="80">
        <v>2022</v>
      </c>
      <c r="X128" s="29" t="e">
        <f>+#REF!-'[1]Приложение №1'!$P723</f>
        <v>#REF!</v>
      </c>
      <c r="Z128" s="31">
        <f t="shared" si="38"/>
        <v>1186752.2</v>
      </c>
      <c r="AA128" s="27">
        <v>0</v>
      </c>
      <c r="AB128" s="27">
        <v>0</v>
      </c>
      <c r="AC128" s="27">
        <v>0</v>
      </c>
      <c r="AD128" s="27">
        <v>0</v>
      </c>
      <c r="AE128" s="27">
        <v>994811.73</v>
      </c>
      <c r="AF128" s="27"/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176245.47</v>
      </c>
      <c r="AN128" s="32">
        <v>10000</v>
      </c>
      <c r="AO128" s="33">
        <v>5695</v>
      </c>
      <c r="AP128" s="84">
        <f>+N128-'Приложение №2'!E128</f>
        <v>0</v>
      </c>
      <c r="AQ128" s="1">
        <v>1171903.8500000001</v>
      </c>
      <c r="AR128" s="1">
        <f>+(K128*10+L128*20)*12*0.85</f>
        <v>270799.8</v>
      </c>
      <c r="AS128" s="1">
        <f>+(K128*10+L128*20)*12*30</f>
        <v>9557640</v>
      </c>
      <c r="AT128" s="29">
        <f t="shared" si="24"/>
        <v>-9557640</v>
      </c>
    </row>
    <row r="129" spans="1:51" x14ac:dyDescent="0.25">
      <c r="A129" s="76">
        <f t="shared" si="36"/>
        <v>113</v>
      </c>
      <c r="B129" s="77">
        <f t="shared" si="36"/>
        <v>113</v>
      </c>
      <c r="C129" s="77" t="s">
        <v>72</v>
      </c>
      <c r="D129" s="77" t="s">
        <v>85</v>
      </c>
      <c r="E129" s="78">
        <v>1973</v>
      </c>
      <c r="F129" s="78">
        <v>2013</v>
      </c>
      <c r="G129" s="78" t="s">
        <v>44</v>
      </c>
      <c r="H129" s="78">
        <v>5</v>
      </c>
      <c r="I129" s="78">
        <v>8</v>
      </c>
      <c r="J129" s="44">
        <v>6624.9</v>
      </c>
      <c r="K129" s="44">
        <v>5826</v>
      </c>
      <c r="L129" s="44">
        <v>239.3</v>
      </c>
      <c r="M129" s="79">
        <v>272</v>
      </c>
      <c r="N129" s="129">
        <f t="shared" si="33"/>
        <v>2196546.3422400001</v>
      </c>
      <c r="O129" s="44"/>
      <c r="P129" s="162"/>
      <c r="Q129" s="162"/>
      <c r="R129" s="162">
        <f>+'Приложение №2'!E129</f>
        <v>2196546.3422400001</v>
      </c>
      <c r="S129" s="162">
        <f>+'Приложение №2'!E129-'Приложение №1'!R129</f>
        <v>0</v>
      </c>
      <c r="T129" s="161">
        <f>+'Приложение №2'!E129-'Приложение №1'!P129-'Приложение №1'!Q129-'Приложение №1'!R129-'Приложение №1'!S129</f>
        <v>0</v>
      </c>
      <c r="U129" s="68">
        <f t="shared" si="37"/>
        <v>362.14966155672431</v>
      </c>
      <c r="V129" s="68">
        <f t="shared" si="37"/>
        <v>362.14966155672431</v>
      </c>
      <c r="W129" s="80">
        <v>2022</v>
      </c>
      <c r="X129" s="29" t="e">
        <f>+#REF!-'[1]Приложение №1'!$P433</f>
        <v>#REF!</v>
      </c>
      <c r="Z129" s="31">
        <f t="shared" si="38"/>
        <v>68280809.790000007</v>
      </c>
      <c r="AA129" s="27">
        <v>14487752.111381641</v>
      </c>
      <c r="AB129" s="27">
        <v>5162581.6814224795</v>
      </c>
      <c r="AC129" s="27">
        <v>5393749.1598622799</v>
      </c>
      <c r="AD129" s="27">
        <v>3376828.00437696</v>
      </c>
      <c r="AE129" s="27">
        <v>2066066.6377251605</v>
      </c>
      <c r="AF129" s="27"/>
      <c r="AG129" s="27">
        <v>0</v>
      </c>
      <c r="AH129" s="27">
        <v>0</v>
      </c>
      <c r="AI129" s="27">
        <v>0</v>
      </c>
      <c r="AJ129" s="27">
        <v>0</v>
      </c>
      <c r="AK129" s="27">
        <v>13751557.888197359</v>
      </c>
      <c r="AL129" s="27">
        <v>14832664.840462981</v>
      </c>
      <c r="AM129" s="27">
        <v>7235033.8570000008</v>
      </c>
      <c r="AN129" s="32">
        <v>682808.09790000005</v>
      </c>
      <c r="AO129" s="33">
        <v>1291767.5116711401</v>
      </c>
      <c r="AP129" s="84">
        <f>+N129-'Приложение №2'!E129</f>
        <v>0</v>
      </c>
      <c r="AQ129" s="1">
        <f>3058321.2-217412.18</f>
        <v>2840909.02</v>
      </c>
      <c r="AR129" s="1">
        <f>+(K129*10+L129*20)*12*0.85</f>
        <v>643069.19999999995</v>
      </c>
      <c r="AS129" s="1">
        <f>+(K129*10+L129*20)*12*30-1066942.82</f>
        <v>21629617.18</v>
      </c>
      <c r="AT129" s="29">
        <f t="shared" si="24"/>
        <v>-21629617.18</v>
      </c>
    </row>
    <row r="130" spans="1:51" x14ac:dyDescent="0.25">
      <c r="A130" s="76">
        <f t="shared" ref="A130:B145" si="39">+A129+1</f>
        <v>114</v>
      </c>
      <c r="B130" s="77">
        <f t="shared" si="39"/>
        <v>114</v>
      </c>
      <c r="C130" s="77" t="s">
        <v>72</v>
      </c>
      <c r="D130" s="77" t="s">
        <v>377</v>
      </c>
      <c r="E130" s="78">
        <v>1975</v>
      </c>
      <c r="F130" s="78">
        <v>2013</v>
      </c>
      <c r="G130" s="78" t="s">
        <v>51</v>
      </c>
      <c r="H130" s="78">
        <v>4</v>
      </c>
      <c r="I130" s="78">
        <v>6</v>
      </c>
      <c r="J130" s="44">
        <v>5531.3</v>
      </c>
      <c r="K130" s="44">
        <v>4842.7</v>
      </c>
      <c r="L130" s="44">
        <v>189.7</v>
      </c>
      <c r="M130" s="79">
        <v>224</v>
      </c>
      <c r="N130" s="129">
        <f t="shared" si="33"/>
        <v>22252018.226827998</v>
      </c>
      <c r="O130" s="44"/>
      <c r="P130" s="162"/>
      <c r="Q130" s="162"/>
      <c r="R130" s="162">
        <f>+AQ130+AR130</f>
        <v>437084.14999999967</v>
      </c>
      <c r="S130" s="162">
        <f>+AS130</f>
        <v>0</v>
      </c>
      <c r="T130" s="162">
        <f>+'Приложение №2'!E130-'Приложение №1'!P130-'Приложение №1'!R130-'Приложение №1'!S130</f>
        <v>21814934.076827999</v>
      </c>
      <c r="U130" s="68">
        <f>N130/K130</f>
        <v>4594.961122272286</v>
      </c>
      <c r="V130" s="68">
        <v>1339.2830200640001</v>
      </c>
      <c r="W130" s="80">
        <v>2022</v>
      </c>
      <c r="X130" s="29" t="e">
        <f>+#REF!-'[1]Приложение №1'!$P1452</f>
        <v>#REF!</v>
      </c>
      <c r="Z130" s="31">
        <f t="shared" si="38"/>
        <v>87511152.000000015</v>
      </c>
      <c r="AA130" s="27">
        <v>8013494.3878080007</v>
      </c>
      <c r="AB130" s="27">
        <v>4634422.8779520001</v>
      </c>
      <c r="AC130" s="27">
        <v>4898928.1239359993</v>
      </c>
      <c r="AD130" s="27">
        <v>3735474.3417600002</v>
      </c>
      <c r="AE130" s="27">
        <v>1492245.5325120001</v>
      </c>
      <c r="AF130" s="27"/>
      <c r="AG130" s="27">
        <v>398188.42560000002</v>
      </c>
      <c r="AH130" s="27">
        <v>0</v>
      </c>
      <c r="AI130" s="27">
        <v>14265240.0912</v>
      </c>
      <c r="AJ130" s="27">
        <v>0</v>
      </c>
      <c r="AK130" s="27">
        <v>27696044.559456002</v>
      </c>
      <c r="AL130" s="27">
        <v>10892499.105599999</v>
      </c>
      <c r="AM130" s="27">
        <v>8946956.6400000006</v>
      </c>
      <c r="AN130" s="32">
        <v>875111.52</v>
      </c>
      <c r="AO130" s="33">
        <v>1662546.394176</v>
      </c>
      <c r="AP130" s="84">
        <f>+N130-'Приложение №2'!E130</f>
        <v>0</v>
      </c>
      <c r="AQ130" s="29">
        <f>2505054.36-R344</f>
        <v>-95570.050000000279</v>
      </c>
      <c r="AR130" s="1">
        <f>+(K130*10+L130*20)*12*0.85</f>
        <v>532654.19999999995</v>
      </c>
      <c r="AS130" s="1">
        <f>+(K130*10+L130*20)*12*30-S344</f>
        <v>0</v>
      </c>
      <c r="AT130" s="29">
        <f t="shared" si="24"/>
        <v>0</v>
      </c>
    </row>
    <row r="131" spans="1:51" x14ac:dyDescent="0.25">
      <c r="A131" s="76">
        <f t="shared" si="39"/>
        <v>115</v>
      </c>
      <c r="B131" s="77">
        <f t="shared" si="39"/>
        <v>115</v>
      </c>
      <c r="C131" s="77" t="s">
        <v>72</v>
      </c>
      <c r="D131" s="77" t="s">
        <v>379</v>
      </c>
      <c r="E131" s="78">
        <v>1974</v>
      </c>
      <c r="F131" s="78">
        <v>2013</v>
      </c>
      <c r="G131" s="78" t="s">
        <v>51</v>
      </c>
      <c r="H131" s="78">
        <v>4</v>
      </c>
      <c r="I131" s="78">
        <v>4</v>
      </c>
      <c r="J131" s="44">
        <v>3940.9</v>
      </c>
      <c r="K131" s="44">
        <v>3373.8</v>
      </c>
      <c r="L131" s="44">
        <v>212.7</v>
      </c>
      <c r="M131" s="79">
        <v>140</v>
      </c>
      <c r="N131" s="129">
        <f>+P113+Q131+R131+S131+T131</f>
        <v>24178412.226240739</v>
      </c>
      <c r="O131" s="44"/>
      <c r="P131" s="165"/>
      <c r="Q131" s="162"/>
      <c r="R131" s="162">
        <f>+AQ131+AR131</f>
        <v>1982331.96</v>
      </c>
      <c r="S131" s="162">
        <f>+'Приложение №2'!E131-'Приложение №1'!R131-'Приложение №1'!T131-P113</f>
        <v>10542328.346240738</v>
      </c>
      <c r="T131" s="161">
        <v>11653751.92</v>
      </c>
      <c r="U131" s="68">
        <f t="shared" ref="U131:V153" si="40">$N131/($K131+$L131)</f>
        <v>6741.506266901084</v>
      </c>
      <c r="V131" s="68">
        <f t="shared" si="40"/>
        <v>6741.506266901084</v>
      </c>
      <c r="W131" s="80">
        <v>2022</v>
      </c>
      <c r="X131" s="29" t="e">
        <f>+#REF!-'[1]Приложение №1'!$P1108</f>
        <v>#REF!</v>
      </c>
      <c r="Z131" s="31">
        <f t="shared" si="38"/>
        <v>62533714.207893997</v>
      </c>
      <c r="AA131" s="27">
        <v>6056878.3300000001</v>
      </c>
      <c r="AB131" s="27">
        <v>3324136.3562038802</v>
      </c>
      <c r="AC131" s="27">
        <v>3513858.2605085401</v>
      </c>
      <c r="AD131" s="27">
        <v>2679346.7940094802</v>
      </c>
      <c r="AE131" s="27">
        <v>1070344.1973180603</v>
      </c>
      <c r="AF131" s="27"/>
      <c r="AG131" s="27">
        <v>285608.94385380001</v>
      </c>
      <c r="AH131" s="27">
        <v>0</v>
      </c>
      <c r="AI131" s="27">
        <v>10232040.652318798</v>
      </c>
      <c r="AJ131" s="27">
        <v>0</v>
      </c>
      <c r="AK131" s="27">
        <v>19865564.963811003</v>
      </c>
      <c r="AL131" s="27">
        <v>7812871.9105562996</v>
      </c>
      <c r="AM131" s="27">
        <v>5963728.8811999997</v>
      </c>
      <c r="AN131" s="32">
        <v>570673.40870000003</v>
      </c>
      <c r="AO131" s="33">
        <v>1158661.5094141401</v>
      </c>
      <c r="AP131" s="84">
        <f>+N131-'Приложение №2'!E131</f>
        <v>0</v>
      </c>
      <c r="AQ131" s="1">
        <f>1707386.79-112573.23</f>
        <v>1594813.56</v>
      </c>
      <c r="AR131" s="1">
        <f>+(K131*10+L131*20)*12*0.85</f>
        <v>387518.39999999997</v>
      </c>
      <c r="AS131" s="1">
        <f>+(K131*10+L131*20)*12*30-810211.65</f>
        <v>12866908.35</v>
      </c>
      <c r="AT131" s="29">
        <f t="shared" si="24"/>
        <v>-2324580.0037592612</v>
      </c>
    </row>
    <row r="132" spans="1:51" x14ac:dyDescent="0.25">
      <c r="A132" s="76">
        <f t="shared" si="39"/>
        <v>116</v>
      </c>
      <c r="B132" s="77">
        <f t="shared" si="39"/>
        <v>116</v>
      </c>
      <c r="C132" s="77" t="s">
        <v>72</v>
      </c>
      <c r="D132" s="77" t="s">
        <v>216</v>
      </c>
      <c r="E132" s="78">
        <v>1977</v>
      </c>
      <c r="F132" s="78">
        <v>2013</v>
      </c>
      <c r="G132" s="78" t="s">
        <v>44</v>
      </c>
      <c r="H132" s="78">
        <v>9</v>
      </c>
      <c r="I132" s="78">
        <v>1</v>
      </c>
      <c r="J132" s="44">
        <v>2362.6</v>
      </c>
      <c r="K132" s="44">
        <v>1902.4</v>
      </c>
      <c r="L132" s="44">
        <v>195.5</v>
      </c>
      <c r="M132" s="79">
        <v>72</v>
      </c>
      <c r="N132" s="129">
        <f t="shared" ref="N132:N162" si="41">+P132+Q132+R132+S132+T132</f>
        <v>1817380.4565099401</v>
      </c>
      <c r="O132" s="44"/>
      <c r="P132" s="162"/>
      <c r="Q132" s="162"/>
      <c r="R132" s="162"/>
      <c r="S132" s="162">
        <f>+'Приложение №2'!E132-'Приложение №1'!P132-'Приложение №1'!Q132-'Приложение №1'!R132</f>
        <v>1817380.4565099401</v>
      </c>
      <c r="T132" s="161">
        <f>+'Приложение №2'!E132-'Приложение №1'!P132-'Приложение №1'!Q132-'Приложение №1'!R132-'Приложение №1'!S132</f>
        <v>0</v>
      </c>
      <c r="U132" s="68">
        <f t="shared" si="40"/>
        <v>866.28555055528864</v>
      </c>
      <c r="V132" s="68">
        <f t="shared" si="40"/>
        <v>866.28555055528864</v>
      </c>
      <c r="W132" s="80">
        <v>2022</v>
      </c>
      <c r="X132" s="29" t="e">
        <f>+#REF!-'[1]Приложение №1'!$P725</f>
        <v>#REF!</v>
      </c>
      <c r="Z132" s="31">
        <f t="shared" si="38"/>
        <v>28501175.670387998</v>
      </c>
      <c r="AA132" s="27">
        <v>3719699.05</v>
      </c>
      <c r="AB132" s="27">
        <v>2447938.8995804396</v>
      </c>
      <c r="AC132" s="27">
        <v>1490138.3398477801</v>
      </c>
      <c r="AD132" s="27">
        <v>1344414.3471276001</v>
      </c>
      <c r="AE132" s="27">
        <v>490934.10601116001</v>
      </c>
      <c r="AF132" s="27"/>
      <c r="AG132" s="27">
        <v>205256.04442223997</v>
      </c>
      <c r="AH132" s="27">
        <v>0</v>
      </c>
      <c r="AI132" s="27">
        <v>0</v>
      </c>
      <c r="AJ132" s="27">
        <v>0</v>
      </c>
      <c r="AK132" s="27">
        <v>15105792.339437097</v>
      </c>
      <c r="AL132" s="27">
        <v>0</v>
      </c>
      <c r="AM132" s="27">
        <v>2953956.3437999999</v>
      </c>
      <c r="AN132" s="32">
        <v>246262.91500000001</v>
      </c>
      <c r="AO132" s="33">
        <v>496783.28516168008</v>
      </c>
      <c r="AP132" s="84">
        <f>+N132-'Приложение №2'!E132</f>
        <v>0</v>
      </c>
      <c r="AQ132" s="1">
        <f>1288619.08-658887.88</f>
        <v>629731.20000000007</v>
      </c>
      <c r="AR132" s="1">
        <f>+(K132*13.29+L132*22.52)*12*0.85</f>
        <v>302792.67119999998</v>
      </c>
      <c r="AS132" s="1">
        <f>+(K132*13.29+L132*22.52)*12*30-8648.871</f>
        <v>10678151.289000001</v>
      </c>
      <c r="AT132" s="29">
        <f t="shared" si="24"/>
        <v>-8860770.8324900605</v>
      </c>
    </row>
    <row r="133" spans="1:51" x14ac:dyDescent="0.25">
      <c r="A133" s="76">
        <f t="shared" si="39"/>
        <v>117</v>
      </c>
      <c r="B133" s="77">
        <f t="shared" si="39"/>
        <v>117</v>
      </c>
      <c r="C133" s="77" t="s">
        <v>45</v>
      </c>
      <c r="D133" s="77" t="s">
        <v>380</v>
      </c>
      <c r="E133" s="78">
        <v>1979</v>
      </c>
      <c r="F133" s="78">
        <v>1979</v>
      </c>
      <c r="G133" s="78" t="s">
        <v>44</v>
      </c>
      <c r="H133" s="78">
        <v>4</v>
      </c>
      <c r="I133" s="78">
        <v>6</v>
      </c>
      <c r="J133" s="44">
        <v>3867.8</v>
      </c>
      <c r="K133" s="44">
        <v>3539.7</v>
      </c>
      <c r="L133" s="44">
        <v>0</v>
      </c>
      <c r="M133" s="79">
        <v>193</v>
      </c>
      <c r="N133" s="129">
        <f t="shared" si="41"/>
        <v>9785218.7020976003</v>
      </c>
      <c r="O133" s="44"/>
      <c r="P133" s="162">
        <v>7358449.5100000007</v>
      </c>
      <c r="Q133" s="162"/>
      <c r="R133" s="162"/>
      <c r="S133" s="162">
        <f>+'Приложение №2'!E133-'Приложение №1'!R133-P133</f>
        <v>2426769.1920975996</v>
      </c>
      <c r="T133" s="161">
        <f>+'Приложение №2'!E133-'Приложение №1'!P133-'Приложение №1'!Q133-'Приложение №1'!R133-'Приложение №1'!S133</f>
        <v>0</v>
      </c>
      <c r="U133" s="68">
        <f t="shared" si="40"/>
        <v>2764.4203469496288</v>
      </c>
      <c r="V133" s="68">
        <f t="shared" si="40"/>
        <v>2764.4203469496288</v>
      </c>
      <c r="W133" s="80">
        <v>2022</v>
      </c>
      <c r="X133" s="29" t="e">
        <f>+#REF!-'[1]Приложение №1'!$P1498</f>
        <v>#REF!</v>
      </c>
      <c r="Z133" s="31">
        <f t="shared" si="38"/>
        <v>36672038.07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/>
      <c r="AG133" s="27">
        <v>0</v>
      </c>
      <c r="AH133" s="27">
        <v>0</v>
      </c>
      <c r="AI133" s="27">
        <v>15443839.101902403</v>
      </c>
      <c r="AJ133" s="27">
        <v>0</v>
      </c>
      <c r="AK133" s="27">
        <v>8018512.7549818195</v>
      </c>
      <c r="AL133" s="27">
        <v>8648904.6005779207</v>
      </c>
      <c r="AM133" s="27">
        <v>3491853.0894000004</v>
      </c>
      <c r="AN133" s="32">
        <v>366720.3807000001</v>
      </c>
      <c r="AO133" s="33">
        <v>702208.14243786025</v>
      </c>
      <c r="AP133" s="84">
        <f>+N133-'Приложение №2'!E133</f>
        <v>0</v>
      </c>
      <c r="AQ133" s="1">
        <v>1735682.5</v>
      </c>
      <c r="AR133" s="1">
        <f t="shared" ref="AR133:AR152" si="42">+(K133*10+L133*20)*12*0.85</f>
        <v>361049.39999999997</v>
      </c>
      <c r="AS133" s="1">
        <f>+(K133*10+L133*20)*12*30</f>
        <v>12742920</v>
      </c>
      <c r="AT133" s="29">
        <f t="shared" si="24"/>
        <v>-10316150.807902399</v>
      </c>
    </row>
    <row r="134" spans="1:51" x14ac:dyDescent="0.25">
      <c r="A134" s="76">
        <f t="shared" si="39"/>
        <v>118</v>
      </c>
      <c r="B134" s="77">
        <f t="shared" si="39"/>
        <v>118</v>
      </c>
      <c r="C134" s="77" t="s">
        <v>45</v>
      </c>
      <c r="D134" s="77" t="s">
        <v>218</v>
      </c>
      <c r="E134" s="78">
        <v>1966</v>
      </c>
      <c r="F134" s="78">
        <v>1966</v>
      </c>
      <c r="G134" s="78" t="s">
        <v>44</v>
      </c>
      <c r="H134" s="78">
        <v>4</v>
      </c>
      <c r="I134" s="78">
        <v>2</v>
      </c>
      <c r="J134" s="44">
        <v>1327.2</v>
      </c>
      <c r="K134" s="44">
        <v>1234.5999999999999</v>
      </c>
      <c r="L134" s="44">
        <v>0</v>
      </c>
      <c r="M134" s="79">
        <v>61</v>
      </c>
      <c r="N134" s="129">
        <f t="shared" si="41"/>
        <v>459932.97</v>
      </c>
      <c r="O134" s="44"/>
      <c r="P134" s="162">
        <v>226913.39</v>
      </c>
      <c r="Q134" s="162"/>
      <c r="R134" s="162">
        <v>192796.30000000002</v>
      </c>
      <c r="S134" s="162">
        <f>+'Приложение №2'!E134-'Приложение №1'!P134-'Приложение №1'!R134</f>
        <v>40223.279999999941</v>
      </c>
      <c r="T134" s="161">
        <f>+'Приложение №2'!E134-'Приложение №1'!P134-'Приложение №1'!Q134-'Приложение №1'!R134-'Приложение №1'!S134</f>
        <v>0</v>
      </c>
      <c r="U134" s="68">
        <f t="shared" si="40"/>
        <v>372.53601976348614</v>
      </c>
      <c r="V134" s="68">
        <f t="shared" si="40"/>
        <v>372.53601976348614</v>
      </c>
      <c r="W134" s="80">
        <v>2022</v>
      </c>
      <c r="X134" s="29" t="e">
        <f>+#REF!-'[1]Приложение №1'!$P727</f>
        <v>#REF!</v>
      </c>
      <c r="Z134" s="31">
        <f t="shared" si="38"/>
        <v>621576.65</v>
      </c>
      <c r="AA134" s="27">
        <v>0</v>
      </c>
      <c r="AB134" s="27">
        <v>0</v>
      </c>
      <c r="AC134" s="27">
        <v>0</v>
      </c>
      <c r="AD134" s="27">
        <v>0</v>
      </c>
      <c r="AE134" s="27">
        <v>419709.68768610002</v>
      </c>
      <c r="AF134" s="27"/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186472.995</v>
      </c>
      <c r="AN134" s="32">
        <v>6215.7665000000006</v>
      </c>
      <c r="AO134" s="33">
        <v>9178.2008139000009</v>
      </c>
      <c r="AP134" s="84">
        <f>+N134-'Приложение №2'!E134</f>
        <v>0</v>
      </c>
      <c r="AQ134" s="1">
        <v>512184.69</v>
      </c>
      <c r="AR134" s="1">
        <f t="shared" si="42"/>
        <v>125929.2</v>
      </c>
      <c r="AS134" s="1">
        <f>+(K134*10+L134*20)*12*30</f>
        <v>4444560</v>
      </c>
      <c r="AT134" s="29">
        <f t="shared" si="24"/>
        <v>-4404336.72</v>
      </c>
    </row>
    <row r="135" spans="1:51" ht="14.25" customHeight="1" x14ac:dyDescent="0.25">
      <c r="A135" s="76">
        <f t="shared" si="39"/>
        <v>119</v>
      </c>
      <c r="B135" s="77">
        <f t="shared" si="39"/>
        <v>119</v>
      </c>
      <c r="C135" s="77" t="s">
        <v>45</v>
      </c>
      <c r="D135" s="77" t="s">
        <v>381</v>
      </c>
      <c r="E135" s="78">
        <v>1969</v>
      </c>
      <c r="F135" s="78">
        <v>2013</v>
      </c>
      <c r="G135" s="78" t="s">
        <v>44</v>
      </c>
      <c r="H135" s="78">
        <v>4</v>
      </c>
      <c r="I135" s="78">
        <v>4</v>
      </c>
      <c r="J135" s="44">
        <v>3016.9</v>
      </c>
      <c r="K135" s="44">
        <v>2778.3</v>
      </c>
      <c r="L135" s="44">
        <v>0</v>
      </c>
      <c r="M135" s="79">
        <v>148</v>
      </c>
      <c r="N135" s="72">
        <f t="shared" si="41"/>
        <v>7411233.7756144591</v>
      </c>
      <c r="O135" s="44"/>
      <c r="P135" s="162">
        <v>1196060.5199999998</v>
      </c>
      <c r="Q135" s="162"/>
      <c r="R135" s="162">
        <f>+AQ135+AR135</f>
        <v>847797.20000000007</v>
      </c>
      <c r="S135" s="162">
        <f>+AS135</f>
        <v>2164833.5300000003</v>
      </c>
      <c r="T135" s="162">
        <f>+'Приложение №2'!E135-'Приложение №1'!P135-'Приложение №1'!Q135-'Приложение №1'!R135-'Приложение №1'!S135</f>
        <v>3202542.5256144591</v>
      </c>
      <c r="U135" s="44">
        <f t="shared" si="40"/>
        <v>2667.5426612008991</v>
      </c>
      <c r="V135" s="44">
        <f t="shared" si="40"/>
        <v>2667.5426612008991</v>
      </c>
      <c r="W135" s="80">
        <v>2022</v>
      </c>
      <c r="X135" s="29" t="e">
        <f>+#REF!-'[1]Приложение №1'!$P1314</f>
        <v>#REF!</v>
      </c>
      <c r="Y135" s="1" t="s">
        <v>550</v>
      </c>
      <c r="Z135" s="31">
        <f t="shared" si="38"/>
        <v>43468971.049999997</v>
      </c>
      <c r="AA135" s="27">
        <v>6634698.5656060204</v>
      </c>
      <c r="AB135" s="27">
        <v>2364215.8595970604</v>
      </c>
      <c r="AC135" s="27">
        <v>2470079.5170193799</v>
      </c>
      <c r="AD135" s="27">
        <v>0</v>
      </c>
      <c r="AE135" s="27">
        <v>946159.85291436012</v>
      </c>
      <c r="AF135" s="27"/>
      <c r="AG135" s="27">
        <v>254591.55199295998</v>
      </c>
      <c r="AH135" s="27">
        <v>0</v>
      </c>
      <c r="AI135" s="27">
        <v>12129238.4675742</v>
      </c>
      <c r="AJ135" s="27">
        <v>0</v>
      </c>
      <c r="AK135" s="27">
        <v>6297556.7640778795</v>
      </c>
      <c r="AL135" s="27">
        <v>6792652.1243855394</v>
      </c>
      <c r="AM135" s="27">
        <v>4316528.7305000005</v>
      </c>
      <c r="AN135" s="32">
        <v>434689.71049999999</v>
      </c>
      <c r="AO135" s="33">
        <v>828559.90583259996</v>
      </c>
      <c r="AP135" s="84">
        <f>+N135-'Приложение №2'!E135</f>
        <v>0</v>
      </c>
      <c r="AQ135" s="1">
        <f>1200544.79-636134.19</f>
        <v>564410.60000000009</v>
      </c>
      <c r="AR135" s="1">
        <f t="shared" si="42"/>
        <v>283386.59999999998</v>
      </c>
      <c r="AS135" s="1">
        <f>+(K135*10+L135*20)*12*30-7837046.47</f>
        <v>2164833.5300000003</v>
      </c>
      <c r="AT135" s="29">
        <f t="shared" si="24"/>
        <v>0</v>
      </c>
    </row>
    <row r="136" spans="1:51" x14ac:dyDescent="0.25">
      <c r="A136" s="76">
        <f t="shared" si="39"/>
        <v>120</v>
      </c>
      <c r="B136" s="77">
        <f t="shared" si="39"/>
        <v>120</v>
      </c>
      <c r="C136" s="77" t="s">
        <v>45</v>
      </c>
      <c r="D136" s="77" t="s">
        <v>46</v>
      </c>
      <c r="E136" s="78">
        <v>1971</v>
      </c>
      <c r="F136" s="78">
        <v>1971</v>
      </c>
      <c r="G136" s="78" t="s">
        <v>44</v>
      </c>
      <c r="H136" s="78">
        <v>4</v>
      </c>
      <c r="I136" s="78">
        <v>4</v>
      </c>
      <c r="J136" s="44">
        <v>2851.3</v>
      </c>
      <c r="K136" s="44">
        <v>2629.3</v>
      </c>
      <c r="L136" s="44">
        <v>0</v>
      </c>
      <c r="M136" s="79">
        <v>126</v>
      </c>
      <c r="N136" s="129">
        <f t="shared" si="41"/>
        <v>1318598.3729000001</v>
      </c>
      <c r="O136" s="44"/>
      <c r="P136" s="162"/>
      <c r="Q136" s="162"/>
      <c r="R136" s="162">
        <f>+'Приложение №2'!E136</f>
        <v>1318598.3729000001</v>
      </c>
      <c r="S136" s="162">
        <f>+'Приложение №2'!E136-'Приложение №1'!R136</f>
        <v>0</v>
      </c>
      <c r="T136" s="161">
        <f>+'Приложение №2'!E136-'Приложение №1'!P136-'Приложение №1'!Q136-'Приложение №1'!R136-'Приложение №1'!S136</f>
        <v>0</v>
      </c>
      <c r="U136" s="68">
        <f t="shared" si="40"/>
        <v>501.50168215874947</v>
      </c>
      <c r="V136" s="68">
        <f t="shared" si="40"/>
        <v>501.50168215874947</v>
      </c>
      <c r="W136" s="80">
        <v>2022</v>
      </c>
      <c r="X136" s="29" t="e">
        <f>+#REF!-'[1]Приложение №1'!$P436</f>
        <v>#REF!</v>
      </c>
      <c r="Z136" s="31">
        <f t="shared" si="38"/>
        <v>6580564.0300000003</v>
      </c>
      <c r="AA136" s="27">
        <v>0</v>
      </c>
      <c r="AB136" s="27">
        <v>2237961.00035928</v>
      </c>
      <c r="AC136" s="27">
        <v>2338171.2866580603</v>
      </c>
      <c r="AD136" s="27">
        <v>0</v>
      </c>
      <c r="AE136" s="27">
        <v>895632.61937688012</v>
      </c>
      <c r="AF136" s="27"/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923337.06700000004</v>
      </c>
      <c r="AN136" s="32">
        <v>65805.640299999999</v>
      </c>
      <c r="AO136" s="33">
        <v>119656.41630578002</v>
      </c>
      <c r="AP136" s="84">
        <f>+N136-'Приложение №2'!E136</f>
        <v>0</v>
      </c>
      <c r="AQ136" s="1">
        <v>1216435.44</v>
      </c>
      <c r="AR136" s="1">
        <f t="shared" si="42"/>
        <v>268188.59999999998</v>
      </c>
      <c r="AS136" s="1">
        <f>+(K136*10+L136*20)*12*30</f>
        <v>9465480</v>
      </c>
      <c r="AT136" s="29">
        <f t="shared" si="24"/>
        <v>-9465480</v>
      </c>
    </row>
    <row r="137" spans="1:51" x14ac:dyDescent="0.25">
      <c r="A137" s="76">
        <f t="shared" si="39"/>
        <v>121</v>
      </c>
      <c r="B137" s="77">
        <f t="shared" si="39"/>
        <v>121</v>
      </c>
      <c r="C137" s="77" t="s">
        <v>45</v>
      </c>
      <c r="D137" s="77" t="s">
        <v>86</v>
      </c>
      <c r="E137" s="78">
        <v>1962</v>
      </c>
      <c r="F137" s="78">
        <v>1962</v>
      </c>
      <c r="G137" s="78" t="s">
        <v>44</v>
      </c>
      <c r="H137" s="78">
        <v>2</v>
      </c>
      <c r="I137" s="78">
        <v>1</v>
      </c>
      <c r="J137" s="44">
        <v>618.70000000000005</v>
      </c>
      <c r="K137" s="44">
        <v>460.5</v>
      </c>
      <c r="L137" s="44">
        <v>0</v>
      </c>
      <c r="M137" s="79">
        <v>45</v>
      </c>
      <c r="N137" s="72">
        <f t="shared" si="41"/>
        <v>2497571.4777621999</v>
      </c>
      <c r="O137" s="44"/>
      <c r="P137" s="161">
        <v>705615.64</v>
      </c>
      <c r="Q137" s="162"/>
      <c r="R137" s="162">
        <f>+AQ137+AR137</f>
        <v>252901.75</v>
      </c>
      <c r="S137" s="162">
        <f>+'Приложение №2'!E137-'Приложение №1'!R137-P137</f>
        <v>1539054.0877621998</v>
      </c>
      <c r="T137" s="162">
        <f>+'Приложение №2'!E137-'Приложение №1'!P137-'Приложение №1'!Q137-'Приложение №1'!R137-'Приложение №1'!S137</f>
        <v>0</v>
      </c>
      <c r="U137" s="44">
        <f>$N137/($K137+$L137)</f>
        <v>5423.6079864542889</v>
      </c>
      <c r="V137" s="44">
        <f>$N137/($K137+$L137)</f>
        <v>5423.6079864542889</v>
      </c>
      <c r="W137" s="80">
        <v>2022</v>
      </c>
      <c r="X137" s="29" t="e">
        <f>+#REF!-'[1]Приложение №1'!$P640</f>
        <v>#REF!</v>
      </c>
      <c r="Z137" s="31">
        <f>SUM(AA137:AO137)</f>
        <v>6521557.4500000002</v>
      </c>
      <c r="AA137" s="27">
        <v>0</v>
      </c>
      <c r="AB137" s="27">
        <v>875995.49980991997</v>
      </c>
      <c r="AC137" s="27">
        <v>411337.83054587996</v>
      </c>
      <c r="AD137" s="27">
        <v>350714.74954488</v>
      </c>
      <c r="AE137" s="27">
        <v>0</v>
      </c>
      <c r="AF137" s="27"/>
      <c r="AG137" s="27">
        <v>0</v>
      </c>
      <c r="AH137" s="27">
        <v>0</v>
      </c>
      <c r="AI137" s="27">
        <v>4074971.6952377995</v>
      </c>
      <c r="AJ137" s="27">
        <v>0</v>
      </c>
      <c r="AK137" s="27">
        <v>0</v>
      </c>
      <c r="AL137" s="27">
        <v>0</v>
      </c>
      <c r="AM137" s="27">
        <v>618389.92870000005</v>
      </c>
      <c r="AN137" s="32">
        <v>65215.574499999995</v>
      </c>
      <c r="AO137" s="33">
        <v>124932.17166151998</v>
      </c>
      <c r="AP137" s="84">
        <f>+N137-'Приложение №2'!E137</f>
        <v>0</v>
      </c>
      <c r="AQ137" s="1">
        <v>205930.75</v>
      </c>
      <c r="AR137" s="1">
        <f>+(K137*10+L137*20)*12*0.85</f>
        <v>46971</v>
      </c>
      <c r="AS137" s="1">
        <f>+(K137*10+L137*20)*12*30-133800.13</f>
        <v>1523999.87</v>
      </c>
      <c r="AT137" s="29">
        <f>+S137-AS137</f>
        <v>15054.217762199696</v>
      </c>
      <c r="AU137" s="29">
        <f>+P137-'[6]Приложение №1'!$P336</f>
        <v>2.4999998277053237E-3</v>
      </c>
      <c r="AV137" s="29">
        <f>+Q137-'[6]Приложение №1'!$Q336</f>
        <v>0</v>
      </c>
      <c r="AW137" s="29">
        <f>+R137-'[6]Приложение №1'!$R336</f>
        <v>0</v>
      </c>
      <c r="AX137" s="29">
        <f>+S137-'[6]Приложение №1'!$S336</f>
        <v>269112.6875</v>
      </c>
      <c r="AY137" s="29">
        <f>+T137-'[6]Приложение №1'!$T336</f>
        <v>0</v>
      </c>
    </row>
    <row r="138" spans="1:51" x14ac:dyDescent="0.25">
      <c r="A138" s="76">
        <f t="shared" si="39"/>
        <v>122</v>
      </c>
      <c r="B138" s="77">
        <f t="shared" si="39"/>
        <v>122</v>
      </c>
      <c r="C138" s="77" t="s">
        <v>220</v>
      </c>
      <c r="D138" s="77" t="s">
        <v>222</v>
      </c>
      <c r="E138" s="78">
        <v>1983</v>
      </c>
      <c r="F138" s="78">
        <v>1983</v>
      </c>
      <c r="G138" s="78" t="s">
        <v>44</v>
      </c>
      <c r="H138" s="78">
        <v>2</v>
      </c>
      <c r="I138" s="78">
        <v>2</v>
      </c>
      <c r="J138" s="44">
        <v>910.77</v>
      </c>
      <c r="K138" s="44">
        <v>841.26</v>
      </c>
      <c r="L138" s="44">
        <v>0</v>
      </c>
      <c r="M138" s="79">
        <v>34</v>
      </c>
      <c r="N138" s="129">
        <f t="shared" si="41"/>
        <v>1175462.0518470199</v>
      </c>
      <c r="O138" s="44"/>
      <c r="P138" s="163"/>
      <c r="Q138" s="162"/>
      <c r="R138" s="162">
        <f t="shared" ref="R138:R143" si="43">+AQ138+AR138</f>
        <v>393318.14</v>
      </c>
      <c r="S138" s="162">
        <f>+'Приложение №2'!E138-'Приложение №1'!P138-'Приложение №1'!Q138-'Приложение №1'!R138</f>
        <v>782143.91184701992</v>
      </c>
      <c r="T138" s="161">
        <f>+'Приложение №2'!E138-'Приложение №1'!P138-'Приложение №1'!Q138-'Приложение №1'!R138-'Приложение №1'!S138</f>
        <v>0</v>
      </c>
      <c r="U138" s="68">
        <f t="shared" si="40"/>
        <v>1397.2636899971708</v>
      </c>
      <c r="V138" s="68">
        <f t="shared" si="40"/>
        <v>1397.2636899971708</v>
      </c>
      <c r="W138" s="80">
        <v>2022</v>
      </c>
      <c r="X138" s="29" t="e">
        <f>+#REF!-'[1]Приложение №1'!$P742</f>
        <v>#REF!</v>
      </c>
      <c r="Z138" s="31">
        <f t="shared" si="38"/>
        <v>6295969.4100000001</v>
      </c>
      <c r="AA138" s="27">
        <v>2467129.6784152202</v>
      </c>
      <c r="AB138" s="27">
        <v>1501213.4170404002</v>
      </c>
      <c r="AC138" s="27">
        <v>707372.31680261996</v>
      </c>
      <c r="AD138" s="27">
        <v>602841.43419444002</v>
      </c>
      <c r="AE138" s="27">
        <v>0</v>
      </c>
      <c r="AF138" s="27"/>
      <c r="AG138" s="27">
        <v>262217.35903776006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571070.00050000008</v>
      </c>
      <c r="AN138" s="32">
        <v>62959.694100000001</v>
      </c>
      <c r="AO138" s="33">
        <v>121165.50990956002</v>
      </c>
      <c r="AP138" s="84">
        <f>+N138-'Приложение №2'!E138</f>
        <v>0</v>
      </c>
      <c r="AQ138" s="1">
        <f>380898.3-73388.68</f>
        <v>307509.62</v>
      </c>
      <c r="AR138" s="1">
        <f t="shared" si="42"/>
        <v>85808.52</v>
      </c>
      <c r="AS138" s="1">
        <f>+(K138*10+L138*20)*12*30-439562.52</f>
        <v>2588973.4800000004</v>
      </c>
      <c r="AT138" s="29">
        <f t="shared" si="24"/>
        <v>-1806829.5681529804</v>
      </c>
    </row>
    <row r="139" spans="1:51" x14ac:dyDescent="0.25">
      <c r="A139" s="76">
        <f t="shared" si="39"/>
        <v>123</v>
      </c>
      <c r="B139" s="77">
        <f t="shared" si="39"/>
        <v>123</v>
      </c>
      <c r="C139" s="77" t="s">
        <v>89</v>
      </c>
      <c r="D139" s="77" t="s">
        <v>227</v>
      </c>
      <c r="E139" s="78">
        <v>1976</v>
      </c>
      <c r="F139" s="78">
        <v>2008</v>
      </c>
      <c r="G139" s="78" t="s">
        <v>44</v>
      </c>
      <c r="H139" s="78">
        <v>4</v>
      </c>
      <c r="I139" s="78">
        <v>4</v>
      </c>
      <c r="J139" s="44">
        <v>4257.32</v>
      </c>
      <c r="K139" s="44">
        <v>3128.38</v>
      </c>
      <c r="L139" s="44">
        <v>991.08</v>
      </c>
      <c r="M139" s="79">
        <v>124</v>
      </c>
      <c r="N139" s="129">
        <f t="shared" si="41"/>
        <v>5475068.96438374</v>
      </c>
      <c r="O139" s="44"/>
      <c r="P139" s="162"/>
      <c r="Q139" s="162"/>
      <c r="R139" s="162">
        <f t="shared" si="43"/>
        <v>1333462.67</v>
      </c>
      <c r="S139" s="162">
        <f>+'Приложение №2'!E139-'Приложение №1'!R139</f>
        <v>4141606.2943837401</v>
      </c>
      <c r="T139" s="161">
        <f>+'Приложение №2'!E139-'Приложение №1'!P139-'Приложение №1'!Q139-'Приложение №1'!R139-'Приложение №1'!S139</f>
        <v>0</v>
      </c>
      <c r="U139" s="68">
        <f t="shared" si="40"/>
        <v>1329.0744331499129</v>
      </c>
      <c r="V139" s="68">
        <f t="shared" si="40"/>
        <v>1329.0744331499129</v>
      </c>
      <c r="W139" s="80">
        <v>2022</v>
      </c>
      <c r="X139" s="29" t="e">
        <f>+#REF!-'[1]Приложение №1'!$P565</f>
        <v>#REF!</v>
      </c>
      <c r="Z139" s="31">
        <f t="shared" si="38"/>
        <v>16411728.570000004</v>
      </c>
      <c r="AA139" s="27">
        <v>7185234.1705489811</v>
      </c>
      <c r="AB139" s="27">
        <v>2542217.2836664799</v>
      </c>
      <c r="AC139" s="27">
        <v>0</v>
      </c>
      <c r="AD139" s="27">
        <v>1662855.463857</v>
      </c>
      <c r="AE139" s="27">
        <v>2127796.9824119406</v>
      </c>
      <c r="AF139" s="27"/>
      <c r="AG139" s="27">
        <v>285097.02429768001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2142562.3114999998</v>
      </c>
      <c r="AN139" s="32">
        <v>164117.28570000004</v>
      </c>
      <c r="AO139" s="33">
        <v>301848.04801792005</v>
      </c>
      <c r="AP139" s="84">
        <f>+N139-'Приложение №2'!E139</f>
        <v>0</v>
      </c>
      <c r="AQ139" s="1">
        <f>1377282.4-565094.81</f>
        <v>812187.58999999985</v>
      </c>
      <c r="AR139" s="1">
        <f t="shared" si="42"/>
        <v>521275.08</v>
      </c>
      <c r="AS139" s="1">
        <f>+(K139*10+L139*20)*12*30-180969.62</f>
        <v>18216974.379999999</v>
      </c>
      <c r="AT139" s="29">
        <f t="shared" si="24"/>
        <v>-14075368.085616259</v>
      </c>
    </row>
    <row r="140" spans="1:51" x14ac:dyDescent="0.25">
      <c r="A140" s="76">
        <f t="shared" si="39"/>
        <v>124</v>
      </c>
      <c r="B140" s="77">
        <f t="shared" si="39"/>
        <v>124</v>
      </c>
      <c r="C140" s="77" t="s">
        <v>89</v>
      </c>
      <c r="D140" s="77" t="s">
        <v>228</v>
      </c>
      <c r="E140" s="78">
        <v>1964</v>
      </c>
      <c r="F140" s="78">
        <v>1964</v>
      </c>
      <c r="G140" s="78" t="s">
        <v>44</v>
      </c>
      <c r="H140" s="78">
        <v>2</v>
      </c>
      <c r="I140" s="78">
        <v>2</v>
      </c>
      <c r="J140" s="44">
        <v>816.77</v>
      </c>
      <c r="K140" s="44">
        <v>598.04999999999995</v>
      </c>
      <c r="L140" s="44">
        <v>218.72</v>
      </c>
      <c r="M140" s="79">
        <v>23</v>
      </c>
      <c r="N140" s="129">
        <f t="shared" si="41"/>
        <v>5269327.2909560008</v>
      </c>
      <c r="O140" s="44"/>
      <c r="P140" s="163"/>
      <c r="Q140" s="162"/>
      <c r="R140" s="162">
        <f t="shared" si="43"/>
        <v>229835.71999999997</v>
      </c>
      <c r="S140" s="162">
        <f>+AS140</f>
        <v>3698306.2799999993</v>
      </c>
      <c r="T140" s="161">
        <f>+'Приложение №2'!E140-'Приложение №1'!P140-'Приложение №1'!Q140-'Приложение №1'!R140-'Приложение №1'!S140</f>
        <v>1341185.2909560017</v>
      </c>
      <c r="U140" s="68">
        <f t="shared" si="40"/>
        <v>6451.4211968559093</v>
      </c>
      <c r="V140" s="68">
        <f t="shared" si="40"/>
        <v>6451.4211968559093</v>
      </c>
      <c r="W140" s="80">
        <v>2022</v>
      </c>
      <c r="X140" s="29" t="e">
        <f>+#REF!-'[1]Приложение №1'!$P563</f>
        <v>#REF!</v>
      </c>
      <c r="Z140" s="31">
        <f t="shared" si="38"/>
        <v>6301561.3699999992</v>
      </c>
      <c r="AA140" s="27">
        <v>0</v>
      </c>
      <c r="AB140" s="27">
        <v>0</v>
      </c>
      <c r="AC140" s="27">
        <v>499972.95528431999</v>
      </c>
      <c r="AD140" s="27">
        <v>0</v>
      </c>
      <c r="AE140" s="27">
        <v>0</v>
      </c>
      <c r="AF140" s="27"/>
      <c r="AG140" s="27">
        <v>0</v>
      </c>
      <c r="AH140" s="27">
        <v>0</v>
      </c>
      <c r="AI140" s="27">
        <v>5044446.5320746005</v>
      </c>
      <c r="AJ140" s="27">
        <v>0</v>
      </c>
      <c r="AK140" s="27">
        <v>0</v>
      </c>
      <c r="AL140" s="27">
        <v>0</v>
      </c>
      <c r="AM140" s="27">
        <v>572881.04409999994</v>
      </c>
      <c r="AN140" s="32">
        <v>63015.613700000002</v>
      </c>
      <c r="AO140" s="33">
        <v>121245.22484108002</v>
      </c>
      <c r="AP140" s="84">
        <f>+N140-'Приложение №2'!E140</f>
        <v>0</v>
      </c>
      <c r="AQ140" s="1">
        <f>223283.02-99067.28</f>
        <v>124215.73999999999</v>
      </c>
      <c r="AR140" s="1">
        <f t="shared" si="42"/>
        <v>105619.97999999998</v>
      </c>
      <c r="AS140" s="1">
        <f>+(K140*10+L140*20)*12*30-29457.72</f>
        <v>3698306.2799999993</v>
      </c>
      <c r="AT140" s="29">
        <f t="shared" si="24"/>
        <v>0</v>
      </c>
    </row>
    <row r="141" spans="1:51" x14ac:dyDescent="0.25">
      <c r="A141" s="76">
        <f t="shared" si="39"/>
        <v>125</v>
      </c>
      <c r="B141" s="77">
        <f t="shared" si="39"/>
        <v>125</v>
      </c>
      <c r="C141" s="77" t="s">
        <v>89</v>
      </c>
      <c r="D141" s="77" t="s">
        <v>229</v>
      </c>
      <c r="E141" s="78">
        <v>1975</v>
      </c>
      <c r="F141" s="78">
        <v>2008</v>
      </c>
      <c r="G141" s="78" t="s">
        <v>44</v>
      </c>
      <c r="H141" s="78">
        <v>4</v>
      </c>
      <c r="I141" s="78">
        <v>4</v>
      </c>
      <c r="J141" s="44">
        <v>4182.96</v>
      </c>
      <c r="K141" s="44">
        <v>3048.03</v>
      </c>
      <c r="L141" s="44">
        <v>978.37</v>
      </c>
      <c r="M141" s="79">
        <v>135</v>
      </c>
      <c r="N141" s="129">
        <f t="shared" si="41"/>
        <v>5224437.8286898192</v>
      </c>
      <c r="O141" s="44"/>
      <c r="P141" s="162"/>
      <c r="Q141" s="162"/>
      <c r="R141" s="162">
        <f t="shared" si="43"/>
        <v>1566212.3599999999</v>
      </c>
      <c r="S141" s="162">
        <f>+'Приложение №2'!E141-'Приложение №1'!R141</f>
        <v>3658225.4686898193</v>
      </c>
      <c r="T141" s="161">
        <f>+'Приложение №2'!E141-'Приложение №1'!P141-'Приложение №1'!Q141-'Приложение №1'!R141-'Приложение №1'!S141</f>
        <v>0</v>
      </c>
      <c r="U141" s="68">
        <f t="shared" si="40"/>
        <v>1297.5456558438852</v>
      </c>
      <c r="V141" s="68">
        <f t="shared" si="40"/>
        <v>1297.5456558438852</v>
      </c>
      <c r="W141" s="80">
        <v>2022</v>
      </c>
      <c r="X141" s="29" t="e">
        <f>+#REF!-'[1]Приложение №1'!$P564</f>
        <v>#REF!</v>
      </c>
      <c r="Z141" s="31">
        <f t="shared" si="38"/>
        <v>16048675.259999996</v>
      </c>
      <c r="AA141" s="27">
        <v>7026285.4671664191</v>
      </c>
      <c r="AB141" s="27">
        <v>2485979.4267953397</v>
      </c>
      <c r="AC141" s="27">
        <v>0</v>
      </c>
      <c r="AD141" s="27">
        <v>1626070.4809313999</v>
      </c>
      <c r="AE141" s="27">
        <v>2080726.7578889399</v>
      </c>
      <c r="AF141" s="27"/>
      <c r="AG141" s="27">
        <v>278790.22600296006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2095165.4553</v>
      </c>
      <c r="AN141" s="32">
        <v>160486.75260000001</v>
      </c>
      <c r="AO141" s="33">
        <v>295170.69331494003</v>
      </c>
      <c r="AP141" s="84">
        <f>+N141-'Приложение №2'!E141</f>
        <v>0</v>
      </c>
      <c r="AQ141" s="1">
        <f>1500891.17-445165.35</f>
        <v>1055725.8199999998</v>
      </c>
      <c r="AR141" s="1">
        <f t="shared" si="42"/>
        <v>510486.54</v>
      </c>
      <c r="AS141" s="1">
        <f>+(K141*10+L141*20)*12*30-179374.89</f>
        <v>17837797.109999999</v>
      </c>
      <c r="AT141" s="29">
        <f t="shared" si="24"/>
        <v>-14179571.64131018</v>
      </c>
    </row>
    <row r="142" spans="1:51" x14ac:dyDescent="0.25">
      <c r="A142" s="76">
        <f t="shared" si="39"/>
        <v>126</v>
      </c>
      <c r="B142" s="77">
        <f t="shared" si="39"/>
        <v>126</v>
      </c>
      <c r="C142" s="77" t="s">
        <v>89</v>
      </c>
      <c r="D142" s="77" t="s">
        <v>230</v>
      </c>
      <c r="E142" s="78">
        <v>1978</v>
      </c>
      <c r="F142" s="78">
        <v>2007</v>
      </c>
      <c r="G142" s="78" t="s">
        <v>44</v>
      </c>
      <c r="H142" s="78">
        <v>4</v>
      </c>
      <c r="I142" s="78">
        <v>4</v>
      </c>
      <c r="J142" s="44">
        <v>3576.31</v>
      </c>
      <c r="K142" s="44">
        <v>2733.31</v>
      </c>
      <c r="L142" s="44">
        <v>843</v>
      </c>
      <c r="M142" s="79">
        <v>110</v>
      </c>
      <c r="N142" s="129">
        <f t="shared" si="41"/>
        <v>5699865.1681458</v>
      </c>
      <c r="O142" s="44"/>
      <c r="P142" s="162"/>
      <c r="Q142" s="162"/>
      <c r="R142" s="162">
        <f t="shared" si="43"/>
        <v>1244325.77</v>
      </c>
      <c r="S142" s="162">
        <f>+'Приложение №2'!E142-'Приложение №1'!R142</f>
        <v>4455539.3981458005</v>
      </c>
      <c r="T142" s="161">
        <f>+'Приложение №2'!E142-'Приложение №1'!P142-'Приложение №1'!Q142-'Приложение №1'!R142-'Приложение №1'!S142</f>
        <v>0</v>
      </c>
      <c r="U142" s="68">
        <f t="shared" si="40"/>
        <v>1593.7838632964704</v>
      </c>
      <c r="V142" s="68">
        <f t="shared" si="40"/>
        <v>1593.7838632964704</v>
      </c>
      <c r="W142" s="80">
        <v>2022</v>
      </c>
      <c r="X142" s="29" t="e">
        <f>+#REF!-'[1]Приложение №1'!$P565</f>
        <v>#REF!</v>
      </c>
      <c r="Z142" s="31">
        <f t="shared" si="38"/>
        <v>14323988.610000001</v>
      </c>
      <c r="AA142" s="27">
        <v>6271198.8006540602</v>
      </c>
      <c r="AB142" s="27">
        <v>2218821.2026700997</v>
      </c>
      <c r="AC142" s="27">
        <v>0</v>
      </c>
      <c r="AD142" s="27">
        <v>1451323.2211791598</v>
      </c>
      <c r="AE142" s="27">
        <v>1857119.41303938</v>
      </c>
      <c r="AF142" s="27"/>
      <c r="AG142" s="27">
        <v>248829.75972035999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1870006.4417999999</v>
      </c>
      <c r="AN142" s="32">
        <v>143239.88609999997</v>
      </c>
      <c r="AO142" s="33">
        <v>263449.88483693998</v>
      </c>
      <c r="AP142" s="84">
        <f>+N142-'Приложение №2'!E142</f>
        <v>0</v>
      </c>
      <c r="AQ142" s="1">
        <f>1278728.82-485172.67</f>
        <v>793556.15000000014</v>
      </c>
      <c r="AR142" s="1">
        <f t="shared" si="42"/>
        <v>450769.61999999994</v>
      </c>
      <c r="AS142" s="1">
        <f>+(K142*10+L142*20)*12*30-175262.76</f>
        <v>15734253.239999998</v>
      </c>
      <c r="AT142" s="29">
        <f t="shared" si="24"/>
        <v>-11278713.841854198</v>
      </c>
    </row>
    <row r="143" spans="1:51" x14ac:dyDescent="0.25">
      <c r="A143" s="76">
        <f t="shared" si="39"/>
        <v>127</v>
      </c>
      <c r="B143" s="77">
        <f t="shared" si="39"/>
        <v>127</v>
      </c>
      <c r="C143" s="77" t="s">
        <v>89</v>
      </c>
      <c r="D143" s="77" t="s">
        <v>231</v>
      </c>
      <c r="E143" s="78">
        <v>1964</v>
      </c>
      <c r="F143" s="78">
        <v>1964</v>
      </c>
      <c r="G143" s="78" t="s">
        <v>44</v>
      </c>
      <c r="H143" s="78">
        <v>2</v>
      </c>
      <c r="I143" s="78">
        <v>2</v>
      </c>
      <c r="J143" s="44">
        <v>868.87</v>
      </c>
      <c r="K143" s="44">
        <v>613.55999999999995</v>
      </c>
      <c r="L143" s="44">
        <v>255.31</v>
      </c>
      <c r="M143" s="79">
        <v>26</v>
      </c>
      <c r="N143" s="129">
        <f t="shared" si="41"/>
        <v>5854211.9964419995</v>
      </c>
      <c r="O143" s="44"/>
      <c r="P143" s="163"/>
      <c r="Q143" s="162"/>
      <c r="R143" s="162">
        <f t="shared" si="43"/>
        <v>292223.84999999998</v>
      </c>
      <c r="S143" s="162">
        <f>+AS143</f>
        <v>4017523.1399999992</v>
      </c>
      <c r="T143" s="161">
        <f>+'Приложение №2'!E143-'Приложение №1'!P143-'Приложение №1'!Q143-'Приложение №1'!R143-'Приложение №1'!S143</f>
        <v>1544465.0064420006</v>
      </c>
      <c r="U143" s="68">
        <f t="shared" si="40"/>
        <v>6737.7306115322199</v>
      </c>
      <c r="V143" s="68">
        <f t="shared" si="40"/>
        <v>6737.7306115322199</v>
      </c>
      <c r="W143" s="80">
        <v>2022</v>
      </c>
      <c r="X143" s="29" t="e">
        <f>+#REF!-'[1]Приложение №1'!$P566</f>
        <v>#REF!</v>
      </c>
      <c r="Z143" s="31">
        <f t="shared" si="38"/>
        <v>6504868.2400000012</v>
      </c>
      <c r="AA143" s="27">
        <v>0</v>
      </c>
      <c r="AB143" s="27">
        <v>0</v>
      </c>
      <c r="AC143" s="27">
        <v>516103.55464625999</v>
      </c>
      <c r="AD143" s="27">
        <v>0</v>
      </c>
      <c r="AE143" s="27">
        <v>0</v>
      </c>
      <c r="AF143" s="27"/>
      <c r="AG143" s="27">
        <v>0</v>
      </c>
      <c r="AH143" s="27">
        <v>0</v>
      </c>
      <c r="AI143" s="27">
        <v>5207195.1827070005</v>
      </c>
      <c r="AJ143" s="27">
        <v>0</v>
      </c>
      <c r="AK143" s="27">
        <v>0</v>
      </c>
      <c r="AL143" s="27">
        <v>0</v>
      </c>
      <c r="AM143" s="27">
        <v>591363.86849999998</v>
      </c>
      <c r="AN143" s="32">
        <v>65048.682400000005</v>
      </c>
      <c r="AO143" s="33">
        <v>125156.95174674</v>
      </c>
      <c r="AP143" s="84">
        <f>+N143-'Приложение №2'!E143</f>
        <v>0</v>
      </c>
      <c r="AQ143" s="1">
        <f>278417.8-100860.31</f>
        <v>177557.49</v>
      </c>
      <c r="AR143" s="1">
        <f t="shared" si="42"/>
        <v>114666.35999999997</v>
      </c>
      <c r="AS143" s="1">
        <f>+(K143*10+L143*20)*12*30-29524.86</f>
        <v>4017523.1399999992</v>
      </c>
      <c r="AT143" s="29">
        <f t="shared" ref="AT143:AT202" si="44">+S143-AS143</f>
        <v>0</v>
      </c>
    </row>
    <row r="144" spans="1:51" x14ac:dyDescent="0.25">
      <c r="A144" s="76">
        <f t="shared" si="39"/>
        <v>128</v>
      </c>
      <c r="B144" s="77">
        <f t="shared" si="39"/>
        <v>128</v>
      </c>
      <c r="C144" s="77" t="s">
        <v>95</v>
      </c>
      <c r="D144" s="77" t="s">
        <v>240</v>
      </c>
      <c r="E144" s="78">
        <v>1977</v>
      </c>
      <c r="F144" s="78">
        <v>1977</v>
      </c>
      <c r="G144" s="78" t="s">
        <v>44</v>
      </c>
      <c r="H144" s="78">
        <v>5</v>
      </c>
      <c r="I144" s="78">
        <v>1</v>
      </c>
      <c r="J144" s="44">
        <v>1730.3</v>
      </c>
      <c r="K144" s="44">
        <v>1456.4</v>
      </c>
      <c r="L144" s="44">
        <v>0</v>
      </c>
      <c r="M144" s="79">
        <v>49</v>
      </c>
      <c r="N144" s="129">
        <f t="shared" si="41"/>
        <v>7339250.7175320005</v>
      </c>
      <c r="O144" s="44"/>
      <c r="P144" s="162">
        <v>543550.55000000005</v>
      </c>
      <c r="Q144" s="162"/>
      <c r="R144" s="162">
        <v>737257.37</v>
      </c>
      <c r="S144" s="162">
        <v>1453245.72</v>
      </c>
      <c r="T144" s="161">
        <f>+'Приложение №2'!E144-'Приложение №1'!P144-'Приложение №1'!Q144-'Приложение №1'!R144-'Приложение №1'!S144</f>
        <v>4605197.0775320008</v>
      </c>
      <c r="U144" s="68">
        <f t="shared" si="40"/>
        <v>5039.309748374073</v>
      </c>
      <c r="V144" s="68">
        <f t="shared" si="40"/>
        <v>5039.309748374073</v>
      </c>
      <c r="W144" s="80">
        <v>2022</v>
      </c>
      <c r="X144" s="29" t="e">
        <f>+#REF!-'[1]Приложение №1'!$P791</f>
        <v>#REF!</v>
      </c>
      <c r="Z144" s="31">
        <f t="shared" si="38"/>
        <v>38072067.120000005</v>
      </c>
      <c r="AA144" s="27">
        <v>4710479.1050062198</v>
      </c>
      <c r="AB144" s="27">
        <v>2176226.3089270201</v>
      </c>
      <c r="AC144" s="27">
        <v>2204614.3839224395</v>
      </c>
      <c r="AD144" s="27">
        <v>1424137.1203432798</v>
      </c>
      <c r="AE144" s="27">
        <v>0</v>
      </c>
      <c r="AF144" s="27"/>
      <c r="AG144" s="27">
        <v>146063.50321331999</v>
      </c>
      <c r="AH144" s="27">
        <v>0</v>
      </c>
      <c r="AI144" s="27">
        <v>11068738.746596999</v>
      </c>
      <c r="AJ144" s="27">
        <v>0</v>
      </c>
      <c r="AK144" s="27">
        <v>5717896.3951359605</v>
      </c>
      <c r="AL144" s="27">
        <v>5901111.3759779995</v>
      </c>
      <c r="AM144" s="27">
        <v>3612798.5854000002</v>
      </c>
      <c r="AN144" s="32">
        <v>380720.67119999998</v>
      </c>
      <c r="AO144" s="33">
        <v>729280.92427675996</v>
      </c>
      <c r="AP144" s="84">
        <f>+N144-'Приложение №2'!E144</f>
        <v>0</v>
      </c>
      <c r="AQ144" s="1">
        <v>590020.37</v>
      </c>
      <c r="AR144" s="1">
        <f t="shared" si="42"/>
        <v>148552.79999999999</v>
      </c>
      <c r="AS144" s="1">
        <f>+(K144*10+L144*20)*12*30</f>
        <v>5243040</v>
      </c>
      <c r="AT144" s="29">
        <f t="shared" si="44"/>
        <v>-3789794.2800000003</v>
      </c>
    </row>
    <row r="145" spans="1:46" x14ac:dyDescent="0.25">
      <c r="A145" s="76">
        <f t="shared" si="39"/>
        <v>129</v>
      </c>
      <c r="B145" s="77">
        <f t="shared" si="39"/>
        <v>129</v>
      </c>
      <c r="C145" s="77" t="s">
        <v>241</v>
      </c>
      <c r="D145" s="77" t="s">
        <v>400</v>
      </c>
      <c r="E145" s="78">
        <v>1984</v>
      </c>
      <c r="F145" s="78">
        <v>1984</v>
      </c>
      <c r="G145" s="78" t="s">
        <v>44</v>
      </c>
      <c r="H145" s="78">
        <v>5</v>
      </c>
      <c r="I145" s="78">
        <v>4</v>
      </c>
      <c r="J145" s="44">
        <v>3359.4</v>
      </c>
      <c r="K145" s="44">
        <v>2391.8000000000002</v>
      </c>
      <c r="L145" s="44">
        <v>553.20000000000005</v>
      </c>
      <c r="M145" s="79">
        <v>62</v>
      </c>
      <c r="N145" s="129">
        <f t="shared" si="41"/>
        <v>7581577</v>
      </c>
      <c r="O145" s="44"/>
      <c r="P145" s="162"/>
      <c r="Q145" s="162"/>
      <c r="R145" s="162">
        <v>492779.18</v>
      </c>
      <c r="S145" s="162">
        <f>+'Приложение №2'!E145-'Приложение №1'!P145-'Приложение №1'!R145-'Приложение №1'!T145</f>
        <v>5673883.8000000007</v>
      </c>
      <c r="T145" s="161">
        <v>1414914.02</v>
      </c>
      <c r="U145" s="68">
        <f t="shared" si="40"/>
        <v>2574.3894736842103</v>
      </c>
      <c r="V145" s="68">
        <f t="shared" si="40"/>
        <v>2574.3894736842103</v>
      </c>
      <c r="W145" s="80">
        <v>2022</v>
      </c>
      <c r="X145" s="29" t="e">
        <f>+#REF!-'[1]Приложение №1'!$P1544</f>
        <v>#REF!</v>
      </c>
      <c r="Z145" s="31">
        <f t="shared" si="38"/>
        <v>24399375.708956141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/>
      <c r="AG145" s="27">
        <v>0</v>
      </c>
      <c r="AH145" s="27">
        <v>0</v>
      </c>
      <c r="AI145" s="27">
        <v>0</v>
      </c>
      <c r="AJ145" s="27">
        <v>0</v>
      </c>
      <c r="AK145" s="27">
        <v>10229706.1</v>
      </c>
      <c r="AL145" s="27">
        <v>13577874.103206001</v>
      </c>
      <c r="AM145" s="27">
        <v>258631.32</v>
      </c>
      <c r="AN145" s="27">
        <v>39488.83</v>
      </c>
      <c r="AO145" s="33">
        <v>293675.35575013998</v>
      </c>
      <c r="AP145" s="84">
        <f>+N145-'Приложение №2'!E145</f>
        <v>0</v>
      </c>
      <c r="AQ145" s="1">
        <v>1110865.6299999999</v>
      </c>
      <c r="AR145" s="1">
        <f t="shared" si="42"/>
        <v>356816.39999999997</v>
      </c>
      <c r="AS145" s="1">
        <f>+(K145*10+L145*20)*12*30-3112059.45</f>
        <v>9481460.5500000007</v>
      </c>
      <c r="AT145" s="29">
        <f t="shared" si="44"/>
        <v>-3807576.75</v>
      </c>
    </row>
    <row r="146" spans="1:46" x14ac:dyDescent="0.25">
      <c r="A146" s="76">
        <f t="shared" ref="A146:B160" si="45">+A145+1</f>
        <v>130</v>
      </c>
      <c r="B146" s="77">
        <f t="shared" si="45"/>
        <v>130</v>
      </c>
      <c r="C146" s="77" t="s">
        <v>241</v>
      </c>
      <c r="D146" s="77" t="s">
        <v>242</v>
      </c>
      <c r="E146" s="78">
        <v>1980</v>
      </c>
      <c r="F146" s="78">
        <v>2013</v>
      </c>
      <c r="G146" s="78" t="s">
        <v>44</v>
      </c>
      <c r="H146" s="78">
        <v>5</v>
      </c>
      <c r="I146" s="78">
        <v>4</v>
      </c>
      <c r="J146" s="44">
        <v>3517.3</v>
      </c>
      <c r="K146" s="44">
        <v>2413.5</v>
      </c>
      <c r="L146" s="44">
        <v>670.3</v>
      </c>
      <c r="M146" s="79">
        <v>55</v>
      </c>
      <c r="N146" s="129">
        <f t="shared" si="41"/>
        <v>13485796.644782159</v>
      </c>
      <c r="O146" s="44"/>
      <c r="P146" s="162"/>
      <c r="Q146" s="162"/>
      <c r="R146" s="162"/>
      <c r="S146" s="162">
        <f>+AS146</f>
        <v>10992740.23</v>
      </c>
      <c r="T146" s="162">
        <f>+'Приложение №2'!E146-'Приложение №1'!P146-'Приложение №1'!Q146-'Приложение №1'!R146-'Приложение №1'!S146</f>
        <v>2493056.414782159</v>
      </c>
      <c r="U146" s="68">
        <f t="shared" si="40"/>
        <v>4373.110008684791</v>
      </c>
      <c r="V146" s="68">
        <f t="shared" si="40"/>
        <v>4373.110008684791</v>
      </c>
      <c r="W146" s="80">
        <v>2022</v>
      </c>
      <c r="X146" s="29" t="e">
        <f>+#REF!-'[1]Приложение №1'!$P794</f>
        <v>#REF!</v>
      </c>
      <c r="Y146" s="1" t="s">
        <v>551</v>
      </c>
      <c r="Z146" s="31">
        <f t="shared" si="38"/>
        <v>14492948.68038216</v>
      </c>
      <c r="AA146" s="27">
        <v>0</v>
      </c>
      <c r="AB146" s="27">
        <v>0</v>
      </c>
      <c r="AC146" s="27"/>
      <c r="AD146" s="27">
        <v>0</v>
      </c>
      <c r="AE146" s="27">
        <v>0</v>
      </c>
      <c r="AF146" s="27"/>
      <c r="AG146" s="27">
        <v>0</v>
      </c>
      <c r="AH146" s="27">
        <v>0</v>
      </c>
      <c r="AI146" s="27">
        <v>0</v>
      </c>
      <c r="AJ146" s="27">
        <v>0</v>
      </c>
      <c r="AK146" s="27">
        <v>13313168.82</v>
      </c>
      <c r="AL146" s="27">
        <v>0</v>
      </c>
      <c r="AM146" s="27">
        <v>947969.25600000005</v>
      </c>
      <c r="AN146" s="32">
        <v>59182.779600000002</v>
      </c>
      <c r="AO146" s="33">
        <v>172627.82478215999</v>
      </c>
      <c r="AP146" s="84">
        <f>+N146-'Приложение №2'!E146</f>
        <v>0</v>
      </c>
      <c r="AQ146" s="1">
        <v>1112557.28</v>
      </c>
      <c r="AR146" s="1">
        <f t="shared" si="42"/>
        <v>382918.2</v>
      </c>
      <c r="AS146" s="1">
        <f>+(K146*10+L146*20)*12*30-2158139.11-363880.66</f>
        <v>10992740.23</v>
      </c>
      <c r="AT146" s="29">
        <f t="shared" si="44"/>
        <v>0</v>
      </c>
    </row>
    <row r="147" spans="1:46" x14ac:dyDescent="0.25">
      <c r="A147" s="76">
        <f t="shared" si="45"/>
        <v>131</v>
      </c>
      <c r="B147" s="77">
        <f t="shared" si="45"/>
        <v>131</v>
      </c>
      <c r="C147" s="77" t="s">
        <v>47</v>
      </c>
      <c r="D147" s="77" t="s">
        <v>48</v>
      </c>
      <c r="E147" s="78">
        <v>1964</v>
      </c>
      <c r="F147" s="78">
        <v>1964</v>
      </c>
      <c r="G147" s="78" t="s">
        <v>44</v>
      </c>
      <c r="H147" s="78">
        <v>3</v>
      </c>
      <c r="I147" s="78">
        <v>3</v>
      </c>
      <c r="J147" s="44">
        <v>977.7</v>
      </c>
      <c r="K147" s="44">
        <v>824.1</v>
      </c>
      <c r="L147" s="44">
        <v>81.5</v>
      </c>
      <c r="M147" s="79">
        <v>40</v>
      </c>
      <c r="N147" s="129">
        <f t="shared" si="41"/>
        <v>275546.21000000002</v>
      </c>
      <c r="O147" s="44"/>
      <c r="P147" s="162"/>
      <c r="Q147" s="162"/>
      <c r="R147" s="162">
        <v>204954.46</v>
      </c>
      <c r="S147" s="162">
        <v>70591.750000000029</v>
      </c>
      <c r="T147" s="161">
        <f>+'Приложение №2'!E147-'Приложение №1'!P147-'Приложение №1'!Q147-'Приложение №1'!R147-'Приложение №1'!S147</f>
        <v>0</v>
      </c>
      <c r="U147" s="68">
        <f t="shared" si="40"/>
        <v>304.26922482332157</v>
      </c>
      <c r="V147" s="68">
        <f t="shared" si="40"/>
        <v>304.26922482332157</v>
      </c>
      <c r="W147" s="80">
        <v>2022</v>
      </c>
      <c r="X147" s="29" t="e">
        <f>+#REF!-'[1]Приложение №1'!$P344</f>
        <v>#REF!</v>
      </c>
      <c r="Z147" s="31">
        <f t="shared" si="38"/>
        <v>8343290.9400000013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/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7266622.6173567604</v>
      </c>
      <c r="AM147" s="27">
        <v>834329.09400000004</v>
      </c>
      <c r="AN147" s="32">
        <v>83432.909400000004</v>
      </c>
      <c r="AO147" s="33">
        <v>158906.31924324002</v>
      </c>
      <c r="AP147" s="84">
        <f>+N147-'Приложение №2'!E147</f>
        <v>0</v>
      </c>
      <c r="AQ147" s="1">
        <f>314113.02-85397.7</f>
        <v>228715.32</v>
      </c>
      <c r="AR147" s="1">
        <f t="shared" si="42"/>
        <v>100684.2</v>
      </c>
      <c r="AS147" s="1">
        <f>+(K147*10+L147*20)*12*30</f>
        <v>3553560</v>
      </c>
      <c r="AT147" s="29">
        <f t="shared" si="44"/>
        <v>-3482968.25</v>
      </c>
    </row>
    <row r="148" spans="1:46" x14ac:dyDescent="0.25">
      <c r="A148" s="76">
        <f t="shared" si="45"/>
        <v>132</v>
      </c>
      <c r="B148" s="77">
        <f t="shared" si="45"/>
        <v>132</v>
      </c>
      <c r="C148" s="77" t="s">
        <v>47</v>
      </c>
      <c r="D148" s="77" t="s">
        <v>49</v>
      </c>
      <c r="E148" s="78">
        <v>1973</v>
      </c>
      <c r="F148" s="78">
        <v>1973</v>
      </c>
      <c r="G148" s="78" t="s">
        <v>44</v>
      </c>
      <c r="H148" s="78">
        <v>4</v>
      </c>
      <c r="I148" s="78">
        <v>3</v>
      </c>
      <c r="J148" s="44">
        <v>1399</v>
      </c>
      <c r="K148" s="44">
        <v>1081.5999999999999</v>
      </c>
      <c r="L148" s="44">
        <v>197.9</v>
      </c>
      <c r="M148" s="79">
        <v>41</v>
      </c>
      <c r="N148" s="129">
        <f t="shared" si="41"/>
        <v>2485206.75</v>
      </c>
      <c r="O148" s="44"/>
      <c r="P148" s="162">
        <v>404178.60000000009</v>
      </c>
      <c r="Q148" s="162"/>
      <c r="R148" s="162">
        <v>325425.82</v>
      </c>
      <c r="S148" s="162">
        <v>1755602.33</v>
      </c>
      <c r="T148" s="161">
        <f>+'Приложение №2'!E148-'Приложение №1'!P148-'Приложение №1'!Q148-'Приложение №1'!R148-'Приложение №1'!S148</f>
        <v>0</v>
      </c>
      <c r="U148" s="68">
        <f t="shared" si="40"/>
        <v>1942.3264947245018</v>
      </c>
      <c r="V148" s="68">
        <f t="shared" si="40"/>
        <v>1942.3264947245018</v>
      </c>
      <c r="W148" s="80">
        <v>2022</v>
      </c>
      <c r="X148" s="29" t="e">
        <f>+#REF!-'[1]Приложение №1'!$P345</f>
        <v>#REF!</v>
      </c>
      <c r="Z148" s="31">
        <f t="shared" si="38"/>
        <v>11828796.82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/>
      <c r="AG148" s="27">
        <v>0</v>
      </c>
      <c r="AH148" s="27">
        <v>0</v>
      </c>
      <c r="AI148" s="27">
        <v>6651371.2383216005</v>
      </c>
      <c r="AJ148" s="27">
        <v>0</v>
      </c>
      <c r="AK148" s="27">
        <v>0</v>
      </c>
      <c r="AL148" s="27">
        <v>3724870.7921149204</v>
      </c>
      <c r="AM148" s="27">
        <v>1107359.4236000001</v>
      </c>
      <c r="AN148" s="32">
        <v>118287.9682</v>
      </c>
      <c r="AO148" s="33">
        <v>226907.39776348002</v>
      </c>
      <c r="AP148" s="84">
        <f>+N148-'Приложение №2'!E148</f>
        <v>0</v>
      </c>
      <c r="AQ148" s="1">
        <f>414772.6-182047.66</f>
        <v>232724.93999999997</v>
      </c>
      <c r="AR148" s="1">
        <f t="shared" si="42"/>
        <v>150694.79999999999</v>
      </c>
      <c r="AS148" s="1">
        <f>+(K148*10+L148*20)*12*30</f>
        <v>5318640</v>
      </c>
      <c r="AT148" s="29">
        <f t="shared" si="44"/>
        <v>-3563037.67</v>
      </c>
    </row>
    <row r="149" spans="1:46" x14ac:dyDescent="0.25">
      <c r="A149" s="76">
        <f t="shared" si="45"/>
        <v>133</v>
      </c>
      <c r="B149" s="77">
        <f t="shared" si="45"/>
        <v>133</v>
      </c>
      <c r="C149" s="77" t="s">
        <v>47</v>
      </c>
      <c r="D149" s="77" t="s">
        <v>404</v>
      </c>
      <c r="E149" s="78">
        <v>1969</v>
      </c>
      <c r="F149" s="78">
        <v>1969</v>
      </c>
      <c r="G149" s="78" t="s">
        <v>44</v>
      </c>
      <c r="H149" s="78">
        <v>4</v>
      </c>
      <c r="I149" s="78">
        <v>4</v>
      </c>
      <c r="J149" s="44">
        <v>1301.0999999999999</v>
      </c>
      <c r="K149" s="44">
        <v>1206.0999999999999</v>
      </c>
      <c r="L149" s="44">
        <v>0</v>
      </c>
      <c r="M149" s="79">
        <v>55</v>
      </c>
      <c r="N149" s="129">
        <f t="shared" si="41"/>
        <v>1052989.615364</v>
      </c>
      <c r="O149" s="44"/>
      <c r="P149" s="162">
        <v>48024.160000000003</v>
      </c>
      <c r="Q149" s="162"/>
      <c r="R149" s="162"/>
      <c r="S149" s="162">
        <f>+'Приложение №2'!E149-'Приложение №1'!P149</f>
        <v>1004965.4553639999</v>
      </c>
      <c r="T149" s="161"/>
      <c r="U149" s="68">
        <f t="shared" si="40"/>
        <v>873.05332506757316</v>
      </c>
      <c r="V149" s="68">
        <f t="shared" si="40"/>
        <v>873.05332506757316</v>
      </c>
      <c r="W149" s="80">
        <v>2022</v>
      </c>
      <c r="X149" s="29" t="e">
        <f>+#REF!-'[1]Приложение №1'!$P1171</f>
        <v>#REF!</v>
      </c>
      <c r="Z149" s="31">
        <f t="shared" si="38"/>
        <v>20711430.510000002</v>
      </c>
      <c r="AA149" s="27">
        <v>3099206.3677902599</v>
      </c>
      <c r="AB149" s="27">
        <v>1118078.6011840198</v>
      </c>
      <c r="AC149" s="27">
        <v>1168117.9829516402</v>
      </c>
      <c r="AD149" s="27">
        <v>731341.61352924001</v>
      </c>
      <c r="AE149" s="27">
        <v>0</v>
      </c>
      <c r="AF149" s="27"/>
      <c r="AG149" s="27">
        <v>111818.98213248001</v>
      </c>
      <c r="AH149" s="27">
        <v>0</v>
      </c>
      <c r="AI149" s="27">
        <v>5736153.9664296005</v>
      </c>
      <c r="AJ149" s="27">
        <v>0</v>
      </c>
      <c r="AK149" s="27">
        <v>2978257.4163942602</v>
      </c>
      <c r="AL149" s="27">
        <v>3212334.9611770199</v>
      </c>
      <c r="AM149" s="27">
        <v>1951986.4567</v>
      </c>
      <c r="AN149" s="32">
        <v>207114.30510000003</v>
      </c>
      <c r="AO149" s="33">
        <v>397019.85661148006</v>
      </c>
      <c r="AP149" s="84">
        <f>+N149-'Приложение №2'!E149</f>
        <v>0</v>
      </c>
      <c r="AQ149" s="1">
        <v>468456.03</v>
      </c>
      <c r="AR149" s="1">
        <f t="shared" si="42"/>
        <v>123022.2</v>
      </c>
      <c r="AS149" s="1">
        <f>+(K149*10+L149*20)*12*30-171359.03</f>
        <v>4170600.97</v>
      </c>
      <c r="AT149" s="29">
        <f t="shared" si="44"/>
        <v>-3165635.5146360002</v>
      </c>
    </row>
    <row r="150" spans="1:46" x14ac:dyDescent="0.25">
      <c r="A150" s="76">
        <f t="shared" si="45"/>
        <v>134</v>
      </c>
      <c r="B150" s="77">
        <f t="shared" si="45"/>
        <v>134</v>
      </c>
      <c r="C150" s="77" t="s">
        <v>47</v>
      </c>
      <c r="D150" s="77" t="s">
        <v>410</v>
      </c>
      <c r="E150" s="78">
        <v>1974</v>
      </c>
      <c r="F150" s="78">
        <v>1974</v>
      </c>
      <c r="G150" s="78" t="s">
        <v>44</v>
      </c>
      <c r="H150" s="78">
        <v>4</v>
      </c>
      <c r="I150" s="78">
        <v>3</v>
      </c>
      <c r="J150" s="44">
        <v>1380.9</v>
      </c>
      <c r="K150" s="44">
        <v>1261.0999999999999</v>
      </c>
      <c r="L150" s="44">
        <v>0</v>
      </c>
      <c r="M150" s="79">
        <v>43</v>
      </c>
      <c r="N150" s="129">
        <f t="shared" si="41"/>
        <v>1332134.6908183601</v>
      </c>
      <c r="O150" s="44"/>
      <c r="P150" s="162"/>
      <c r="Q150" s="162"/>
      <c r="R150" s="162">
        <f>+AQ150+AR150</f>
        <v>641924.76</v>
      </c>
      <c r="S150" s="162">
        <f>+'Приложение №2'!E150-'Приложение №1'!P150-'Приложение №1'!Q150-'Приложение №1'!R150</f>
        <v>690209.93081836007</v>
      </c>
      <c r="T150" s="161">
        <f>+'Приложение №2'!E150-'Приложение №1'!P150-'Приложение №1'!Q150-'Приложение №1'!R150-'Приложение №1'!S150</f>
        <v>0</v>
      </c>
      <c r="U150" s="68">
        <f t="shared" si="40"/>
        <v>1056.3275638873683</v>
      </c>
      <c r="V150" s="68">
        <f t="shared" si="40"/>
        <v>1056.3275638873683</v>
      </c>
      <c r="W150" s="80">
        <v>2022</v>
      </c>
      <c r="X150" s="29" t="e">
        <f>+#REF!-'[1]Приложение №1'!$P1177</f>
        <v>#REF!</v>
      </c>
      <c r="Z150" s="31">
        <f t="shared" si="38"/>
        <v>24082184.68</v>
      </c>
      <c r="AA150" s="27">
        <v>3459603.0948952204</v>
      </c>
      <c r="AB150" s="27">
        <v>1248096.36492156</v>
      </c>
      <c r="AC150" s="27">
        <v>1303954.6600395001</v>
      </c>
      <c r="AD150" s="27">
        <v>816386.97648732003</v>
      </c>
      <c r="AE150" s="27">
        <v>0</v>
      </c>
      <c r="AF150" s="27"/>
      <c r="AG150" s="27">
        <v>124822.049583</v>
      </c>
      <c r="AH150" s="27">
        <v>0</v>
      </c>
      <c r="AI150" s="27">
        <v>6403192.8421985991</v>
      </c>
      <c r="AJ150" s="27">
        <v>838109.10532439989</v>
      </c>
      <c r="AK150" s="27">
        <v>3324589.38292698</v>
      </c>
      <c r="AL150" s="27">
        <v>3585887.05339116</v>
      </c>
      <c r="AM150" s="27">
        <v>2275205.5373000004</v>
      </c>
      <c r="AN150" s="32">
        <v>240821.8468</v>
      </c>
      <c r="AO150" s="33">
        <v>461515.76613225997</v>
      </c>
      <c r="AP150" s="84">
        <f>+N150-'Приложение №2'!E150</f>
        <v>0</v>
      </c>
      <c r="AQ150" s="1">
        <v>513292.56</v>
      </c>
      <c r="AR150" s="1">
        <f t="shared" si="42"/>
        <v>128632.2</v>
      </c>
      <c r="AS150" s="1">
        <f>+(K150*10+L150*20)*12*30</f>
        <v>4539960</v>
      </c>
      <c r="AT150" s="29">
        <f t="shared" si="44"/>
        <v>-3849750.0691816397</v>
      </c>
    </row>
    <row r="151" spans="1:46" x14ac:dyDescent="0.25">
      <c r="A151" s="76">
        <f t="shared" si="45"/>
        <v>135</v>
      </c>
      <c r="B151" s="77">
        <f t="shared" si="45"/>
        <v>135</v>
      </c>
      <c r="C151" s="77" t="s">
        <v>47</v>
      </c>
      <c r="D151" s="77" t="s">
        <v>411</v>
      </c>
      <c r="E151" s="78">
        <v>1962</v>
      </c>
      <c r="F151" s="78">
        <v>1962</v>
      </c>
      <c r="G151" s="78" t="s">
        <v>44</v>
      </c>
      <c r="H151" s="78">
        <v>3</v>
      </c>
      <c r="I151" s="78">
        <v>2</v>
      </c>
      <c r="J151" s="44">
        <v>937.1</v>
      </c>
      <c r="K151" s="44">
        <v>723.7</v>
      </c>
      <c r="L151" s="44">
        <v>213.4</v>
      </c>
      <c r="M151" s="79">
        <v>26</v>
      </c>
      <c r="N151" s="129">
        <f t="shared" si="41"/>
        <v>1168589.4982480002</v>
      </c>
      <c r="O151" s="44"/>
      <c r="P151" s="162">
        <v>83339.016051200218</v>
      </c>
      <c r="Q151" s="162"/>
      <c r="R151" s="162">
        <f>+AQ151+AR151</f>
        <v>193257.44</v>
      </c>
      <c r="S151" s="162">
        <f>+'Приложение №2'!E151-'Приложение №1'!P151-'Приложение №1'!Q151-'Приложение №1'!R151</f>
        <v>891993.0421968</v>
      </c>
      <c r="T151" s="161">
        <f>+'Приложение №2'!E151-'Приложение №1'!P151-'Приложение №1'!Q151-'Приложение №1'!R151-'Приложение №1'!S151</f>
        <v>0</v>
      </c>
      <c r="U151" s="68">
        <f t="shared" si="40"/>
        <v>1247.027529877281</v>
      </c>
      <c r="V151" s="68">
        <f t="shared" si="40"/>
        <v>1247.027529877281</v>
      </c>
      <c r="W151" s="80">
        <v>2022</v>
      </c>
      <c r="X151" s="29" t="e">
        <f>+#REF!-'[1]Приложение №1'!$P1178</f>
        <v>#REF!</v>
      </c>
      <c r="Z151" s="31">
        <f t="shared" si="38"/>
        <v>26675784</v>
      </c>
      <c r="AA151" s="27">
        <v>2404073.9634912</v>
      </c>
      <c r="AB151" s="27">
        <v>1462843.1901888</v>
      </c>
      <c r="AC151" s="27">
        <v>689312.71110239998</v>
      </c>
      <c r="AD151" s="27">
        <v>587431.31489280006</v>
      </c>
      <c r="AE151" s="27">
        <v>0</v>
      </c>
      <c r="AF151" s="27"/>
      <c r="AG151" s="27">
        <v>227878.8628032</v>
      </c>
      <c r="AH151" s="27">
        <v>0</v>
      </c>
      <c r="AI151" s="27">
        <v>6954572.4655679995</v>
      </c>
      <c r="AJ151" s="27">
        <v>0</v>
      </c>
      <c r="AK151" s="27">
        <v>5686511.6200032001</v>
      </c>
      <c r="AL151" s="27">
        <v>5351302.3282992002</v>
      </c>
      <c r="AM151" s="27">
        <v>2534177.952</v>
      </c>
      <c r="AN151" s="32">
        <v>266757.84000000003</v>
      </c>
      <c r="AO151" s="33">
        <v>510921.75165120006</v>
      </c>
      <c r="AP151" s="84">
        <f>+N151-'Приложение №2'!E151</f>
        <v>0</v>
      </c>
      <c r="AQ151" s="1">
        <f>294416.56-218510.12</f>
        <v>75906.44</v>
      </c>
      <c r="AR151" s="1">
        <f t="shared" si="42"/>
        <v>117351</v>
      </c>
      <c r="AS151" s="1">
        <f>+(K151*10+L151*20)*12*30</f>
        <v>4141800</v>
      </c>
      <c r="AT151" s="29">
        <f t="shared" si="44"/>
        <v>-3249806.9578032</v>
      </c>
    </row>
    <row r="152" spans="1:46" x14ac:dyDescent="0.25">
      <c r="A152" s="76">
        <f t="shared" si="45"/>
        <v>136</v>
      </c>
      <c r="B152" s="77">
        <f t="shared" si="45"/>
        <v>136</v>
      </c>
      <c r="C152" s="77" t="s">
        <v>50</v>
      </c>
      <c r="D152" s="77" t="s">
        <v>243</v>
      </c>
      <c r="E152" s="78">
        <v>1993</v>
      </c>
      <c r="F152" s="78">
        <v>2015</v>
      </c>
      <c r="G152" s="78" t="s">
        <v>44</v>
      </c>
      <c r="H152" s="78">
        <v>4</v>
      </c>
      <c r="I152" s="78">
        <v>2</v>
      </c>
      <c r="J152" s="44">
        <v>2573</v>
      </c>
      <c r="K152" s="44">
        <v>2088.4</v>
      </c>
      <c r="L152" s="44">
        <v>299.89999999999998</v>
      </c>
      <c r="M152" s="79">
        <v>79</v>
      </c>
      <c r="N152" s="129">
        <f t="shared" si="41"/>
        <v>2468575.5752603062</v>
      </c>
      <c r="O152" s="44"/>
      <c r="P152" s="162"/>
      <c r="Q152" s="162"/>
      <c r="R152" s="162">
        <f>+AQ152+AR152</f>
        <v>897791.1399999999</v>
      </c>
      <c r="S152" s="162">
        <f>+'Приложение №2'!E152-'Приложение №1'!P152-'Приложение №1'!Q152-'Приложение №1'!R152</f>
        <v>1570784.4352603063</v>
      </c>
      <c r="T152" s="161">
        <f>+'Приложение №2'!E152-'Приложение №1'!P152-'Приложение №1'!Q152-'Приложение №1'!R152-'Приложение №1'!S152</f>
        <v>0</v>
      </c>
      <c r="U152" s="68">
        <f t="shared" si="40"/>
        <v>1033.6120149312508</v>
      </c>
      <c r="V152" s="68">
        <f t="shared" si="40"/>
        <v>1033.6120149312508</v>
      </c>
      <c r="W152" s="80">
        <v>2022</v>
      </c>
      <c r="X152" s="29" t="e">
        <f>+#REF!-'[1]Приложение №1'!$P818</f>
        <v>#REF!</v>
      </c>
      <c r="Y152" s="1" t="s">
        <v>549</v>
      </c>
      <c r="Z152" s="31">
        <f t="shared" si="38"/>
        <v>18343019.5</v>
      </c>
      <c r="AA152" s="27">
        <v>6746829.5476327194</v>
      </c>
      <c r="AB152" s="27">
        <v>0</v>
      </c>
      <c r="AC152" s="27">
        <v>2584833.4548157803</v>
      </c>
      <c r="AD152" s="27">
        <v>0</v>
      </c>
      <c r="AE152" s="27">
        <v>0</v>
      </c>
      <c r="AF152" s="27"/>
      <c r="AG152" s="27">
        <v>222731.80747859998</v>
      </c>
      <c r="AH152" s="27">
        <v>0</v>
      </c>
      <c r="AI152" s="27">
        <v>0</v>
      </c>
      <c r="AJ152" s="27">
        <v>0</v>
      </c>
      <c r="AK152" s="27">
        <v>6590268.3256670404</v>
      </c>
      <c r="AL152" s="27">
        <v>0</v>
      </c>
      <c r="AM152" s="27">
        <v>1661875.0851000003</v>
      </c>
      <c r="AN152" s="32">
        <v>183430.19500000001</v>
      </c>
      <c r="AO152" s="33">
        <v>353051.08430586004</v>
      </c>
      <c r="AP152" s="84">
        <f>+N152-'Приложение №2'!E152</f>
        <v>0</v>
      </c>
      <c r="AQ152" s="1">
        <f>1272443.19-648848.45</f>
        <v>623594.74</v>
      </c>
      <c r="AR152" s="1">
        <f t="shared" si="42"/>
        <v>274196.39999999997</v>
      </c>
      <c r="AS152" s="1">
        <f>+(K152*10+L152*20)*12*30-5206204.7</f>
        <v>4471315.3</v>
      </c>
      <c r="AT152" s="29">
        <f t="shared" si="44"/>
        <v>-2900530.8647396937</v>
      </c>
    </row>
    <row r="153" spans="1:46" x14ac:dyDescent="0.25">
      <c r="A153" s="76">
        <f t="shared" si="45"/>
        <v>137</v>
      </c>
      <c r="B153" s="77">
        <f t="shared" si="45"/>
        <v>137</v>
      </c>
      <c r="C153" s="77" t="s">
        <v>50</v>
      </c>
      <c r="D153" s="77" t="s">
        <v>414</v>
      </c>
      <c r="E153" s="78">
        <v>1989</v>
      </c>
      <c r="F153" s="78">
        <v>2014</v>
      </c>
      <c r="G153" s="78" t="s">
        <v>44</v>
      </c>
      <c r="H153" s="78">
        <v>9</v>
      </c>
      <c r="I153" s="78">
        <v>3</v>
      </c>
      <c r="J153" s="44">
        <v>6626.1</v>
      </c>
      <c r="K153" s="44">
        <v>6102.5</v>
      </c>
      <c r="L153" s="44">
        <v>67.8</v>
      </c>
      <c r="M153" s="79">
        <v>265</v>
      </c>
      <c r="N153" s="72">
        <f t="shared" si="41"/>
        <v>49829681.060927197</v>
      </c>
      <c r="O153" s="44"/>
      <c r="P153" s="163"/>
      <c r="Q153" s="162"/>
      <c r="R153" s="162">
        <v>1277946.27</v>
      </c>
      <c r="S153" s="162">
        <f>+AS153</f>
        <v>29746469.159999996</v>
      </c>
      <c r="T153" s="162">
        <f>+'Приложение №2'!E153-'Приложение №1'!P153-'Приложение №1'!Q153-'Приложение №1'!R153-'Приложение №1'!S153</f>
        <v>18805265.630927205</v>
      </c>
      <c r="U153" s="44">
        <f t="shared" si="40"/>
        <v>8075.7306874750329</v>
      </c>
      <c r="V153" s="44">
        <f t="shared" si="40"/>
        <v>8075.7306874750329</v>
      </c>
      <c r="W153" s="80">
        <v>2022</v>
      </c>
      <c r="X153" s="29" t="e">
        <f>+#REF!-'[1]Приложение №1'!$P966</f>
        <v>#REF!</v>
      </c>
      <c r="Z153" s="31">
        <f t="shared" si="38"/>
        <v>133828117.44000001</v>
      </c>
      <c r="AA153" s="27">
        <v>13963940.488183141</v>
      </c>
      <c r="AB153" s="27">
        <v>9583521.8977096211</v>
      </c>
      <c r="AC153" s="27">
        <v>5833663.0608244799</v>
      </c>
      <c r="AD153" s="27">
        <v>5263338.7413885603</v>
      </c>
      <c r="AE153" s="27">
        <v>0</v>
      </c>
      <c r="AF153" s="27"/>
      <c r="AG153" s="27">
        <v>671777.63177280012</v>
      </c>
      <c r="AH153" s="27">
        <v>0</v>
      </c>
      <c r="AI153" s="27">
        <v>6811959.9181410009</v>
      </c>
      <c r="AJ153" s="27">
        <v>0</v>
      </c>
      <c r="AK153" s="27">
        <v>59138470.018736638</v>
      </c>
      <c r="AL153" s="27">
        <v>15552139.69889202</v>
      </c>
      <c r="AM153" s="27">
        <v>13116434.001499999</v>
      </c>
      <c r="AN153" s="32">
        <v>1338281.1743999999</v>
      </c>
      <c r="AO153" s="33">
        <v>2554590.8084517401</v>
      </c>
      <c r="AP153" s="84">
        <f>+N153-'Приложение №2'!E153</f>
        <v>0</v>
      </c>
      <c r="AQ153" s="34">
        <v>3444334.74</v>
      </c>
      <c r="AR153" s="1">
        <f>+(K153*13.29+L153*22.52)*12*0.85</f>
        <v>842816.62619999982</v>
      </c>
      <c r="AS153" s="1">
        <f>+(K153*13.29+L153*22.52)*12*30</f>
        <v>29746469.159999996</v>
      </c>
      <c r="AT153" s="29">
        <f t="shared" si="44"/>
        <v>0</v>
      </c>
    </row>
    <row r="154" spans="1:46" s="35" customFormat="1" x14ac:dyDescent="0.25">
      <c r="A154" s="76">
        <f t="shared" si="45"/>
        <v>138</v>
      </c>
      <c r="B154" s="77">
        <f t="shared" si="45"/>
        <v>138</v>
      </c>
      <c r="C154" s="77" t="s">
        <v>50</v>
      </c>
      <c r="D154" s="77" t="s">
        <v>557</v>
      </c>
      <c r="E154" s="78" t="s">
        <v>569</v>
      </c>
      <c r="F154" s="78"/>
      <c r="G154" s="78" t="s">
        <v>570</v>
      </c>
      <c r="H154" s="78" t="s">
        <v>571</v>
      </c>
      <c r="I154" s="78" t="s">
        <v>576</v>
      </c>
      <c r="J154" s="44">
        <v>2294.4</v>
      </c>
      <c r="K154" s="44">
        <v>2020</v>
      </c>
      <c r="L154" s="44">
        <v>0</v>
      </c>
      <c r="M154" s="79">
        <v>107</v>
      </c>
      <c r="N154" s="129">
        <f t="shared" si="41"/>
        <v>3072511.9939301223</v>
      </c>
      <c r="O154" s="44">
        <v>0</v>
      </c>
      <c r="P154" s="162"/>
      <c r="Q154" s="162">
        <v>0</v>
      </c>
      <c r="R154" s="162">
        <f>+AQ154+AR154</f>
        <v>1430983.7999999998</v>
      </c>
      <c r="S154" s="162">
        <f>+'Приложение №2'!E154-'Приложение №1'!R154</f>
        <v>1641528.1939301225</v>
      </c>
      <c r="T154" s="161">
        <f>+'Приложение №2'!E154-'Приложение №1'!P154-'Приложение №1'!Q154-'Приложение №1'!R154-'Приложение №1'!S154</f>
        <v>0</v>
      </c>
      <c r="U154" s="68">
        <f>N154/K154</f>
        <v>1521.0455415495655</v>
      </c>
      <c r="V154" s="68">
        <v>1172.2830200640003</v>
      </c>
      <c r="W154" s="80">
        <v>2022</v>
      </c>
      <c r="X154" s="35">
        <v>930783.73</v>
      </c>
      <c r="Y154" s="35">
        <f>+(K154*12.08+L154*20.47)*12</f>
        <v>292819.19999999995</v>
      </c>
      <c r="AA154" s="36">
        <f>+N154-'[5]Приложение № 2'!E146</f>
        <v>-1043457.4460698776</v>
      </c>
      <c r="AD154" s="36">
        <f>+N154-'[5]Приложение № 2'!E146</f>
        <v>-1043457.4460698776</v>
      </c>
      <c r="AP154" s="84">
        <f>+N154-'Приложение №2'!E154</f>
        <v>0</v>
      </c>
      <c r="AQ154" s="35">
        <v>1157156.6399999999</v>
      </c>
      <c r="AR154" s="1">
        <f>+(K154*13.29+L154*22.52)*12*0.85</f>
        <v>273827.15999999997</v>
      </c>
      <c r="AS154" s="1">
        <f>+(K154*13.29+L154*22.52)*12*30</f>
        <v>9664488</v>
      </c>
      <c r="AT154" s="29">
        <f t="shared" si="44"/>
        <v>-8022959.806069877</v>
      </c>
    </row>
    <row r="155" spans="1:46" s="35" customFormat="1" x14ac:dyDescent="0.25">
      <c r="A155" s="76">
        <f t="shared" si="45"/>
        <v>139</v>
      </c>
      <c r="B155" s="77">
        <f t="shared" si="45"/>
        <v>139</v>
      </c>
      <c r="C155" s="77" t="s">
        <v>50</v>
      </c>
      <c r="D155" s="77" t="s">
        <v>558</v>
      </c>
      <c r="E155" s="78" t="s">
        <v>569</v>
      </c>
      <c r="F155" s="78"/>
      <c r="G155" s="78" t="s">
        <v>570</v>
      </c>
      <c r="H155" s="78" t="s">
        <v>571</v>
      </c>
      <c r="I155" s="78" t="s">
        <v>576</v>
      </c>
      <c r="J155" s="44">
        <v>2291.6999999999998</v>
      </c>
      <c r="K155" s="44">
        <v>2012</v>
      </c>
      <c r="L155" s="44">
        <v>65.3</v>
      </c>
      <c r="M155" s="79">
        <v>84</v>
      </c>
      <c r="N155" s="129">
        <f t="shared" si="41"/>
        <v>3072474.8799129105</v>
      </c>
      <c r="O155" s="44">
        <v>0</v>
      </c>
      <c r="P155" s="162"/>
      <c r="Q155" s="162">
        <v>0</v>
      </c>
      <c r="R155" s="162">
        <f>+AQ155+AR155</f>
        <v>1331435.4972000001</v>
      </c>
      <c r="S155" s="162">
        <f>+'Приложение №2'!E155-'Приложение №1'!R155</f>
        <v>1741039.3827129104</v>
      </c>
      <c r="T155" s="161">
        <f>+'Приложение №2'!E155-'Приложение №1'!P155-'Приложение №1'!Q155-'Приложение №1'!R155-'Приложение №1'!S155</f>
        <v>0</v>
      </c>
      <c r="U155" s="68">
        <f>N155/K155</f>
        <v>1527.0749900163571</v>
      </c>
      <c r="V155" s="68">
        <v>1172.2830200640003</v>
      </c>
      <c r="W155" s="80">
        <v>2022</v>
      </c>
      <c r="X155" s="35">
        <v>879242.71</v>
      </c>
      <c r="Y155" s="35">
        <f>+(K155*12.08+L155*20.47)*12</f>
        <v>307699.81199999998</v>
      </c>
      <c r="AA155" s="36">
        <f>+N155-'[5]Приложение № 2'!E147</f>
        <v>-380788.350087089</v>
      </c>
      <c r="AD155" s="36">
        <f>+N155-'[5]Приложение № 2'!E147</f>
        <v>-380788.350087089</v>
      </c>
      <c r="AP155" s="84">
        <f>+N155-'Приложение №2'!E155</f>
        <v>0</v>
      </c>
      <c r="AQ155" s="35">
        <v>1043693.13</v>
      </c>
      <c r="AR155" s="1">
        <f>+(K155*13.29+L155*22.52)*12*0.85</f>
        <v>287742.36720000004</v>
      </c>
      <c r="AS155" s="1">
        <f>+(K155*13.29+L155*22.52)*12*30</f>
        <v>10155612.960000001</v>
      </c>
      <c r="AT155" s="29">
        <f t="shared" si="44"/>
        <v>-8414573.5772870909</v>
      </c>
    </row>
    <row r="156" spans="1:46" s="35" customFormat="1" x14ac:dyDescent="0.25">
      <c r="A156" s="76">
        <f t="shared" si="45"/>
        <v>140</v>
      </c>
      <c r="B156" s="77">
        <f t="shared" si="45"/>
        <v>140</v>
      </c>
      <c r="C156" s="77" t="s">
        <v>50</v>
      </c>
      <c r="D156" s="77" t="s">
        <v>559</v>
      </c>
      <c r="E156" s="78" t="s">
        <v>577</v>
      </c>
      <c r="F156" s="78"/>
      <c r="G156" s="78" t="s">
        <v>570</v>
      </c>
      <c r="H156" s="78" t="s">
        <v>571</v>
      </c>
      <c r="I156" s="78" t="s">
        <v>576</v>
      </c>
      <c r="J156" s="44">
        <v>2263.9</v>
      </c>
      <c r="K156" s="44">
        <v>2004.44</v>
      </c>
      <c r="L156" s="44">
        <v>0</v>
      </c>
      <c r="M156" s="79">
        <v>82</v>
      </c>
      <c r="N156" s="129">
        <f t="shared" si="41"/>
        <v>3072835.2361071859</v>
      </c>
      <c r="O156" s="44">
        <v>0</v>
      </c>
      <c r="P156" s="162"/>
      <c r="Q156" s="162">
        <v>0</v>
      </c>
      <c r="R156" s="162">
        <f>+AQ156+AR156</f>
        <v>1305135.01752</v>
      </c>
      <c r="S156" s="162">
        <f>+'Приложение №2'!E156-'Приложение №1'!R156</f>
        <v>1767700.218587186</v>
      </c>
      <c r="T156" s="161">
        <f>+'Приложение №2'!E156-'Приложение №1'!P156-'Приложение №1'!Q156-'Приложение №1'!R156-'Приложение №1'!S156</f>
        <v>0</v>
      </c>
      <c r="U156" s="68">
        <f>N156/K156</f>
        <v>1533.0143262493195</v>
      </c>
      <c r="V156" s="68">
        <v>1172.2830200640003</v>
      </c>
      <c r="W156" s="80">
        <v>2022</v>
      </c>
      <c r="X156" s="35">
        <v>806093.85</v>
      </c>
      <c r="Y156" s="35">
        <f>+(K156*12.08+L156*20.47)*12</f>
        <v>290563.62239999999</v>
      </c>
      <c r="AA156" s="36">
        <f>+N156-'[5]Приложение № 2'!E148</f>
        <v>-3087466.5862912149</v>
      </c>
      <c r="AD156" s="36">
        <f>+N156-'[5]Приложение № 2'!E148</f>
        <v>-3087466.5862912149</v>
      </c>
      <c r="AP156" s="84">
        <f>+N156-'Приложение №2'!E156</f>
        <v>0</v>
      </c>
      <c r="AQ156" s="35">
        <v>1033417.14</v>
      </c>
      <c r="AR156" s="1">
        <f>+(K156*13.29+L156*22.52)*12*0.85</f>
        <v>271717.87752000004</v>
      </c>
      <c r="AS156" s="1">
        <f>+(K156*13.29+L156*22.52)*12*30</f>
        <v>9590042.7360000014</v>
      </c>
      <c r="AT156" s="29">
        <f t="shared" si="44"/>
        <v>-7822342.5174128152</v>
      </c>
    </row>
    <row r="157" spans="1:46" x14ac:dyDescent="0.25">
      <c r="A157" s="76">
        <f t="shared" si="45"/>
        <v>141</v>
      </c>
      <c r="B157" s="77">
        <f t="shared" si="45"/>
        <v>141</v>
      </c>
      <c r="C157" s="77" t="s">
        <v>50</v>
      </c>
      <c r="D157" s="77" t="s">
        <v>415</v>
      </c>
      <c r="E157" s="78">
        <v>1976</v>
      </c>
      <c r="F157" s="78">
        <v>2011</v>
      </c>
      <c r="G157" s="78" t="s">
        <v>44</v>
      </c>
      <c r="H157" s="78">
        <v>5</v>
      </c>
      <c r="I157" s="78">
        <v>3</v>
      </c>
      <c r="J157" s="44">
        <v>4142.3</v>
      </c>
      <c r="K157" s="44">
        <v>3019.79</v>
      </c>
      <c r="L157" s="44">
        <v>533.29999999999995</v>
      </c>
      <c r="M157" s="79">
        <v>117</v>
      </c>
      <c r="N157" s="129">
        <f t="shared" si="41"/>
        <v>6284189.3513380401</v>
      </c>
      <c r="O157" s="44"/>
      <c r="P157" s="162">
        <v>645040.81000000006</v>
      </c>
      <c r="Q157" s="162"/>
      <c r="R157" s="162"/>
      <c r="S157" s="162">
        <f>+'Приложение №2'!E157-'Приложение №1'!P157</f>
        <v>5639148.5413380396</v>
      </c>
      <c r="T157" s="161">
        <f>+'Приложение №2'!E157-'Приложение №1'!P157-'Приложение №1'!Q157-'Приложение №1'!R157-'Приложение №1'!S157</f>
        <v>0</v>
      </c>
      <c r="U157" s="68">
        <f t="shared" ref="U157:V179" si="46">$N157/($K157+$L157)</f>
        <v>1768.6547065619052</v>
      </c>
      <c r="V157" s="68">
        <f t="shared" si="46"/>
        <v>1768.6547065619052</v>
      </c>
      <c r="W157" s="80">
        <v>2022</v>
      </c>
      <c r="X157" s="29" t="e">
        <f>+#REF!-'[1]Приложение №1'!$P1192</f>
        <v>#REF!</v>
      </c>
      <c r="Z157" s="31">
        <f t="shared" ref="Z157:Z179" si="47">SUM(AA157:AO157)</f>
        <v>14409527.60733</v>
      </c>
      <c r="AA157" s="27">
        <v>10235799.652008839</v>
      </c>
      <c r="AB157" s="27">
        <v>0</v>
      </c>
      <c r="AC157" s="27">
        <v>0</v>
      </c>
      <c r="AD157" s="27">
        <v>2771852.98</v>
      </c>
      <c r="AE157" s="27">
        <v>0</v>
      </c>
      <c r="AF157" s="27"/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977830.47720000008</v>
      </c>
      <c r="AN157" s="32">
        <v>142733.0534</v>
      </c>
      <c r="AO157" s="33">
        <v>281311.44472115999</v>
      </c>
      <c r="AP157" s="84">
        <f>+N157-'Приложение №2'!E157</f>
        <v>0</v>
      </c>
      <c r="AQ157" s="1">
        <v>1203751.1100000001</v>
      </c>
      <c r="AR157" s="1">
        <f>+(K157*10+L157*20)*12*0.85</f>
        <v>416811.78</v>
      </c>
      <c r="AS157" s="1">
        <f>+(K157*10+L157*20)*12*30</f>
        <v>14711004.000000002</v>
      </c>
      <c r="AT157" s="29">
        <f t="shared" si="44"/>
        <v>-9071855.4586619623</v>
      </c>
    </row>
    <row r="158" spans="1:46" x14ac:dyDescent="0.25">
      <c r="A158" s="76">
        <f t="shared" si="45"/>
        <v>142</v>
      </c>
      <c r="B158" s="77">
        <f t="shared" si="45"/>
        <v>142</v>
      </c>
      <c r="C158" s="77" t="s">
        <v>50</v>
      </c>
      <c r="D158" s="77" t="s">
        <v>97</v>
      </c>
      <c r="E158" s="78">
        <v>1986</v>
      </c>
      <c r="F158" s="78">
        <v>2015</v>
      </c>
      <c r="G158" s="78" t="s">
        <v>44</v>
      </c>
      <c r="H158" s="78">
        <v>9</v>
      </c>
      <c r="I158" s="78">
        <v>1</v>
      </c>
      <c r="J158" s="44">
        <v>2267.6999999999998</v>
      </c>
      <c r="K158" s="44">
        <v>1885.78</v>
      </c>
      <c r="L158" s="44">
        <v>353.8</v>
      </c>
      <c r="M158" s="79">
        <v>71</v>
      </c>
      <c r="N158" s="129">
        <f t="shared" si="41"/>
        <v>863296.86591239995</v>
      </c>
      <c r="O158" s="44"/>
      <c r="P158" s="162"/>
      <c r="Q158" s="162"/>
      <c r="R158" s="162">
        <f>+'Приложение №2'!E158-'Приложение №1'!S158</f>
        <v>80395.895912399981</v>
      </c>
      <c r="S158" s="162">
        <v>782900.97</v>
      </c>
      <c r="T158" s="161">
        <f>+'Приложение №2'!E158-'Приложение №1'!P158-'Приложение №1'!Q158-'Приложение №1'!R158-'Приложение №1'!S158</f>
        <v>0</v>
      </c>
      <c r="U158" s="68">
        <f t="shared" si="46"/>
        <v>385.4726626922905</v>
      </c>
      <c r="V158" s="68">
        <f t="shared" si="46"/>
        <v>385.4726626922905</v>
      </c>
      <c r="W158" s="80">
        <v>2022</v>
      </c>
      <c r="X158" s="29" t="e">
        <f>+#REF!-'[1]Приложение №1'!$P499</f>
        <v>#REF!</v>
      </c>
      <c r="Z158" s="31">
        <f t="shared" si="47"/>
        <v>4290984.03</v>
      </c>
      <c r="AA158" s="27">
        <v>0</v>
      </c>
      <c r="AB158" s="27">
        <v>0</v>
      </c>
      <c r="AC158" s="27">
        <v>1932684.6731463599</v>
      </c>
      <c r="AD158" s="27">
        <v>1743736.9969412398</v>
      </c>
      <c r="AE158" s="27">
        <v>0</v>
      </c>
      <c r="AF158" s="27"/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491256.6237</v>
      </c>
      <c r="AN158" s="32">
        <v>42909.840299999996</v>
      </c>
      <c r="AO158" s="33">
        <v>80395.895912399996</v>
      </c>
      <c r="AP158" s="84">
        <f>+N158-'Приложение №2'!E158</f>
        <v>0</v>
      </c>
      <c r="AQ158" s="1">
        <v>1383560.53</v>
      </c>
      <c r="AR158" s="1">
        <f>+(K158*13.29+L158*22.52)*12*0.85</f>
        <v>336901.84044</v>
      </c>
      <c r="AS158" s="1">
        <f>+(K158*13.29+L158*22.52)*12*30-1239264.3</f>
        <v>10651388.891999999</v>
      </c>
      <c r="AT158" s="29">
        <f t="shared" si="44"/>
        <v>-9868487.9219999984</v>
      </c>
    </row>
    <row r="159" spans="1:46" x14ac:dyDescent="0.25">
      <c r="A159" s="76">
        <f t="shared" si="45"/>
        <v>143</v>
      </c>
      <c r="B159" s="77">
        <f t="shared" si="45"/>
        <v>143</v>
      </c>
      <c r="C159" s="77" t="s">
        <v>50</v>
      </c>
      <c r="D159" s="77" t="s">
        <v>417</v>
      </c>
      <c r="E159" s="78">
        <v>1985</v>
      </c>
      <c r="F159" s="78">
        <v>2015</v>
      </c>
      <c r="G159" s="78" t="s">
        <v>44</v>
      </c>
      <c r="H159" s="78">
        <v>9</v>
      </c>
      <c r="I159" s="78">
        <v>1</v>
      </c>
      <c r="J159" s="44">
        <v>2293.5</v>
      </c>
      <c r="K159" s="44">
        <v>1892.9</v>
      </c>
      <c r="L159" s="44">
        <v>103.9</v>
      </c>
      <c r="M159" s="79">
        <v>75</v>
      </c>
      <c r="N159" s="129">
        <f t="shared" si="41"/>
        <v>11321051.292631399</v>
      </c>
      <c r="O159" s="44"/>
      <c r="P159" s="162">
        <v>4582722.4000000004</v>
      </c>
      <c r="Q159" s="162"/>
      <c r="R159" s="162"/>
      <c r="S159" s="162">
        <f>+'Приложение №2'!E159-'Приложение №1'!P159</f>
        <v>6738328.8926313985</v>
      </c>
      <c r="T159" s="161">
        <f>+'Приложение №2'!E159-'Приложение №1'!P159-'Приложение №1'!Q159-'Приложение №1'!R159-'Приложение №1'!S159</f>
        <v>0</v>
      </c>
      <c r="U159" s="68">
        <f t="shared" si="46"/>
        <v>5669.5970015181283</v>
      </c>
      <c r="V159" s="68">
        <f t="shared" si="46"/>
        <v>5669.5970015181283</v>
      </c>
      <c r="W159" s="80">
        <v>2022</v>
      </c>
      <c r="X159" s="29" t="e">
        <f>+#REF!-'[1]Приложение №1'!$P1195</f>
        <v>#REF!</v>
      </c>
      <c r="Z159" s="31">
        <f t="shared" si="47"/>
        <v>19409539.310000002</v>
      </c>
      <c r="AA159" s="27">
        <v>4657498.8457725001</v>
      </c>
      <c r="AB159" s="27">
        <v>3196464.6551275197</v>
      </c>
      <c r="AC159" s="27">
        <v>1945745.8302928801</v>
      </c>
      <c r="AD159" s="27">
        <v>1755521.2429481999</v>
      </c>
      <c r="AE159" s="27">
        <v>0</v>
      </c>
      <c r="AF159" s="27"/>
      <c r="AG159" s="27">
        <v>224063.08219680001</v>
      </c>
      <c r="AH159" s="27">
        <v>0</v>
      </c>
      <c r="AI159" s="27">
        <v>0</v>
      </c>
      <c r="AJ159" s="27">
        <v>0</v>
      </c>
      <c r="AK159" s="27">
        <v>0</v>
      </c>
      <c r="AL159" s="27">
        <v>5187222.9645671407</v>
      </c>
      <c r="AM159" s="27">
        <v>1877903.9405</v>
      </c>
      <c r="AN159" s="32">
        <v>194095.39309999999</v>
      </c>
      <c r="AO159" s="33">
        <v>371023.35549496004</v>
      </c>
      <c r="AP159" s="84">
        <f>+N159-'Приложение №2'!E159</f>
        <v>0</v>
      </c>
      <c r="AQ159" s="1">
        <v>1237727.3</v>
      </c>
      <c r="AR159" s="1">
        <f>+(K159*13.29+L159*22.52)*12*0.85</f>
        <v>280463.98379999999</v>
      </c>
      <c r="AS159" s="1">
        <f>+(K159*13.29+L159*22.52)*12*30</f>
        <v>9898728.8399999999</v>
      </c>
      <c r="AT159" s="29">
        <f t="shared" si="44"/>
        <v>-3160399.9473686013</v>
      </c>
    </row>
    <row r="160" spans="1:46" x14ac:dyDescent="0.25">
      <c r="A160" s="76">
        <f t="shared" si="45"/>
        <v>144</v>
      </c>
      <c r="B160" s="77">
        <f t="shared" si="45"/>
        <v>144</v>
      </c>
      <c r="C160" s="77" t="s">
        <v>50</v>
      </c>
      <c r="D160" s="77" t="s">
        <v>98</v>
      </c>
      <c r="E160" s="78">
        <v>1975</v>
      </c>
      <c r="F160" s="78">
        <v>2013</v>
      </c>
      <c r="G160" s="78" t="s">
        <v>44</v>
      </c>
      <c r="H160" s="78">
        <v>4</v>
      </c>
      <c r="I160" s="78">
        <v>3</v>
      </c>
      <c r="J160" s="44">
        <v>2231.4</v>
      </c>
      <c r="K160" s="44">
        <v>2050.6999999999998</v>
      </c>
      <c r="L160" s="44">
        <v>57.4</v>
      </c>
      <c r="M160" s="79">
        <v>91</v>
      </c>
      <c r="N160" s="129">
        <f t="shared" si="41"/>
        <v>498098.01</v>
      </c>
      <c r="O160" s="44"/>
      <c r="P160" s="162"/>
      <c r="Q160" s="162"/>
      <c r="R160" s="162"/>
      <c r="S160" s="162">
        <f>+'Приложение №2'!E160-'Приложение №1'!P160-'Приложение №1'!Q160-'Приложение №1'!R160</f>
        <v>498098.01</v>
      </c>
      <c r="T160" s="161">
        <f>+'Приложение №2'!E160-'Приложение №1'!P160-'Приложение №1'!Q160-'Приложение №1'!R160-'Приложение №1'!S160</f>
        <v>0</v>
      </c>
      <c r="U160" s="68">
        <f t="shared" si="46"/>
        <v>236.27816991603817</v>
      </c>
      <c r="V160" s="68">
        <f t="shared" si="46"/>
        <v>236.27816991603817</v>
      </c>
      <c r="W160" s="80">
        <v>2022</v>
      </c>
      <c r="X160" s="29" t="e">
        <f>+#REF!-'[1]Приложение №1'!$P501</f>
        <v>#REF!</v>
      </c>
      <c r="Z160" s="31">
        <f t="shared" si="47"/>
        <v>31294041.869999997</v>
      </c>
      <c r="AA160" s="27">
        <v>0</v>
      </c>
      <c r="AB160" s="27">
        <v>2153754.7550966996</v>
      </c>
      <c r="AC160" s="27">
        <v>2250168.3177519003</v>
      </c>
      <c r="AD160" s="27">
        <v>0</v>
      </c>
      <c r="AE160" s="27">
        <v>0</v>
      </c>
      <c r="AF160" s="27"/>
      <c r="AG160" s="27">
        <v>0</v>
      </c>
      <c r="AH160" s="27">
        <v>0</v>
      </c>
      <c r="AI160" s="27">
        <v>11049571.316473201</v>
      </c>
      <c r="AJ160" s="27">
        <v>0</v>
      </c>
      <c r="AK160" s="27">
        <v>5737009.0626080399</v>
      </c>
      <c r="AL160" s="27">
        <v>6187940.5055416208</v>
      </c>
      <c r="AM160" s="27">
        <v>3003946.3752000001</v>
      </c>
      <c r="AN160" s="32">
        <v>312940.41869999998</v>
      </c>
      <c r="AO160" s="33">
        <v>598711.11862854008</v>
      </c>
      <c r="AP160" s="84">
        <f>+N160-'Приложение №2'!E160</f>
        <v>0</v>
      </c>
      <c r="AQ160" s="1">
        <v>972243.21</v>
      </c>
      <c r="AR160" s="1">
        <f>+(K160*10+L160*20)*12*0.85</f>
        <v>220881</v>
      </c>
      <c r="AS160" s="1">
        <f>+(K160*10+L160*20)*12*30</f>
        <v>7795800</v>
      </c>
      <c r="AT160" s="29">
        <f t="shared" si="44"/>
        <v>-7297701.9900000002</v>
      </c>
    </row>
    <row r="161" spans="1:51" x14ac:dyDescent="0.25">
      <c r="A161" s="76">
        <f t="shared" ref="A161:B161" si="48">+A160+1</f>
        <v>145</v>
      </c>
      <c r="B161" s="77">
        <f t="shared" si="48"/>
        <v>145</v>
      </c>
      <c r="C161" s="77" t="s">
        <v>50</v>
      </c>
      <c r="D161" s="77" t="s">
        <v>100</v>
      </c>
      <c r="E161" s="78">
        <v>1974</v>
      </c>
      <c r="F161" s="78">
        <v>2014</v>
      </c>
      <c r="G161" s="78" t="s">
        <v>44</v>
      </c>
      <c r="H161" s="78">
        <v>4</v>
      </c>
      <c r="I161" s="78">
        <v>6</v>
      </c>
      <c r="J161" s="44">
        <v>4464.7</v>
      </c>
      <c r="K161" s="44">
        <v>4072.9</v>
      </c>
      <c r="L161" s="44">
        <v>35.1</v>
      </c>
      <c r="M161" s="79">
        <v>161</v>
      </c>
      <c r="N161" s="129">
        <f t="shared" si="41"/>
        <v>2689617.46</v>
      </c>
      <c r="O161" s="44"/>
      <c r="P161" s="162">
        <v>1182697.55</v>
      </c>
      <c r="Q161" s="162"/>
      <c r="R161" s="162">
        <v>1506919.91</v>
      </c>
      <c r="S161" s="162"/>
      <c r="T161" s="161">
        <f>+'Приложение №2'!E161-'Приложение №1'!P161-'Приложение №1'!Q161-'Приложение №1'!R161-'Приложение №1'!S161</f>
        <v>0</v>
      </c>
      <c r="U161" s="68">
        <f t="shared" si="46"/>
        <v>654.72674294060369</v>
      </c>
      <c r="V161" s="68">
        <f t="shared" si="46"/>
        <v>654.72674294060369</v>
      </c>
      <c r="W161" s="80">
        <v>2022</v>
      </c>
      <c r="X161" s="29" t="e">
        <f>+#REF!-'[1]Приложение №1'!$P1619</f>
        <v>#REF!</v>
      </c>
      <c r="Z161" s="31">
        <f t="shared" si="47"/>
        <v>5164492.49</v>
      </c>
      <c r="AA161" s="27">
        <v>0</v>
      </c>
      <c r="AB161" s="27">
        <v>0</v>
      </c>
      <c r="AC161" s="27">
        <v>4498035.3921354599</v>
      </c>
      <c r="AD161" s="27">
        <v>0</v>
      </c>
      <c r="AE161" s="27">
        <v>0</v>
      </c>
      <c r="AF161" s="27"/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516449.24900000007</v>
      </c>
      <c r="AN161" s="32">
        <v>51644.924900000005</v>
      </c>
      <c r="AO161" s="33">
        <v>98362.923964540008</v>
      </c>
      <c r="AP161" s="84">
        <f>+N161-'Приложение №2'!E161</f>
        <v>0</v>
      </c>
      <c r="AQ161" s="1">
        <v>1783982.53</v>
      </c>
      <c r="AR161" s="1">
        <f>+(K161*10+L161*20)*12*0.85</f>
        <v>422596.2</v>
      </c>
      <c r="AS161" s="1">
        <f>+(K161*10+L161*20)*12*30</f>
        <v>14915160</v>
      </c>
      <c r="AT161" s="29">
        <f t="shared" si="44"/>
        <v>-14915160</v>
      </c>
    </row>
    <row r="162" spans="1:51" s="89" customFormat="1" x14ac:dyDescent="0.25">
      <c r="A162" s="76">
        <f t="shared" ref="A162:B162" si="49">+A161+1</f>
        <v>146</v>
      </c>
      <c r="B162" s="77">
        <f t="shared" si="49"/>
        <v>146</v>
      </c>
      <c r="C162" s="77" t="s">
        <v>50</v>
      </c>
      <c r="D162" s="77" t="s">
        <v>422</v>
      </c>
      <c r="E162" s="78">
        <v>1989</v>
      </c>
      <c r="F162" s="78">
        <v>2015</v>
      </c>
      <c r="G162" s="78" t="s">
        <v>44</v>
      </c>
      <c r="H162" s="78">
        <v>9</v>
      </c>
      <c r="I162" s="78">
        <v>4</v>
      </c>
      <c r="J162" s="44">
        <v>9199.2999999999993</v>
      </c>
      <c r="K162" s="44">
        <v>8072</v>
      </c>
      <c r="L162" s="44">
        <v>65.599999999999994</v>
      </c>
      <c r="M162" s="79">
        <v>366</v>
      </c>
      <c r="N162" s="72">
        <f t="shared" si="41"/>
        <v>25727773.27</v>
      </c>
      <c r="O162" s="44"/>
      <c r="P162" s="162"/>
      <c r="Q162" s="162"/>
      <c r="R162" s="162">
        <v>1050151.8600000001</v>
      </c>
      <c r="S162" s="162">
        <f>+AS162</f>
        <v>24677621.41</v>
      </c>
      <c r="T162" s="162">
        <f>+'Приложение №2'!E162-'Приложение №1'!P162-'Приложение №1'!Q162-'Приложение №1'!R162-'Приложение №1'!S162</f>
        <v>0</v>
      </c>
      <c r="U162" s="44">
        <f t="shared" si="46"/>
        <v>3161.5922716771529</v>
      </c>
      <c r="V162" s="44">
        <f t="shared" si="46"/>
        <v>3161.5922716771529</v>
      </c>
      <c r="W162" s="80">
        <v>2022</v>
      </c>
      <c r="X162" s="88" t="e">
        <f>+#REF!-'[1]Приложение №1'!$P1207</f>
        <v>#REF!</v>
      </c>
      <c r="Z162" s="90">
        <f t="shared" si="47"/>
        <v>77772109.160000011</v>
      </c>
      <c r="AA162" s="86">
        <v>18662138.402554922</v>
      </c>
      <c r="AB162" s="86">
        <v>12807918.526641842</v>
      </c>
      <c r="AC162" s="86">
        <v>7796411.5854290398</v>
      </c>
      <c r="AD162" s="86">
        <v>7034200.4194895998</v>
      </c>
      <c r="AE162" s="86">
        <v>0</v>
      </c>
      <c r="AF162" s="86"/>
      <c r="AG162" s="86">
        <v>897798.66553440015</v>
      </c>
      <c r="AH162" s="86">
        <v>0</v>
      </c>
      <c r="AI162" s="86">
        <v>0</v>
      </c>
      <c r="AJ162" s="86">
        <v>0</v>
      </c>
      <c r="AK162" s="86">
        <v>0</v>
      </c>
      <c r="AL162" s="86">
        <v>20784690.663111482</v>
      </c>
      <c r="AM162" s="86">
        <v>7524575.8236000016</v>
      </c>
      <c r="AN162" s="85">
        <v>777721.09159999993</v>
      </c>
      <c r="AO162" s="91">
        <v>1486653.9820387203</v>
      </c>
      <c r="AP162" s="84">
        <f>+N162-'Приложение №2'!E162</f>
        <v>0</v>
      </c>
      <c r="AQ162" s="89">
        <v>4641267.93</v>
      </c>
      <c r="AR162" s="89">
        <f>+(K162*13.29+L162*22.52)*12*0.85</f>
        <v>1109292.7583999999</v>
      </c>
      <c r="AS162" s="89">
        <v>24677621.41</v>
      </c>
      <c r="AT162" s="29">
        <f t="shared" si="44"/>
        <v>0</v>
      </c>
    </row>
    <row r="163" spans="1:51" x14ac:dyDescent="0.25">
      <c r="A163" s="76">
        <f t="shared" ref="A163:B163" si="50">+A162+1</f>
        <v>147</v>
      </c>
      <c r="B163" s="77">
        <f t="shared" si="50"/>
        <v>147</v>
      </c>
      <c r="C163" s="77" t="s">
        <v>50</v>
      </c>
      <c r="D163" s="77" t="s">
        <v>248</v>
      </c>
      <c r="E163" s="78">
        <v>1992</v>
      </c>
      <c r="F163" s="78">
        <v>2015</v>
      </c>
      <c r="G163" s="78" t="s">
        <v>44</v>
      </c>
      <c r="H163" s="78">
        <v>9</v>
      </c>
      <c r="I163" s="78">
        <v>3</v>
      </c>
      <c r="J163" s="44">
        <v>6872</v>
      </c>
      <c r="K163" s="44">
        <v>6094.4</v>
      </c>
      <c r="L163" s="44">
        <v>0</v>
      </c>
      <c r="M163" s="79">
        <v>259</v>
      </c>
      <c r="N163" s="129">
        <f t="shared" ref="N163:N194" si="51">+P163+Q163+R163+S163+T163</f>
        <v>9962928.3052925188</v>
      </c>
      <c r="O163" s="44"/>
      <c r="P163" s="162">
        <f>[8]Лист1!$I$152+[8]Лист1!$I$189</f>
        <v>5994717.7699999996</v>
      </c>
      <c r="Q163" s="162"/>
      <c r="R163" s="162"/>
      <c r="S163" s="162">
        <f>+'Приложение №2'!E163-'Приложение №1'!P163-'Приложение №1'!R163-'Приложение №1'!T163</f>
        <v>3968210.5352925193</v>
      </c>
      <c r="T163" s="161"/>
      <c r="U163" s="68">
        <f t="shared" si="46"/>
        <v>1634.7677056465805</v>
      </c>
      <c r="V163" s="68">
        <f t="shared" si="46"/>
        <v>1634.7677056465805</v>
      </c>
      <c r="W163" s="80">
        <v>2022</v>
      </c>
      <c r="X163" s="29" t="e">
        <f>+#REF!-'[1]Приложение №1'!$P829</f>
        <v>#REF!</v>
      </c>
      <c r="Y163" s="1" t="s">
        <v>549</v>
      </c>
      <c r="Z163" s="31">
        <f t="shared" si="47"/>
        <v>58070573.899999999</v>
      </c>
      <c r="AA163" s="27">
        <v>13934572.418976301</v>
      </c>
      <c r="AB163" s="27">
        <v>9563366.4457228798</v>
      </c>
      <c r="AC163" s="27">
        <v>5821394.0711791199</v>
      </c>
      <c r="AD163" s="27">
        <v>5252269.220784599</v>
      </c>
      <c r="AE163" s="27">
        <v>0</v>
      </c>
      <c r="AF163" s="27"/>
      <c r="AG163" s="27">
        <v>670364.7917232</v>
      </c>
      <c r="AH163" s="27">
        <v>0</v>
      </c>
      <c r="AI163" s="27">
        <v>0</v>
      </c>
      <c r="AJ163" s="27">
        <v>0</v>
      </c>
      <c r="AK163" s="27">
        <v>0</v>
      </c>
      <c r="AL163" s="27">
        <v>15519431.430770401</v>
      </c>
      <c r="AM163" s="27">
        <v>5618420.8085000012</v>
      </c>
      <c r="AN163" s="32">
        <v>580705.73900000006</v>
      </c>
      <c r="AO163" s="33">
        <v>1110048.9733435002</v>
      </c>
      <c r="AP163" s="84">
        <f>+N163-'Приложение №2'!E163</f>
        <v>0</v>
      </c>
      <c r="AQ163" s="1">
        <f>3336709.09-263343.45</f>
        <v>3073365.6399999997</v>
      </c>
      <c r="AR163" s="1">
        <f>+(K163*13.29+L163*22.52)*12*0.85</f>
        <v>826144.67519999982</v>
      </c>
      <c r="AS163" s="1">
        <f>+(K163*13.29+L163*22.52)*12*30-1442656.44</f>
        <v>27715390.919999991</v>
      </c>
      <c r="AT163" s="29">
        <f t="shared" si="44"/>
        <v>-23747180.384707473</v>
      </c>
    </row>
    <row r="164" spans="1:51" x14ac:dyDescent="0.25">
      <c r="A164" s="76">
        <f t="shared" ref="A164:B164" si="52">+A163+1</f>
        <v>148</v>
      </c>
      <c r="B164" s="77">
        <f t="shared" si="52"/>
        <v>148</v>
      </c>
      <c r="C164" s="77" t="s">
        <v>50</v>
      </c>
      <c r="D164" s="77" t="s">
        <v>250</v>
      </c>
      <c r="E164" s="78">
        <v>1984</v>
      </c>
      <c r="F164" s="78">
        <v>2013</v>
      </c>
      <c r="G164" s="78" t="s">
        <v>44</v>
      </c>
      <c r="H164" s="78">
        <v>9</v>
      </c>
      <c r="I164" s="78">
        <v>2</v>
      </c>
      <c r="J164" s="44">
        <v>8198.7000000000007</v>
      </c>
      <c r="K164" s="44">
        <v>7324.41</v>
      </c>
      <c r="L164" s="44">
        <v>0</v>
      </c>
      <c r="M164" s="79">
        <v>272</v>
      </c>
      <c r="N164" s="129">
        <f t="shared" si="51"/>
        <v>53790180.380000003</v>
      </c>
      <c r="O164" s="44"/>
      <c r="P164" s="162">
        <v>10676631.48</v>
      </c>
      <c r="Q164" s="162"/>
      <c r="R164" s="162">
        <v>1088675.32</v>
      </c>
      <c r="S164" s="162">
        <f>+'Приложение №2'!E164-'Приложение №1'!P164-'Приложение №1'!R164-'Приложение №1'!T164</f>
        <v>30794766.453999996</v>
      </c>
      <c r="T164" s="161">
        <v>11230107.126000009</v>
      </c>
      <c r="U164" s="68">
        <f t="shared" si="46"/>
        <v>7343.9608623766289</v>
      </c>
      <c r="V164" s="68">
        <f t="shared" si="46"/>
        <v>7343.9608623766289</v>
      </c>
      <c r="W164" s="80">
        <v>2022</v>
      </c>
      <c r="X164" s="29" t="e">
        <f>+#REF!-'[1]Приложение №1'!$P831</f>
        <v>#REF!</v>
      </c>
      <c r="Z164" s="31">
        <f t="shared" si="47"/>
        <v>153375371.99000001</v>
      </c>
      <c r="AA164" s="27">
        <v>16985175.195665035</v>
      </c>
      <c r="AB164" s="27">
        <v>11657010.324734461</v>
      </c>
      <c r="AC164" s="27">
        <v>7095832.9536935398</v>
      </c>
      <c r="AD164" s="27">
        <v>6402113.40647172</v>
      </c>
      <c r="AE164" s="27">
        <v>0</v>
      </c>
      <c r="AF164" s="27"/>
      <c r="AG164" s="27">
        <v>817123.27375728008</v>
      </c>
      <c r="AH164" s="27">
        <v>0</v>
      </c>
      <c r="AI164" s="27">
        <v>0</v>
      </c>
      <c r="AJ164" s="27">
        <v>0</v>
      </c>
      <c r="AK164" s="27">
        <v>71933654.736292869</v>
      </c>
      <c r="AL164" s="27">
        <v>18916996.795183621</v>
      </c>
      <c r="AM164" s="27">
        <v>15107603.671900002</v>
      </c>
      <c r="AN164" s="32">
        <v>1533753.7199000001</v>
      </c>
      <c r="AO164" s="33">
        <v>2926107.9124014801</v>
      </c>
      <c r="AP164" s="84">
        <f>+N164-'Приложение №2'!E164</f>
        <v>0</v>
      </c>
      <c r="AQ164" s="1">
        <f>4296548.24-1633012.98</f>
        <v>2663535.2600000002</v>
      </c>
      <c r="AR164" s="1">
        <f>+(K164*13.29+L164*22.52)*12*0.85</f>
        <v>992882.37078</v>
      </c>
      <c r="AS164" s="1">
        <f>+(K164*13.29+L164*22.52)*12*30-4248140.75</f>
        <v>30794766.453999996</v>
      </c>
      <c r="AT164" s="29">
        <f t="shared" si="44"/>
        <v>0</v>
      </c>
    </row>
    <row r="165" spans="1:51" x14ac:dyDescent="0.25">
      <c r="A165" s="76">
        <f t="shared" ref="A165:B165" si="53">+A164+1</f>
        <v>149</v>
      </c>
      <c r="B165" s="77">
        <f t="shared" si="53"/>
        <v>149</v>
      </c>
      <c r="C165" s="77" t="s">
        <v>50</v>
      </c>
      <c r="D165" s="77" t="s">
        <v>425</v>
      </c>
      <c r="E165" s="78">
        <v>1981</v>
      </c>
      <c r="F165" s="78">
        <v>2012</v>
      </c>
      <c r="G165" s="78" t="s">
        <v>44</v>
      </c>
      <c r="H165" s="78">
        <v>5</v>
      </c>
      <c r="I165" s="78">
        <v>7</v>
      </c>
      <c r="J165" s="44">
        <v>6927.5</v>
      </c>
      <c r="K165" s="44">
        <v>5314.16</v>
      </c>
      <c r="L165" s="44">
        <v>83.1</v>
      </c>
      <c r="M165" s="79">
        <v>173</v>
      </c>
      <c r="N165" s="129">
        <f t="shared" si="51"/>
        <v>17169391.084560137</v>
      </c>
      <c r="O165" s="44"/>
      <c r="P165" s="162">
        <f>681444.46-[3]Лист1!$I$11</f>
        <v>0</v>
      </c>
      <c r="Q165" s="162"/>
      <c r="R165" s="162">
        <v>1307532.44</v>
      </c>
      <c r="S165" s="162">
        <f>+'Приложение №2'!E165-'Приложение №1'!P165-'Приложение №1'!Q165-'Приложение №1'!R165</f>
        <v>15861858.644560138</v>
      </c>
      <c r="T165" s="161">
        <f>+'Приложение №2'!E165-'Приложение №1'!P165-'Приложение №1'!Q165-'Приложение №1'!R165-'Приложение №1'!S165</f>
        <v>0</v>
      </c>
      <c r="U165" s="68">
        <f t="shared" si="46"/>
        <v>3181.1309969429185</v>
      </c>
      <c r="V165" s="68">
        <f t="shared" si="46"/>
        <v>3181.1309969429185</v>
      </c>
      <c r="W165" s="80">
        <v>2022</v>
      </c>
      <c r="X165" s="29" t="e">
        <f>+#REF!-'[1]Приложение №1'!$P1205</f>
        <v>#REF!</v>
      </c>
      <c r="Z165" s="31">
        <f t="shared" si="47"/>
        <v>106077568.56999999</v>
      </c>
      <c r="AA165" s="27">
        <v>18055119.95713608</v>
      </c>
      <c r="AB165" s="27">
        <v>0</v>
      </c>
      <c r="AC165" s="27">
        <v>0</v>
      </c>
      <c r="AD165" s="27">
        <v>4330714.8848485211</v>
      </c>
      <c r="AE165" s="27">
        <v>0</v>
      </c>
      <c r="AF165" s="27"/>
      <c r="AG165" s="27">
        <v>0</v>
      </c>
      <c r="AH165" s="27">
        <v>0</v>
      </c>
      <c r="AI165" s="27">
        <v>33967503.6578262</v>
      </c>
      <c r="AJ165" s="27">
        <v>0</v>
      </c>
      <c r="AK165" s="27">
        <v>17636148.100577578</v>
      </c>
      <c r="AL165" s="27">
        <v>19022357.136998877</v>
      </c>
      <c r="AM165" s="27">
        <v>9970968.5052000005</v>
      </c>
      <c r="AN165" s="32">
        <v>1060775.6857</v>
      </c>
      <c r="AO165" s="33">
        <v>2033980.6417127401</v>
      </c>
      <c r="AP165" s="84">
        <f>+N165-'Приложение №2'!E165</f>
        <v>0</v>
      </c>
      <c r="AQ165" s="1">
        <v>2353388.21</v>
      </c>
      <c r="AR165" s="1">
        <f>+(K165*10+L165*20)*12*0.85</f>
        <v>558996.72</v>
      </c>
      <c r="AS165" s="1">
        <f>+(K165*10+L165*20)*12*30</f>
        <v>19729296</v>
      </c>
      <c r="AT165" s="29">
        <f t="shared" si="44"/>
        <v>-3867437.3554398622</v>
      </c>
    </row>
    <row r="166" spans="1:51" x14ac:dyDescent="0.25">
      <c r="A166" s="76">
        <f t="shared" ref="A166:B166" si="54">+A165+1</f>
        <v>150</v>
      </c>
      <c r="B166" s="77">
        <f t="shared" si="54"/>
        <v>150</v>
      </c>
      <c r="C166" s="77" t="s">
        <v>50</v>
      </c>
      <c r="D166" s="77" t="s">
        <v>252</v>
      </c>
      <c r="E166" s="78">
        <v>1993</v>
      </c>
      <c r="F166" s="78">
        <v>2014</v>
      </c>
      <c r="G166" s="78" t="s">
        <v>44</v>
      </c>
      <c r="H166" s="78">
        <v>9</v>
      </c>
      <c r="I166" s="78">
        <v>1</v>
      </c>
      <c r="J166" s="44">
        <v>2553.4</v>
      </c>
      <c r="K166" s="44">
        <v>2128.8000000000002</v>
      </c>
      <c r="L166" s="44">
        <v>0</v>
      </c>
      <c r="M166" s="79">
        <v>78</v>
      </c>
      <c r="N166" s="129">
        <f t="shared" si="51"/>
        <v>1160745.41417932</v>
      </c>
      <c r="O166" s="44"/>
      <c r="P166" s="162"/>
      <c r="Q166" s="162"/>
      <c r="R166" s="162">
        <v>597799.18099999998</v>
      </c>
      <c r="S166" s="162">
        <f>+'Приложение №2'!E166-'Приложение №1'!P166-'Приложение №1'!Q166-'Приложение №1'!R166</f>
        <v>562946.23317932</v>
      </c>
      <c r="T166" s="161">
        <f>+'Приложение №2'!E166-'Приложение №1'!P166-'Приложение №1'!Q166-'Приложение №1'!R166-'Приложение №1'!S166</f>
        <v>0</v>
      </c>
      <c r="U166" s="68">
        <f t="shared" si="46"/>
        <v>545.25808633000747</v>
      </c>
      <c r="V166" s="68">
        <f t="shared" si="46"/>
        <v>545.25808633000747</v>
      </c>
      <c r="W166" s="80">
        <v>2022</v>
      </c>
      <c r="X166" s="29" t="e">
        <f>+#REF!-'[1]Приложение №1'!$P833</f>
        <v>#REF!</v>
      </c>
      <c r="Z166" s="31">
        <f t="shared" si="47"/>
        <v>44395710.680000007</v>
      </c>
      <c r="AA166" s="27">
        <v>4916492.8733411394</v>
      </c>
      <c r="AB166" s="27">
        <v>3374213.5460846401</v>
      </c>
      <c r="AC166" s="27">
        <v>2053944.7940944801</v>
      </c>
      <c r="AD166" s="27">
        <v>1853142.2046320401</v>
      </c>
      <c r="AE166" s="27">
        <v>0</v>
      </c>
      <c r="AF166" s="27"/>
      <c r="AG166" s="27">
        <v>236522.77397279997</v>
      </c>
      <c r="AH166" s="27">
        <v>0</v>
      </c>
      <c r="AI166" s="27">
        <v>0</v>
      </c>
      <c r="AJ166" s="27">
        <v>0</v>
      </c>
      <c r="AK166" s="27">
        <v>20821763.508175142</v>
      </c>
      <c r="AL166" s="27">
        <v>5475673.8714455394</v>
      </c>
      <c r="AM166" s="27">
        <v>4373014.9959000014</v>
      </c>
      <c r="AN166" s="32">
        <v>443957.10680000001</v>
      </c>
      <c r="AO166" s="33">
        <v>846985.00555422006</v>
      </c>
      <c r="AP166" s="84">
        <f>+N166-'Приложение №2'!E166</f>
        <v>0</v>
      </c>
      <c r="AQ166" s="1">
        <f>1103126.79-79353.74-714183.7328</f>
        <v>309589.31720000005</v>
      </c>
      <c r="AR166" s="1">
        <f>+(K166*13.29+L166*22.52)*12*0.85</f>
        <v>288575.87039999996</v>
      </c>
      <c r="AS166" s="1">
        <f>+(K166*13.29+L166*22.52)*12*30-300950.5-2600695.91</f>
        <v>7283384.3099999987</v>
      </c>
      <c r="AT166" s="29">
        <f t="shared" si="44"/>
        <v>-6720438.076820679</v>
      </c>
    </row>
    <row r="167" spans="1:51" x14ac:dyDescent="0.25">
      <c r="A167" s="76">
        <f t="shared" ref="A167:B167" si="55">+A166+1</f>
        <v>151</v>
      </c>
      <c r="B167" s="77">
        <f t="shared" si="55"/>
        <v>151</v>
      </c>
      <c r="C167" s="77" t="s">
        <v>50</v>
      </c>
      <c r="D167" s="77" t="s">
        <v>426</v>
      </c>
      <c r="E167" s="78">
        <v>1972</v>
      </c>
      <c r="F167" s="78">
        <v>2013</v>
      </c>
      <c r="G167" s="78" t="s">
        <v>44</v>
      </c>
      <c r="H167" s="78">
        <v>4</v>
      </c>
      <c r="I167" s="78">
        <v>6</v>
      </c>
      <c r="J167" s="44">
        <v>4437.8999999999996</v>
      </c>
      <c r="K167" s="44">
        <v>4088.2</v>
      </c>
      <c r="L167" s="44">
        <v>0</v>
      </c>
      <c r="M167" s="79">
        <v>207</v>
      </c>
      <c r="N167" s="129">
        <f t="shared" si="51"/>
        <v>8066054.8088218002</v>
      </c>
      <c r="O167" s="44"/>
      <c r="P167" s="162">
        <v>2746655.59</v>
      </c>
      <c r="Q167" s="162"/>
      <c r="R167" s="162">
        <v>501539.16</v>
      </c>
      <c r="S167" s="162">
        <f>+'Приложение №2'!E167-'Приложение №1'!P167-'Приложение №1'!Q167-'Приложение №1'!R167</f>
        <v>4817860.0588218002</v>
      </c>
      <c r="T167" s="161">
        <f>+'Приложение №2'!E167-'Приложение №1'!P167-'Приложение №1'!Q167-'Приложение №1'!R167-'Приложение №1'!S167</f>
        <v>0</v>
      </c>
      <c r="U167" s="68">
        <f t="shared" si="46"/>
        <v>1973.0088569105719</v>
      </c>
      <c r="V167" s="68">
        <f t="shared" si="46"/>
        <v>1973.0088569105719</v>
      </c>
      <c r="W167" s="80">
        <v>2022</v>
      </c>
      <c r="X167" s="29" t="e">
        <f>+#REF!-'[1]Приложение №1'!$P1223</f>
        <v>#REF!</v>
      </c>
      <c r="Z167" s="31">
        <f t="shared" si="47"/>
        <v>26371012.292399999</v>
      </c>
      <c r="AA167" s="27">
        <v>12305507</v>
      </c>
      <c r="AB167" s="27">
        <v>4288000.4889749996</v>
      </c>
      <c r="AC167" s="27">
        <v>4479954.2738714404</v>
      </c>
      <c r="AD167" s="27">
        <v>3127291</v>
      </c>
      <c r="AE167" s="27">
        <v>0</v>
      </c>
      <c r="AF167" s="27"/>
      <c r="AG167" s="27">
        <v>386031.94970675994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1122564.2276999999</v>
      </c>
      <c r="AN167" s="32">
        <v>134247.94030000002</v>
      </c>
      <c r="AO167" s="33">
        <v>527415.41184680001</v>
      </c>
      <c r="AP167" s="84">
        <f>+N167-'Приложение №2'!E167</f>
        <v>0</v>
      </c>
      <c r="AQ167" s="1">
        <v>1932968.35</v>
      </c>
      <c r="AR167" s="1">
        <f t="shared" ref="AR167:AR202" si="56">+(K167*10+L167*20)*12*0.85</f>
        <v>416996.39999999997</v>
      </c>
      <c r="AS167" s="1">
        <f t="shared" ref="AS167:AS175" si="57">+(K167*10+L167*20)*12*30</f>
        <v>14717520</v>
      </c>
      <c r="AT167" s="29">
        <f t="shared" si="44"/>
        <v>-9899659.9411781989</v>
      </c>
    </row>
    <row r="168" spans="1:51" x14ac:dyDescent="0.25">
      <c r="A168" s="76">
        <f t="shared" ref="A168:B168" si="58">+A167+1</f>
        <v>152</v>
      </c>
      <c r="B168" s="77">
        <f t="shared" si="58"/>
        <v>152</v>
      </c>
      <c r="C168" s="77" t="s">
        <v>103</v>
      </c>
      <c r="D168" s="77" t="s">
        <v>428</v>
      </c>
      <c r="E168" s="78">
        <v>1985</v>
      </c>
      <c r="F168" s="78">
        <v>1985</v>
      </c>
      <c r="G168" s="78" t="s">
        <v>44</v>
      </c>
      <c r="H168" s="78">
        <v>5</v>
      </c>
      <c r="I168" s="78">
        <v>4</v>
      </c>
      <c r="J168" s="44">
        <v>4957.5</v>
      </c>
      <c r="K168" s="44">
        <v>4305.3999999999996</v>
      </c>
      <c r="L168" s="44">
        <v>651.20000000000005</v>
      </c>
      <c r="M168" s="79">
        <v>166</v>
      </c>
      <c r="N168" s="129">
        <f t="shared" si="51"/>
        <v>10316811.362920118</v>
      </c>
      <c r="O168" s="44"/>
      <c r="P168" s="162"/>
      <c r="Q168" s="162"/>
      <c r="R168" s="162">
        <v>2359386</v>
      </c>
      <c r="S168" s="162">
        <f>+'Приложение №2'!E168-'Приложение №1'!P168-'Приложение №1'!Q168-'Приложение №1'!R168</f>
        <v>7957425.3629201185</v>
      </c>
      <c r="T168" s="161">
        <f>+'Приложение №2'!E168-'Приложение №1'!P168-'Приложение №1'!Q168-'Приложение №1'!R168-'Приложение №1'!S168</f>
        <v>0</v>
      </c>
      <c r="U168" s="68">
        <f t="shared" si="46"/>
        <v>2081.429076972142</v>
      </c>
      <c r="V168" s="68">
        <f t="shared" si="46"/>
        <v>2081.429076972142</v>
      </c>
      <c r="W168" s="80">
        <v>2022</v>
      </c>
      <c r="X168" s="29" t="e">
        <f>+#REF!-'[1]Приложение №1'!$P1399</f>
        <v>#REF!</v>
      </c>
      <c r="Z168" s="31">
        <f t="shared" si="47"/>
        <v>19423335.669999994</v>
      </c>
      <c r="AA168" s="27">
        <v>12305784.620476618</v>
      </c>
      <c r="AB168" s="27">
        <v>4512564.0806433605</v>
      </c>
      <c r="AC168" s="27">
        <v>0</v>
      </c>
      <c r="AD168" s="27">
        <v>0</v>
      </c>
      <c r="AE168" s="27">
        <v>0</v>
      </c>
      <c r="AF168" s="27"/>
      <c r="AG168" s="27">
        <v>406248.53806487995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1627838.0182</v>
      </c>
      <c r="AN168" s="32">
        <v>194233.35670000003</v>
      </c>
      <c r="AO168" s="33">
        <v>376667.05591514008</v>
      </c>
      <c r="AP168" s="84">
        <f>+N168-'Приложение №2'!E168</f>
        <v>0</v>
      </c>
      <c r="AQ168" s="1">
        <v>2028653.94</v>
      </c>
      <c r="AR168" s="1">
        <f t="shared" si="56"/>
        <v>571995.6</v>
      </c>
      <c r="AS168" s="1">
        <f t="shared" si="57"/>
        <v>20188080</v>
      </c>
      <c r="AT168" s="29">
        <f t="shared" si="44"/>
        <v>-12230654.637079882</v>
      </c>
    </row>
    <row r="169" spans="1:51" x14ac:dyDescent="0.25">
      <c r="A169" s="76">
        <f t="shared" ref="A169:B169" si="59">+A168+1</f>
        <v>153</v>
      </c>
      <c r="B169" s="77">
        <f t="shared" si="59"/>
        <v>153</v>
      </c>
      <c r="C169" s="77" t="s">
        <v>103</v>
      </c>
      <c r="D169" s="77" t="s">
        <v>429</v>
      </c>
      <c r="E169" s="78">
        <v>1988</v>
      </c>
      <c r="F169" s="78">
        <v>1988</v>
      </c>
      <c r="G169" s="78" t="s">
        <v>44</v>
      </c>
      <c r="H169" s="78">
        <v>5</v>
      </c>
      <c r="I169" s="78">
        <v>4</v>
      </c>
      <c r="J169" s="44">
        <v>5038.3999999999996</v>
      </c>
      <c r="K169" s="44">
        <v>3442.8</v>
      </c>
      <c r="L169" s="44">
        <v>1586</v>
      </c>
      <c r="M169" s="79">
        <v>156</v>
      </c>
      <c r="N169" s="129">
        <f t="shared" si="51"/>
        <v>10050452.1841392</v>
      </c>
      <c r="O169" s="44"/>
      <c r="P169" s="162"/>
      <c r="Q169" s="162"/>
      <c r="R169" s="162">
        <v>2876903.01</v>
      </c>
      <c r="S169" s="162">
        <f>+'Приложение №2'!E169-'Приложение №1'!P169-'Приложение №1'!Q169-'Приложение №1'!R169</f>
        <v>7173549.1741391998</v>
      </c>
      <c r="T169" s="161">
        <f>+'Приложение №2'!E169-'Приложение №1'!P169-'Приложение №1'!Q169-'Приложение №1'!R169-'Приложение №1'!S169</f>
        <v>0</v>
      </c>
      <c r="U169" s="68">
        <f t="shared" si="46"/>
        <v>1998.5786239538656</v>
      </c>
      <c r="V169" s="68">
        <f t="shared" si="46"/>
        <v>1998.5786239538656</v>
      </c>
      <c r="W169" s="80">
        <v>2022</v>
      </c>
      <c r="X169" s="29" t="e">
        <f>+#REF!-'[1]Приложение №1'!$P1216</f>
        <v>#REF!</v>
      </c>
      <c r="Z169" s="31">
        <f t="shared" si="47"/>
        <v>50851543.909999996</v>
      </c>
      <c r="AA169" s="27">
        <v>12240570.226002298</v>
      </c>
      <c r="AB169" s="27">
        <v>4488649.7915120395</v>
      </c>
      <c r="AC169" s="27">
        <v>4689585.7163009401</v>
      </c>
      <c r="AD169" s="27">
        <v>0</v>
      </c>
      <c r="AE169" s="27">
        <v>0</v>
      </c>
      <c r="AF169" s="27"/>
      <c r="AG169" s="27">
        <v>404095.62569795997</v>
      </c>
      <c r="AH169" s="27">
        <v>0</v>
      </c>
      <c r="AI169" s="27">
        <v>23028460.340860799</v>
      </c>
      <c r="AJ169" s="27">
        <v>0</v>
      </c>
      <c r="AK169" s="27">
        <v>0</v>
      </c>
      <c r="AL169" s="27">
        <v>0</v>
      </c>
      <c r="AM169" s="27">
        <v>4510858.3295000009</v>
      </c>
      <c r="AN169" s="32">
        <v>508515.43910000008</v>
      </c>
      <c r="AO169" s="33">
        <v>980808.44102596026</v>
      </c>
      <c r="AP169" s="84">
        <f>+N169-'Приложение №2'!E169</f>
        <v>0</v>
      </c>
      <c r="AQ169" s="1">
        <v>2748459.05</v>
      </c>
      <c r="AR169" s="1">
        <f t="shared" si="56"/>
        <v>674709.6</v>
      </c>
      <c r="AS169" s="1">
        <f t="shared" si="57"/>
        <v>23813280</v>
      </c>
      <c r="AT169" s="29">
        <f t="shared" si="44"/>
        <v>-16639730.8258608</v>
      </c>
    </row>
    <row r="170" spans="1:51" x14ac:dyDescent="0.25">
      <c r="A170" s="76">
        <f t="shared" ref="A170:B170" si="60">+A169+1</f>
        <v>154</v>
      </c>
      <c r="B170" s="77">
        <f t="shared" si="60"/>
        <v>154</v>
      </c>
      <c r="C170" s="77" t="s">
        <v>103</v>
      </c>
      <c r="D170" s="77" t="s">
        <v>434</v>
      </c>
      <c r="E170" s="78">
        <v>1986</v>
      </c>
      <c r="F170" s="78">
        <v>1986</v>
      </c>
      <c r="G170" s="78" t="s">
        <v>44</v>
      </c>
      <c r="H170" s="78">
        <v>5</v>
      </c>
      <c r="I170" s="78">
        <v>4</v>
      </c>
      <c r="J170" s="44">
        <v>4691.8999999999996</v>
      </c>
      <c r="K170" s="44">
        <v>4321.1000000000004</v>
      </c>
      <c r="L170" s="44">
        <v>298</v>
      </c>
      <c r="M170" s="79">
        <v>195</v>
      </c>
      <c r="N170" s="72">
        <f t="shared" si="51"/>
        <v>17029022.68593052</v>
      </c>
      <c r="O170" s="44"/>
      <c r="P170" s="162">
        <f>2000000+3030178.26</f>
        <v>5030178.26</v>
      </c>
      <c r="Q170" s="162"/>
      <c r="R170" s="162">
        <v>1064681.94</v>
      </c>
      <c r="S170" s="162">
        <f>+'Приложение №2'!E170-'Приложение №1'!P170-'Приложение №1'!Q170-'Приложение №1'!R170</f>
        <v>10934162.485930521</v>
      </c>
      <c r="T170" s="162"/>
      <c r="U170" s="44">
        <f t="shared" si="46"/>
        <v>3686.6538256219869</v>
      </c>
      <c r="V170" s="44">
        <f t="shared" si="46"/>
        <v>3686.6538256219869</v>
      </c>
      <c r="W170" s="80">
        <v>2022</v>
      </c>
      <c r="X170" s="29" t="e">
        <f>+#REF!-'[1]Приложение №1'!$P1364</f>
        <v>#REF!</v>
      </c>
      <c r="Z170" s="31">
        <f t="shared" si="47"/>
        <v>19513628.469999999</v>
      </c>
      <c r="AA170" s="27">
        <v>12362990.22966462</v>
      </c>
      <c r="AB170" s="27">
        <v>4533541.53030576</v>
      </c>
      <c r="AC170" s="27">
        <v>0</v>
      </c>
      <c r="AD170" s="27">
        <v>0</v>
      </c>
      <c r="AE170" s="27">
        <v>0</v>
      </c>
      <c r="AF170" s="27"/>
      <c r="AG170" s="27">
        <v>408137.05600247998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1635405.3101999999</v>
      </c>
      <c r="AN170" s="32">
        <v>195136.28469999999</v>
      </c>
      <c r="AO170" s="33">
        <v>378418.05912714003</v>
      </c>
      <c r="AP170" s="84">
        <f>+N170-'Приложение №2'!E170</f>
        <v>0</v>
      </c>
      <c r="AQ170" s="1">
        <v>1886055.9</v>
      </c>
      <c r="AR170" s="1">
        <f t="shared" si="56"/>
        <v>501544.2</v>
      </c>
      <c r="AS170" s="1">
        <f>+(K170*10+L170*20)*12*30</f>
        <v>17701560</v>
      </c>
      <c r="AT170" s="29">
        <f t="shared" si="44"/>
        <v>-6767397.514069479</v>
      </c>
      <c r="AU170" s="29">
        <f>+P170-'[6]Приложение №1'!$P149</f>
        <v>5030178.26</v>
      </c>
      <c r="AV170" s="29">
        <f>+Q170-'[6]Приложение №1'!$Q149</f>
        <v>0</v>
      </c>
      <c r="AW170" s="29">
        <f>+R170-'[6]Приложение №1'!$R149</f>
        <v>859727.48</v>
      </c>
      <c r="AX170" s="29">
        <f>+S170-'[6]Приложение №1'!$S149</f>
        <v>10863570.735930521</v>
      </c>
      <c r="AY170" s="29">
        <f>+T170-'[6]Приложение №1'!$T149</f>
        <v>0</v>
      </c>
    </row>
    <row r="171" spans="1:51" x14ac:dyDescent="0.25">
      <c r="A171" s="76">
        <f t="shared" ref="A171:B171" si="61">+A170+1</f>
        <v>155</v>
      </c>
      <c r="B171" s="77">
        <f t="shared" si="61"/>
        <v>155</v>
      </c>
      <c r="C171" s="77" t="s">
        <v>520</v>
      </c>
      <c r="D171" s="77" t="s">
        <v>521</v>
      </c>
      <c r="E171" s="78">
        <v>1994</v>
      </c>
      <c r="F171" s="78">
        <v>1994</v>
      </c>
      <c r="G171" s="78" t="s">
        <v>44</v>
      </c>
      <c r="H171" s="78">
        <v>2</v>
      </c>
      <c r="I171" s="78">
        <v>2</v>
      </c>
      <c r="J171" s="44">
        <v>1089.5</v>
      </c>
      <c r="K171" s="44">
        <v>978.3</v>
      </c>
      <c r="L171" s="44">
        <v>0</v>
      </c>
      <c r="M171" s="79">
        <v>43</v>
      </c>
      <c r="N171" s="129">
        <f t="shared" si="51"/>
        <v>650224.417044</v>
      </c>
      <c r="O171" s="44"/>
      <c r="P171" s="162">
        <v>327001.24</v>
      </c>
      <c r="Q171" s="162"/>
      <c r="R171" s="162">
        <v>252886.06000000006</v>
      </c>
      <c r="S171" s="162">
        <v>35183.907044000051</v>
      </c>
      <c r="T171" s="161">
        <f>+'Приложение №2'!E171-'Приложение №1'!P171-'Приложение №1'!Q171-'Приложение №1'!R171-'Приложение №1'!S171</f>
        <v>35153.210000000021</v>
      </c>
      <c r="U171" s="68">
        <f t="shared" si="46"/>
        <v>664.64726264336093</v>
      </c>
      <c r="V171" s="68">
        <f t="shared" si="46"/>
        <v>664.64726264336093</v>
      </c>
      <c r="W171" s="80">
        <v>2022</v>
      </c>
      <c r="X171" s="29" t="e">
        <f>+#REF!-'[1]Приложение №1'!$P1242</f>
        <v>#REF!</v>
      </c>
      <c r="Z171" s="31">
        <f t="shared" si="47"/>
        <v>593748.16</v>
      </c>
      <c r="AA171" s="27">
        <v>0</v>
      </c>
      <c r="AB171" s="27">
        <v>0</v>
      </c>
      <c r="AC171" s="27">
        <v>0</v>
      </c>
      <c r="AD171" s="27">
        <v>0</v>
      </c>
      <c r="AE171" s="27">
        <v>543023.63295600004</v>
      </c>
      <c r="AF171" s="27"/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34646.21</v>
      </c>
      <c r="AN171" s="27">
        <v>4203.49</v>
      </c>
      <c r="AO171" s="33">
        <v>11874.827044000001</v>
      </c>
      <c r="AP171" s="84">
        <f>+N171-'Приложение №2'!E171</f>
        <v>0</v>
      </c>
      <c r="AQ171" s="1">
        <v>431386</v>
      </c>
      <c r="AR171" s="1">
        <f t="shared" si="56"/>
        <v>99786.599999999991</v>
      </c>
      <c r="AS171" s="1">
        <f t="shared" si="57"/>
        <v>3521880</v>
      </c>
      <c r="AT171" s="29">
        <f t="shared" si="44"/>
        <v>-3486696.092956</v>
      </c>
    </row>
    <row r="172" spans="1:51" x14ac:dyDescent="0.25">
      <c r="A172" s="76">
        <f t="shared" ref="A172:B172" si="62">+A171+1</f>
        <v>156</v>
      </c>
      <c r="B172" s="77">
        <f t="shared" si="62"/>
        <v>156</v>
      </c>
      <c r="C172" s="77" t="s">
        <v>253</v>
      </c>
      <c r="D172" s="77" t="s">
        <v>522</v>
      </c>
      <c r="E172" s="78">
        <v>1982</v>
      </c>
      <c r="F172" s="78">
        <v>1982</v>
      </c>
      <c r="G172" s="78" t="s">
        <v>44</v>
      </c>
      <c r="H172" s="78">
        <v>5</v>
      </c>
      <c r="I172" s="78">
        <v>1</v>
      </c>
      <c r="J172" s="44">
        <v>982.9</v>
      </c>
      <c r="K172" s="44">
        <v>982.9</v>
      </c>
      <c r="L172" s="44">
        <v>0</v>
      </c>
      <c r="M172" s="79">
        <v>23</v>
      </c>
      <c r="N172" s="72">
        <f t="shared" si="51"/>
        <v>3842006.1097638123</v>
      </c>
      <c r="O172" s="44"/>
      <c r="P172" s="162"/>
      <c r="Q172" s="162"/>
      <c r="R172" s="162">
        <v>310089.55</v>
      </c>
      <c r="S172" s="162">
        <f>+'Приложение №2'!E172-'Приложение №1'!P172-'Приложение №1'!R172</f>
        <v>3531916.5597638125</v>
      </c>
      <c r="T172" s="162">
        <f>+'Приложение №2'!E172-'Приложение №1'!P172-'Приложение №1'!Q172-'Приложение №1'!R172-'Приложение №1'!S172</f>
        <v>0</v>
      </c>
      <c r="U172" s="44">
        <f t="shared" si="46"/>
        <v>3908.8474003090978</v>
      </c>
      <c r="V172" s="44">
        <f t="shared" si="46"/>
        <v>3908.8474003090978</v>
      </c>
      <c r="W172" s="80">
        <v>2022</v>
      </c>
      <c r="X172" s="29" t="e">
        <f>+#REF!-'[1]Приложение №1'!$P1602</f>
        <v>#REF!</v>
      </c>
      <c r="Z172" s="31">
        <f t="shared" si="47"/>
        <v>25846647.639999997</v>
      </c>
      <c r="AA172" s="27">
        <v>3015626.05896552</v>
      </c>
      <c r="AB172" s="27">
        <v>1381996.98965328</v>
      </c>
      <c r="AC172" s="27">
        <v>1398423.8962755599</v>
      </c>
      <c r="AD172" s="27">
        <v>910108.47884880006</v>
      </c>
      <c r="AE172" s="27">
        <v>0</v>
      </c>
      <c r="AF172" s="27"/>
      <c r="AG172" s="27">
        <v>91642.682540640002</v>
      </c>
      <c r="AH172" s="27">
        <v>0</v>
      </c>
      <c r="AI172" s="27">
        <v>7209302.2726031998</v>
      </c>
      <c r="AJ172" s="27">
        <v>0</v>
      </c>
      <c r="AK172" s="27">
        <v>3664064.3373272396</v>
      </c>
      <c r="AL172" s="27">
        <v>4963125.4813509602</v>
      </c>
      <c r="AM172" s="27">
        <v>2458924.8816</v>
      </c>
      <c r="AN172" s="32">
        <v>258466.47640000001</v>
      </c>
      <c r="AO172" s="33">
        <v>494966.08443480008</v>
      </c>
      <c r="AP172" s="84">
        <f>+N172-'Приложение №2'!E172</f>
        <v>0</v>
      </c>
      <c r="AQ172" s="29">
        <f>344430.27</f>
        <v>344430.27</v>
      </c>
      <c r="AR172" s="1">
        <f t="shared" si="56"/>
        <v>100255.8</v>
      </c>
      <c r="AS172" s="1">
        <f t="shared" si="57"/>
        <v>3538440</v>
      </c>
      <c r="AT172" s="29">
        <f t="shared" si="44"/>
        <v>-6523.44023618754</v>
      </c>
    </row>
    <row r="173" spans="1:51" x14ac:dyDescent="0.25">
      <c r="A173" s="76">
        <f t="shared" ref="A173:B173" si="63">+A172+1</f>
        <v>157</v>
      </c>
      <c r="B173" s="77">
        <f t="shared" si="63"/>
        <v>157</v>
      </c>
      <c r="C173" s="77" t="s">
        <v>253</v>
      </c>
      <c r="D173" s="77" t="s">
        <v>437</v>
      </c>
      <c r="E173" s="78">
        <v>1979</v>
      </c>
      <c r="F173" s="78">
        <v>2013</v>
      </c>
      <c r="G173" s="78" t="s">
        <v>44</v>
      </c>
      <c r="H173" s="78">
        <v>4</v>
      </c>
      <c r="I173" s="78">
        <v>2</v>
      </c>
      <c r="J173" s="44">
        <v>1304.3</v>
      </c>
      <c r="K173" s="44">
        <v>1304.3</v>
      </c>
      <c r="L173" s="44">
        <v>0</v>
      </c>
      <c r="M173" s="79">
        <v>47</v>
      </c>
      <c r="N173" s="72">
        <f t="shared" si="51"/>
        <v>2326131.7975841798</v>
      </c>
      <c r="O173" s="44"/>
      <c r="P173" s="162"/>
      <c r="Q173" s="162"/>
      <c r="R173" s="162">
        <v>446256.02</v>
      </c>
      <c r="S173" s="162">
        <f>+'Приложение №2'!E173-'Приложение №1'!P173-'Приложение №1'!R173</f>
        <v>1879875.7775841798</v>
      </c>
      <c r="T173" s="162">
        <f>+'Приложение №2'!E173-'Приложение №1'!P173-'Приложение №1'!Q173-'Приложение №1'!R173-'Приложение №1'!S173</f>
        <v>0</v>
      </c>
      <c r="U173" s="44">
        <f t="shared" si="46"/>
        <v>1783.4331040283523</v>
      </c>
      <c r="V173" s="44">
        <f t="shared" si="46"/>
        <v>1783.4331040283523</v>
      </c>
      <c r="W173" s="80">
        <v>2022</v>
      </c>
      <c r="X173" s="29" t="e">
        <f>+#REF!-'[1]Приложение №1'!$P1221</f>
        <v>#REF!</v>
      </c>
      <c r="Z173" s="31">
        <f t="shared" si="47"/>
        <v>28614187.700000003</v>
      </c>
      <c r="AA173" s="27">
        <v>0</v>
      </c>
      <c r="AB173" s="27">
        <v>0</v>
      </c>
      <c r="AC173" s="27">
        <v>1925825.0481519001</v>
      </c>
      <c r="AD173" s="27">
        <v>1253346.5063616</v>
      </c>
      <c r="AE173" s="27">
        <v>0</v>
      </c>
      <c r="AF173" s="27"/>
      <c r="AG173" s="27">
        <v>0</v>
      </c>
      <c r="AH173" s="27">
        <v>0</v>
      </c>
      <c r="AI173" s="27">
        <v>9928216.292715</v>
      </c>
      <c r="AJ173" s="27">
        <v>0</v>
      </c>
      <c r="AK173" s="27">
        <v>5045928.4281096598</v>
      </c>
      <c r="AL173" s="27">
        <v>6834917.0833343398</v>
      </c>
      <c r="AM173" s="27">
        <v>2793370.4105000002</v>
      </c>
      <c r="AN173" s="32">
        <v>286141.87699999998</v>
      </c>
      <c r="AO173" s="33">
        <v>546442.05382749997</v>
      </c>
      <c r="AP173" s="84">
        <f>+N173-'Приложение №2'!E173</f>
        <v>0</v>
      </c>
      <c r="AQ173" s="29">
        <f>505122.22</f>
        <v>505122.22</v>
      </c>
      <c r="AR173" s="1">
        <f t="shared" si="56"/>
        <v>133038.6</v>
      </c>
      <c r="AS173" s="1">
        <f t="shared" si="57"/>
        <v>4695480</v>
      </c>
      <c r="AT173" s="29">
        <f t="shared" si="44"/>
        <v>-2815604.2224158202</v>
      </c>
    </row>
    <row r="174" spans="1:51" x14ac:dyDescent="0.25">
      <c r="A174" s="76">
        <f t="shared" ref="A174:B174" si="64">+A173+1</f>
        <v>158</v>
      </c>
      <c r="B174" s="77">
        <f t="shared" si="64"/>
        <v>158</v>
      </c>
      <c r="C174" s="77" t="s">
        <v>253</v>
      </c>
      <c r="D174" s="77" t="s">
        <v>436</v>
      </c>
      <c r="E174" s="78">
        <v>1989</v>
      </c>
      <c r="F174" s="78">
        <v>2013</v>
      </c>
      <c r="G174" s="78" t="s">
        <v>44</v>
      </c>
      <c r="H174" s="78">
        <v>5</v>
      </c>
      <c r="I174" s="78">
        <v>3</v>
      </c>
      <c r="J174" s="44">
        <v>2867.1</v>
      </c>
      <c r="K174" s="44">
        <v>2862</v>
      </c>
      <c r="L174" s="44">
        <v>0</v>
      </c>
      <c r="M174" s="79">
        <v>82</v>
      </c>
      <c r="N174" s="72">
        <f t="shared" si="51"/>
        <v>1546028.3117803601</v>
      </c>
      <c r="O174" s="44"/>
      <c r="P174" s="162"/>
      <c r="Q174" s="162"/>
      <c r="R174" s="162">
        <f>+'Приложение №2'!E174-'Приложение №1'!P174</f>
        <v>1546028.3117803601</v>
      </c>
      <c r="S174" s="162"/>
      <c r="T174" s="162"/>
      <c r="U174" s="44">
        <f t="shared" si="46"/>
        <v>540.19158343129277</v>
      </c>
      <c r="V174" s="44">
        <f t="shared" si="46"/>
        <v>540.19158343129277</v>
      </c>
      <c r="W174" s="80">
        <v>2022</v>
      </c>
      <c r="X174" s="29" t="e">
        <f>+#REF!-'[1]Приложение №1'!$P1235</f>
        <v>#REF!</v>
      </c>
      <c r="Z174" s="31">
        <f t="shared" si="47"/>
        <v>8541004.8900000006</v>
      </c>
      <c r="AA174" s="27">
        <v>0</v>
      </c>
      <c r="AB174" s="27">
        <v>0</v>
      </c>
      <c r="AC174" s="27">
        <v>4445034.5403198004</v>
      </c>
      <c r="AD174" s="27">
        <v>2892873.6360392398</v>
      </c>
      <c r="AE174" s="27">
        <v>0</v>
      </c>
      <c r="AF174" s="27"/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957221.47470000014</v>
      </c>
      <c r="AN174" s="32">
        <v>85410.048900000009</v>
      </c>
      <c r="AO174" s="33">
        <v>160465.19004096001</v>
      </c>
      <c r="AP174" s="84">
        <f>+N174-'Приложение №2'!E174</f>
        <v>0</v>
      </c>
      <c r="AQ174" s="1">
        <v>853930.16</v>
      </c>
      <c r="AR174" s="1">
        <f t="shared" si="56"/>
        <v>291924</v>
      </c>
      <c r="AS174" s="1">
        <f t="shared" si="57"/>
        <v>10303200</v>
      </c>
      <c r="AT174" s="29">
        <f t="shared" si="44"/>
        <v>-10303200</v>
      </c>
    </row>
    <row r="175" spans="1:51" x14ac:dyDescent="0.25">
      <c r="A175" s="76">
        <f t="shared" ref="A175:B175" si="65">+A174+1</f>
        <v>159</v>
      </c>
      <c r="B175" s="77">
        <f t="shared" si="65"/>
        <v>159</v>
      </c>
      <c r="C175" s="77" t="s">
        <v>259</v>
      </c>
      <c r="D175" s="77" t="s">
        <v>442</v>
      </c>
      <c r="E175" s="78">
        <v>1972</v>
      </c>
      <c r="F175" s="78">
        <v>1984</v>
      </c>
      <c r="G175" s="78" t="s">
        <v>44</v>
      </c>
      <c r="H175" s="78">
        <v>4</v>
      </c>
      <c r="I175" s="78">
        <v>2</v>
      </c>
      <c r="J175" s="44">
        <v>1930.2</v>
      </c>
      <c r="K175" s="44">
        <v>1800.4</v>
      </c>
      <c r="L175" s="44">
        <v>0</v>
      </c>
      <c r="M175" s="79">
        <v>51</v>
      </c>
      <c r="N175" s="129">
        <f t="shared" si="51"/>
        <v>15304875.67834428</v>
      </c>
      <c r="O175" s="44"/>
      <c r="P175" s="162">
        <v>3669216.29</v>
      </c>
      <c r="Q175" s="162"/>
      <c r="R175" s="162">
        <f>+AQ175+AR175</f>
        <v>820153.92999999993</v>
      </c>
      <c r="S175" s="162">
        <f>+AS175</f>
        <v>6481440</v>
      </c>
      <c r="T175" s="161">
        <f>+'Приложение №2'!E175-'Приложение №1'!P175-'Приложение №1'!Q175-'Приложение №1'!R175-'Приложение №1'!S175</f>
        <v>4334065.4583442807</v>
      </c>
      <c r="U175" s="68">
        <f t="shared" si="46"/>
        <v>8500.8196391603415</v>
      </c>
      <c r="V175" s="68">
        <f t="shared" si="46"/>
        <v>8500.8196391603415</v>
      </c>
      <c r="W175" s="80">
        <v>2022</v>
      </c>
      <c r="X175" s="29" t="e">
        <f>+#REF!-'[1]Приложение №1'!$P1261</f>
        <v>#REF!</v>
      </c>
      <c r="Z175" s="31">
        <f t="shared" si="47"/>
        <v>29490722.483319998</v>
      </c>
      <c r="AA175" s="27">
        <v>3709825.8866268601</v>
      </c>
      <c r="AB175" s="27">
        <v>1713921.9573709802</v>
      </c>
      <c r="AC175" s="27">
        <v>1736279.30300328</v>
      </c>
      <c r="AD175" s="27">
        <v>1121604.8779529999</v>
      </c>
      <c r="AE175" s="27">
        <v>0</v>
      </c>
      <c r="AF175" s="27"/>
      <c r="AG175" s="27">
        <v>0</v>
      </c>
      <c r="AH175" s="27">
        <v>0</v>
      </c>
      <c r="AI175" s="27">
        <v>8717365.728174597</v>
      </c>
      <c r="AJ175" s="27">
        <v>0</v>
      </c>
      <c r="AK175" s="27">
        <v>4503240.0913058994</v>
      </c>
      <c r="AL175" s="27">
        <v>4830668.1100000003</v>
      </c>
      <c r="AM175" s="27">
        <v>2380364.9164</v>
      </c>
      <c r="AN175" s="32">
        <v>273293.73689999996</v>
      </c>
      <c r="AO175" s="33">
        <v>504157.87558537989</v>
      </c>
      <c r="AP175" s="84">
        <f>+N175-'Приложение №2'!E175</f>
        <v>0</v>
      </c>
      <c r="AQ175" s="1">
        <v>636513.13</v>
      </c>
      <c r="AR175" s="1">
        <f t="shared" si="56"/>
        <v>183640.8</v>
      </c>
      <c r="AS175" s="1">
        <f t="shared" si="57"/>
        <v>6481440</v>
      </c>
      <c r="AT175" s="29">
        <f t="shared" si="44"/>
        <v>0</v>
      </c>
    </row>
    <row r="176" spans="1:51" x14ac:dyDescent="0.25">
      <c r="A176" s="76">
        <f t="shared" ref="A176:B176" si="66">+A175+1</f>
        <v>160</v>
      </c>
      <c r="B176" s="77">
        <f t="shared" si="66"/>
        <v>160</v>
      </c>
      <c r="C176" s="77" t="s">
        <v>260</v>
      </c>
      <c r="D176" s="77" t="s">
        <v>261</v>
      </c>
      <c r="E176" s="78">
        <v>1986</v>
      </c>
      <c r="F176" s="78">
        <v>1986</v>
      </c>
      <c r="G176" s="78" t="s">
        <v>44</v>
      </c>
      <c r="H176" s="78">
        <v>2</v>
      </c>
      <c r="I176" s="78">
        <v>3</v>
      </c>
      <c r="J176" s="44">
        <v>946.5</v>
      </c>
      <c r="K176" s="44">
        <v>797.7</v>
      </c>
      <c r="L176" s="44">
        <v>0</v>
      </c>
      <c r="M176" s="79">
        <v>25</v>
      </c>
      <c r="N176" s="129">
        <f t="shared" si="51"/>
        <v>4147111.6458220007</v>
      </c>
      <c r="O176" s="44"/>
      <c r="P176" s="162">
        <v>1957073.0933333335</v>
      </c>
      <c r="Q176" s="162"/>
      <c r="R176" s="162">
        <v>202536.72</v>
      </c>
      <c r="S176" s="162">
        <v>1050861.08</v>
      </c>
      <c r="T176" s="161">
        <v>936640.75248866691</v>
      </c>
      <c r="U176" s="68">
        <f t="shared" si="46"/>
        <v>5198.8362113852327</v>
      </c>
      <c r="V176" s="68">
        <f t="shared" si="46"/>
        <v>5198.8362113852327</v>
      </c>
      <c r="W176" s="80">
        <v>2022</v>
      </c>
      <c r="X176" s="29" t="e">
        <f>+#REF!-'[1]Приложение №1'!$P1702</f>
        <v>#REF!</v>
      </c>
      <c r="Z176" s="31">
        <f t="shared" si="47"/>
        <v>7124617.0800000001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/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6205213.7442943193</v>
      </c>
      <c r="AM176" s="27">
        <v>712461.7080000001</v>
      </c>
      <c r="AN176" s="32">
        <v>71246.170800000007</v>
      </c>
      <c r="AO176" s="33">
        <v>135695.45690567998</v>
      </c>
      <c r="AP176" s="84">
        <f>+N176-'Приложение №2'!E176</f>
        <v>0</v>
      </c>
      <c r="AQ176" s="1">
        <f>309904.68-196260.96</f>
        <v>113643.72</v>
      </c>
      <c r="AR176" s="1">
        <f t="shared" si="56"/>
        <v>81365.399999999994</v>
      </c>
      <c r="AS176" s="1">
        <f>+(K176*10+L176*20)*12*30-2086538.92</f>
        <v>785181.08000000007</v>
      </c>
      <c r="AT176" s="29">
        <f t="shared" si="44"/>
        <v>265680</v>
      </c>
    </row>
    <row r="177" spans="1:46" x14ac:dyDescent="0.25">
      <c r="A177" s="76">
        <f t="shared" ref="A177:B177" si="67">+A176+1</f>
        <v>161</v>
      </c>
      <c r="B177" s="77">
        <f t="shared" si="67"/>
        <v>161</v>
      </c>
      <c r="C177" s="77" t="s">
        <v>260</v>
      </c>
      <c r="D177" s="77" t="s">
        <v>444</v>
      </c>
      <c r="E177" s="78">
        <v>1986</v>
      </c>
      <c r="F177" s="78">
        <v>1986</v>
      </c>
      <c r="G177" s="78" t="s">
        <v>44</v>
      </c>
      <c r="H177" s="78">
        <v>4</v>
      </c>
      <c r="I177" s="78">
        <v>4</v>
      </c>
      <c r="J177" s="44">
        <v>3420.4</v>
      </c>
      <c r="K177" s="44">
        <v>2641.9</v>
      </c>
      <c r="L177" s="44">
        <v>0</v>
      </c>
      <c r="M177" s="79">
        <v>102</v>
      </c>
      <c r="N177" s="129">
        <f t="shared" si="51"/>
        <v>7160735.1737979995</v>
      </c>
      <c r="O177" s="44"/>
      <c r="P177" s="162"/>
      <c r="Q177" s="162"/>
      <c r="R177" s="162">
        <v>1164386.93</v>
      </c>
      <c r="S177" s="162">
        <f>+'Приложение №2'!E177-'Приложение №1'!P177-'Приложение №1'!Q177-'Приложение №1'!R177</f>
        <v>5996348.2437979998</v>
      </c>
      <c r="T177" s="161">
        <f>+'Приложение №2'!E177-'Приложение №1'!P177-'Приложение №1'!Q177-'Приложение №1'!R177-'Приложение №1'!S177</f>
        <v>0</v>
      </c>
      <c r="U177" s="68">
        <f t="shared" si="46"/>
        <v>2710.4489851235849</v>
      </c>
      <c r="V177" s="68">
        <f t="shared" si="46"/>
        <v>2710.4489851235849</v>
      </c>
      <c r="W177" s="80">
        <v>2022</v>
      </c>
      <c r="X177" s="29" t="e">
        <f>+#REF!-'[1]Приложение №1'!$P1015</f>
        <v>#REF!</v>
      </c>
      <c r="Z177" s="31">
        <f t="shared" si="47"/>
        <v>21968812.859999999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/>
      <c r="AG177" s="27">
        <v>0</v>
      </c>
      <c r="AH177" s="27">
        <v>0</v>
      </c>
      <c r="AI177" s="27">
        <v>12571294.6707264</v>
      </c>
      <c r="AJ177" s="27">
        <v>0</v>
      </c>
      <c r="AK177" s="27">
        <v>0</v>
      </c>
      <c r="AL177" s="27">
        <v>6702211.8168390002</v>
      </c>
      <c r="AM177" s="27">
        <v>2054145.6924000001</v>
      </c>
      <c r="AN177" s="32">
        <v>219688.1286</v>
      </c>
      <c r="AO177" s="33">
        <v>421472.55143459997</v>
      </c>
      <c r="AP177" s="84">
        <f>+N177-'Приложение №2'!E177</f>
        <v>0</v>
      </c>
      <c r="AQ177" s="1">
        <v>1184809.02</v>
      </c>
      <c r="AR177" s="1">
        <f t="shared" si="56"/>
        <v>269473.8</v>
      </c>
      <c r="AS177" s="1">
        <f t="shared" ref="AS177:AS192" si="68">+(K177*10+L177*20)*12*30</f>
        <v>9510840</v>
      </c>
      <c r="AT177" s="29">
        <f t="shared" si="44"/>
        <v>-3514491.7562020002</v>
      </c>
    </row>
    <row r="178" spans="1:46" x14ac:dyDescent="0.25">
      <c r="A178" s="76">
        <f t="shared" ref="A178:B178" si="69">+A177+1</f>
        <v>162</v>
      </c>
      <c r="B178" s="77">
        <f t="shared" si="69"/>
        <v>162</v>
      </c>
      <c r="C178" s="77" t="s">
        <v>260</v>
      </c>
      <c r="D178" s="77" t="s">
        <v>445</v>
      </c>
      <c r="E178" s="78">
        <v>2001</v>
      </c>
      <c r="F178" s="78">
        <v>2001</v>
      </c>
      <c r="G178" s="78" t="s">
        <v>44</v>
      </c>
      <c r="H178" s="78">
        <v>4</v>
      </c>
      <c r="I178" s="78">
        <v>4</v>
      </c>
      <c r="J178" s="44">
        <v>1999.2</v>
      </c>
      <c r="K178" s="44">
        <v>1458.9</v>
      </c>
      <c r="L178" s="44">
        <v>314.60000000000002</v>
      </c>
      <c r="M178" s="79">
        <v>57</v>
      </c>
      <c r="N178" s="129">
        <f t="shared" si="51"/>
        <v>5095856.215392</v>
      </c>
      <c r="O178" s="44"/>
      <c r="P178" s="162"/>
      <c r="Q178" s="162"/>
      <c r="R178" s="162">
        <f>+AQ178+AR178</f>
        <v>1064233.07</v>
      </c>
      <c r="S178" s="162">
        <f>+'Приложение №2'!E178-'Приложение №1'!P178-'Приложение №1'!Q178-'Приложение №1'!R178</f>
        <v>4031623.1453919997</v>
      </c>
      <c r="T178" s="161">
        <f>+'Приложение №2'!E178-'Приложение №1'!P178-'Приложение №1'!Q178-'Приложение №1'!R178-'Приложение №1'!S178</f>
        <v>0</v>
      </c>
      <c r="U178" s="68">
        <f t="shared" si="46"/>
        <v>2873.3330788790527</v>
      </c>
      <c r="V178" s="68">
        <f t="shared" si="46"/>
        <v>2873.3330788790527</v>
      </c>
      <c r="W178" s="80">
        <v>2022</v>
      </c>
      <c r="X178" s="29" t="e">
        <f>+#REF!-'[1]Приложение №1'!$P1271</f>
        <v>#REF!</v>
      </c>
      <c r="Z178" s="31">
        <f t="shared" si="47"/>
        <v>9558548.6999999993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/>
      <c r="AG178" s="27">
        <v>0</v>
      </c>
      <c r="AH178" s="27">
        <v>0</v>
      </c>
      <c r="AI178" s="27">
        <v>8418596.1820379999</v>
      </c>
      <c r="AJ178" s="27">
        <v>0</v>
      </c>
      <c r="AK178" s="27">
        <v>0</v>
      </c>
      <c r="AL178" s="27">
        <v>0</v>
      </c>
      <c r="AM178" s="27">
        <v>860269.38299999991</v>
      </c>
      <c r="AN178" s="32">
        <v>95585.486999999994</v>
      </c>
      <c r="AO178" s="33">
        <v>184097.64796199999</v>
      </c>
      <c r="AP178" s="84">
        <f>+N178-'Приложение №2'!E178</f>
        <v>0</v>
      </c>
      <c r="AQ178" s="1">
        <v>851246.87</v>
      </c>
      <c r="AR178" s="1">
        <f t="shared" si="56"/>
        <v>212986.19999999998</v>
      </c>
      <c r="AS178" s="1">
        <f t="shared" si="68"/>
        <v>7517160</v>
      </c>
      <c r="AT178" s="29">
        <f t="shared" si="44"/>
        <v>-3485536.8546080003</v>
      </c>
    </row>
    <row r="179" spans="1:46" x14ac:dyDescent="0.25">
      <c r="A179" s="76">
        <f t="shared" ref="A179:B179" si="70">+A178+1</f>
        <v>163</v>
      </c>
      <c r="B179" s="77">
        <f t="shared" si="70"/>
        <v>163</v>
      </c>
      <c r="C179" s="77" t="s">
        <v>542</v>
      </c>
      <c r="D179" s="77" t="s">
        <v>687</v>
      </c>
      <c r="E179" s="78">
        <v>1988</v>
      </c>
      <c r="F179" s="78">
        <v>2011</v>
      </c>
      <c r="G179" s="78" t="s">
        <v>51</v>
      </c>
      <c r="H179" s="78">
        <v>4</v>
      </c>
      <c r="I179" s="78">
        <v>4</v>
      </c>
      <c r="J179" s="44">
        <v>4417.0200000000004</v>
      </c>
      <c r="K179" s="44">
        <v>3086.82</v>
      </c>
      <c r="L179" s="44">
        <v>1330.2</v>
      </c>
      <c r="M179" s="79">
        <v>138</v>
      </c>
      <c r="N179" s="129">
        <f t="shared" si="51"/>
        <v>5878693.8685020199</v>
      </c>
      <c r="O179" s="44"/>
      <c r="P179" s="162">
        <v>4957331.04</v>
      </c>
      <c r="Q179" s="162"/>
      <c r="R179" s="162">
        <f>+'Приложение №2'!E179-'Приложение №1'!P179</f>
        <v>921362.82850201987</v>
      </c>
      <c r="S179" s="162">
        <v>0</v>
      </c>
      <c r="T179" s="161">
        <f>+'Приложение №2'!E179-'Приложение №1'!P179-'Приложение №1'!Q179-'Приложение №1'!R179-'Приложение №1'!S179</f>
        <v>0</v>
      </c>
      <c r="U179" s="68">
        <f t="shared" si="46"/>
        <v>1330.9185533463781</v>
      </c>
      <c r="V179" s="68">
        <f t="shared" si="46"/>
        <v>1330.9185533463781</v>
      </c>
      <c r="W179" s="80">
        <v>2022</v>
      </c>
      <c r="X179" s="29" t="e">
        <f>+#REF!-'[1]Приложение №1'!$P1281</f>
        <v>#REF!</v>
      </c>
      <c r="Z179" s="31">
        <f t="shared" si="47"/>
        <v>21715352.68</v>
      </c>
      <c r="AA179" s="27">
        <v>8884367.4585665986</v>
      </c>
      <c r="AB179" s="27">
        <v>0</v>
      </c>
      <c r="AC179" s="27">
        <v>5714558.3855451001</v>
      </c>
      <c r="AD179" s="27">
        <v>4357405.7316862792</v>
      </c>
      <c r="AE179" s="27">
        <v>0</v>
      </c>
      <c r="AF179" s="27"/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2127330.9989</v>
      </c>
      <c r="AN179" s="32">
        <v>217153.52679999999</v>
      </c>
      <c r="AO179" s="33">
        <v>414536.57850202004</v>
      </c>
      <c r="AP179" s="84">
        <f>+N179-'Приложение №2'!E179</f>
        <v>0</v>
      </c>
      <c r="AQ179" s="1">
        <v>1145113.48</v>
      </c>
      <c r="AR179" s="1">
        <f t="shared" si="56"/>
        <v>586216.43999999994</v>
      </c>
      <c r="AT179" s="29"/>
    </row>
    <row r="180" spans="1:46" s="35" customFormat="1" x14ac:dyDescent="0.25">
      <c r="A180" s="76">
        <f t="shared" ref="A180:B180" si="71">+A179+1</f>
        <v>164</v>
      </c>
      <c r="B180" s="77">
        <f t="shared" si="71"/>
        <v>164</v>
      </c>
      <c r="C180" s="77" t="s">
        <v>542</v>
      </c>
      <c r="D180" s="77" t="s">
        <v>679</v>
      </c>
      <c r="E180" s="78" t="s">
        <v>578</v>
      </c>
      <c r="F180" s="78"/>
      <c r="G180" s="78" t="s">
        <v>573</v>
      </c>
      <c r="H180" s="78" t="s">
        <v>579</v>
      </c>
      <c r="I180" s="78" t="s">
        <v>579</v>
      </c>
      <c r="J180" s="44">
        <v>4395.8500000000004</v>
      </c>
      <c r="K180" s="44">
        <v>3069.35</v>
      </c>
      <c r="L180" s="44">
        <v>1326.5</v>
      </c>
      <c r="M180" s="79">
        <v>146</v>
      </c>
      <c r="N180" s="129">
        <f t="shared" si="51"/>
        <v>29029624.603229266</v>
      </c>
      <c r="O180" s="44">
        <v>0</v>
      </c>
      <c r="P180" s="162">
        <v>26747489.989999998</v>
      </c>
      <c r="Q180" s="162">
        <v>0</v>
      </c>
      <c r="R180" s="162">
        <f>+AQ180+AR180</f>
        <v>1897179.8499999999</v>
      </c>
      <c r="S180" s="162"/>
      <c r="T180" s="161">
        <f>+'Приложение №2'!E180-'Приложение №1'!P180-'Приложение №1'!Q180-'Приложение №1'!R180-'Приложение №1'!S180</f>
        <v>384954.76322926744</v>
      </c>
      <c r="U180" s="68">
        <v>6486.13</v>
      </c>
      <c r="V180" s="68">
        <v>6486.13</v>
      </c>
      <c r="W180" s="80">
        <v>2022</v>
      </c>
      <c r="X180" s="35">
        <v>1133911.74</v>
      </c>
      <c r="Y180" s="35">
        <f>+(K180*9.1+L180*18.19)*12</f>
        <v>624721.44000000006</v>
      </c>
      <c r="AA180" s="36">
        <f>+N180-'[5]Приложение № 2'!E173</f>
        <v>27266076.923229266</v>
      </c>
      <c r="AD180" s="36">
        <f>+N180-'[5]Приложение № 2'!E173</f>
        <v>27266076.923229266</v>
      </c>
      <c r="AP180" s="84">
        <f>+N180-'Приложение №2'!E180</f>
        <v>0</v>
      </c>
      <c r="AQ180" s="35">
        <v>1313500.1499999999</v>
      </c>
      <c r="AR180" s="1">
        <f t="shared" si="56"/>
        <v>583679.69999999995</v>
      </c>
      <c r="AS180" s="1"/>
      <c r="AT180" s="29"/>
    </row>
    <row r="181" spans="1:46" s="35" customFormat="1" x14ac:dyDescent="0.25">
      <c r="A181" s="76">
        <f t="shared" ref="A181:B181" si="72">+A180+1</f>
        <v>165</v>
      </c>
      <c r="B181" s="77">
        <f t="shared" si="72"/>
        <v>165</v>
      </c>
      <c r="C181" s="77" t="s">
        <v>542</v>
      </c>
      <c r="D181" s="77" t="s">
        <v>680</v>
      </c>
      <c r="E181" s="78" t="s">
        <v>580</v>
      </c>
      <c r="F181" s="78"/>
      <c r="G181" s="78" t="s">
        <v>573</v>
      </c>
      <c r="H181" s="78" t="s">
        <v>579</v>
      </c>
      <c r="I181" s="78" t="s">
        <v>579</v>
      </c>
      <c r="J181" s="44">
        <v>4423.49</v>
      </c>
      <c r="K181" s="44">
        <v>3088.29</v>
      </c>
      <c r="L181" s="44">
        <v>1335.2</v>
      </c>
      <c r="M181" s="79">
        <v>130</v>
      </c>
      <c r="N181" s="129">
        <f t="shared" si="51"/>
        <v>20395305.887644947</v>
      </c>
      <c r="O181" s="44">
        <v>0</v>
      </c>
      <c r="P181" s="162">
        <v>18274358.620000001</v>
      </c>
      <c r="Q181" s="162">
        <v>0</v>
      </c>
      <c r="R181" s="162">
        <f>+AQ181+AR181</f>
        <v>1934814.5499999998</v>
      </c>
      <c r="S181" s="162"/>
      <c r="T181" s="161">
        <f>+'Приложение №2'!E181-'Приложение №1'!P181-'Приложение №1'!Q181-'Приложение №1'!R181-'Приложение №1'!S181</f>
        <v>186132.71764494572</v>
      </c>
      <c r="U181" s="68">
        <v>3634.91</v>
      </c>
      <c r="V181" s="68">
        <v>3634.91</v>
      </c>
      <c r="W181" s="80">
        <v>2022</v>
      </c>
      <c r="X181" s="35">
        <v>1155454.52</v>
      </c>
      <c r="Y181" s="35">
        <f>+(K181*9.1+L181*18.19)*12</f>
        <v>628688.72399999993</v>
      </c>
      <c r="AA181" s="36">
        <f>+N181-'[5]Приложение № 2'!E174</f>
        <v>18677461.237644948</v>
      </c>
      <c r="AD181" s="36">
        <f>+N181-'[5]Приложение № 2'!E174</f>
        <v>18677461.237644948</v>
      </c>
      <c r="AP181" s="84">
        <f>+N181-'Приложение №2'!E181</f>
        <v>0</v>
      </c>
      <c r="AQ181" s="35">
        <v>1347428.17</v>
      </c>
      <c r="AR181" s="1">
        <f t="shared" si="56"/>
        <v>587386.38</v>
      </c>
      <c r="AS181" s="1"/>
      <c r="AT181" s="29"/>
    </row>
    <row r="182" spans="1:46" x14ac:dyDescent="0.25">
      <c r="A182" s="76">
        <f t="shared" ref="A182:B182" si="73">+A181+1</f>
        <v>166</v>
      </c>
      <c r="B182" s="77">
        <f t="shared" si="73"/>
        <v>166</v>
      </c>
      <c r="C182" s="77" t="s">
        <v>542</v>
      </c>
      <c r="D182" s="77" t="s">
        <v>683</v>
      </c>
      <c r="E182" s="78">
        <v>1985</v>
      </c>
      <c r="F182" s="78">
        <v>2011</v>
      </c>
      <c r="G182" s="78" t="s">
        <v>51</v>
      </c>
      <c r="H182" s="78">
        <v>4</v>
      </c>
      <c r="I182" s="78">
        <v>4</v>
      </c>
      <c r="J182" s="44">
        <v>4469.6400000000003</v>
      </c>
      <c r="K182" s="44">
        <v>3113.04</v>
      </c>
      <c r="L182" s="44">
        <v>1356.6</v>
      </c>
      <c r="M182" s="79">
        <v>164</v>
      </c>
      <c r="N182" s="129">
        <f t="shared" si="51"/>
        <v>10151683.942115799</v>
      </c>
      <c r="O182" s="44"/>
      <c r="P182" s="162">
        <v>9504817.1999999993</v>
      </c>
      <c r="Q182" s="162"/>
      <c r="R182" s="162">
        <f>+'Приложение №2'!E182-'Приложение №1'!P182</f>
        <v>646866.74211579934</v>
      </c>
      <c r="S182" s="162">
        <f>+'Приложение №2'!E182-'Приложение №1'!P182-'Приложение №1'!Q182-'Приложение №1'!R182</f>
        <v>0</v>
      </c>
      <c r="T182" s="161">
        <f>+'Приложение №2'!E182-'Приложение №1'!P182-'Приложение №1'!Q182-'Приложение №1'!R182-'Приложение №1'!S182</f>
        <v>0</v>
      </c>
      <c r="U182" s="68">
        <f>$N182/($K182+$L182)</f>
        <v>2271.2531528525342</v>
      </c>
      <c r="V182" s="68">
        <f>$N182/($K182+$L182)</f>
        <v>2271.2531528525342</v>
      </c>
      <c r="W182" s="80">
        <v>2022</v>
      </c>
      <c r="X182" s="29" t="e">
        <f>+#REF!-'[1]Приложение №1'!$P885</f>
        <v>#REF!</v>
      </c>
      <c r="Z182" s="31">
        <f>SUM(AA182:AO182)</f>
        <v>18138776.329999998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/>
      <c r="AG182" s="27">
        <v>0</v>
      </c>
      <c r="AH182" s="27">
        <v>0</v>
      </c>
      <c r="AI182" s="27">
        <v>15975545.8648842</v>
      </c>
      <c r="AJ182" s="27">
        <v>0</v>
      </c>
      <c r="AK182" s="27">
        <v>0</v>
      </c>
      <c r="AL182" s="27">
        <v>0</v>
      </c>
      <c r="AM182" s="27">
        <v>1632489.8696999997</v>
      </c>
      <c r="AN182" s="32">
        <v>181387.76329999999</v>
      </c>
      <c r="AO182" s="33">
        <v>349352.8321158</v>
      </c>
      <c r="AP182" s="84">
        <f>+N182-'Приложение №2'!E182</f>
        <v>0</v>
      </c>
      <c r="AQ182" s="1">
        <v>1300474.5900000001</v>
      </c>
      <c r="AR182" s="1">
        <f t="shared" si="56"/>
        <v>594276.48</v>
      </c>
      <c r="AT182" s="29"/>
    </row>
    <row r="183" spans="1:46" s="35" customFormat="1" x14ac:dyDescent="0.25">
      <c r="A183" s="76">
        <f t="shared" ref="A183:B183" si="74">+A182+1</f>
        <v>167</v>
      </c>
      <c r="B183" s="77">
        <f t="shared" si="74"/>
        <v>167</v>
      </c>
      <c r="C183" s="77" t="s">
        <v>542</v>
      </c>
      <c r="D183" s="77" t="s">
        <v>681</v>
      </c>
      <c r="E183" s="78" t="s">
        <v>581</v>
      </c>
      <c r="F183" s="78"/>
      <c r="G183" s="78" t="s">
        <v>573</v>
      </c>
      <c r="H183" s="78" t="s">
        <v>582</v>
      </c>
      <c r="I183" s="78" t="s">
        <v>583</v>
      </c>
      <c r="J183" s="44">
        <v>8240.9</v>
      </c>
      <c r="K183" s="44">
        <v>5786.7</v>
      </c>
      <c r="L183" s="44">
        <v>2454.1999999999998</v>
      </c>
      <c r="M183" s="79">
        <v>268</v>
      </c>
      <c r="N183" s="129">
        <f t="shared" si="51"/>
        <v>17671817.467479024</v>
      </c>
      <c r="O183" s="44">
        <v>0</v>
      </c>
      <c r="P183" s="162">
        <v>14417927.800000001</v>
      </c>
      <c r="Q183" s="162">
        <v>0</v>
      </c>
      <c r="R183" s="162">
        <f>+'Приложение №2'!E183-'Приложение №1'!P183</f>
        <v>3253889.6674790233</v>
      </c>
      <c r="S183" s="162">
        <v>0</v>
      </c>
      <c r="T183" s="161">
        <f>+'Приложение №2'!E183-'Приложение №1'!P183-'Приложение №1'!Q183-'Приложение №1'!R183-'Приложение №1'!S183</f>
        <v>0</v>
      </c>
      <c r="U183" s="68">
        <v>4392.93</v>
      </c>
      <c r="V183" s="68">
        <v>4392.93</v>
      </c>
      <c r="W183" s="80">
        <v>2022</v>
      </c>
      <c r="X183" s="35">
        <v>1929907.35</v>
      </c>
      <c r="Y183" s="35">
        <f>+(K183*9.1+L183*18.19)*12</f>
        <v>1167610.4159999997</v>
      </c>
      <c r="AA183" s="36">
        <f>+N183-'[5]Приложение № 2'!E176</f>
        <v>17461779.077479023</v>
      </c>
      <c r="AD183" s="36">
        <f>+N183-'[5]Приложение № 2'!E176</f>
        <v>17461779.077479023</v>
      </c>
      <c r="AP183" s="84">
        <f>+N183-'Приложение №2'!E183</f>
        <v>0</v>
      </c>
      <c r="AQ183" s="35">
        <v>2221538.7000000002</v>
      </c>
      <c r="AR183" s="1">
        <f t="shared" si="56"/>
        <v>1090900.2</v>
      </c>
      <c r="AS183" s="1"/>
      <c r="AT183" s="29"/>
    </row>
    <row r="184" spans="1:46" s="35" customFormat="1" x14ac:dyDescent="0.25">
      <c r="A184" s="76">
        <f t="shared" ref="A184:B184" si="75">+A183+1</f>
        <v>168</v>
      </c>
      <c r="B184" s="77">
        <f t="shared" si="75"/>
        <v>168</v>
      </c>
      <c r="C184" s="77" t="s">
        <v>542</v>
      </c>
      <c r="D184" s="77" t="s">
        <v>682</v>
      </c>
      <c r="E184" s="78" t="s">
        <v>578</v>
      </c>
      <c r="F184" s="78"/>
      <c r="G184" s="78" t="s">
        <v>573</v>
      </c>
      <c r="H184" s="78" t="s">
        <v>582</v>
      </c>
      <c r="I184" s="78" t="s">
        <v>575</v>
      </c>
      <c r="J184" s="44">
        <v>3960.6</v>
      </c>
      <c r="K184" s="44">
        <v>2780.6</v>
      </c>
      <c r="L184" s="44">
        <v>1180</v>
      </c>
      <c r="M184" s="79">
        <v>132</v>
      </c>
      <c r="N184" s="129">
        <f t="shared" si="51"/>
        <v>11775966.67212354</v>
      </c>
      <c r="O184" s="44">
        <v>0</v>
      </c>
      <c r="P184" s="162">
        <v>10200845.67</v>
      </c>
      <c r="Q184" s="162">
        <v>0</v>
      </c>
      <c r="R184" s="162">
        <f>+'Приложение №2'!E184-'Приложение №1'!P184</f>
        <v>1575121.0021235403</v>
      </c>
      <c r="S184" s="162"/>
      <c r="T184" s="161">
        <f>+'Приложение №2'!E184-'Приложение №1'!P184-'Приложение №1'!Q184-'Приложение №1'!R184-'Приложение №1'!S184</f>
        <v>0</v>
      </c>
      <c r="U184" s="68">
        <v>4392.93</v>
      </c>
      <c r="V184" s="68">
        <v>4392.93</v>
      </c>
      <c r="W184" s="80">
        <v>2022</v>
      </c>
      <c r="X184" s="35">
        <v>1020826.36</v>
      </c>
      <c r="Y184" s="35">
        <f>+(K184*9.1+L184*18.19)*12</f>
        <v>561211.92000000004</v>
      </c>
      <c r="AA184" s="36">
        <f>+N184-'[5]Приложение № 2'!E177</f>
        <v>10980074.25212354</v>
      </c>
      <c r="AD184" s="36">
        <f>+N184-'[5]Приложение № 2'!E177</f>
        <v>10980074.25212354</v>
      </c>
      <c r="AP184" s="84">
        <f>+N184-'Приложение №2'!E184</f>
        <v>0</v>
      </c>
      <c r="AQ184" s="35">
        <v>1131381.5</v>
      </c>
      <c r="AR184" s="1">
        <f t="shared" si="56"/>
        <v>524341.19999999995</v>
      </c>
      <c r="AS184" s="1"/>
      <c r="AT184" s="29"/>
    </row>
    <row r="185" spans="1:46" s="35" customFormat="1" x14ac:dyDescent="0.25">
      <c r="A185" s="76">
        <f t="shared" ref="A185:B185" si="76">+A184+1</f>
        <v>169</v>
      </c>
      <c r="B185" s="77">
        <f t="shared" si="76"/>
        <v>169</v>
      </c>
      <c r="C185" s="77" t="s">
        <v>542</v>
      </c>
      <c r="D185" s="77" t="s">
        <v>684</v>
      </c>
      <c r="E185" s="78" t="s">
        <v>581</v>
      </c>
      <c r="F185" s="78"/>
      <c r="G185" s="78" t="s">
        <v>573</v>
      </c>
      <c r="H185" s="78" t="s">
        <v>582</v>
      </c>
      <c r="I185" s="78" t="s">
        <v>583</v>
      </c>
      <c r="J185" s="44">
        <v>8244.17</v>
      </c>
      <c r="K185" s="44">
        <v>5789.27</v>
      </c>
      <c r="L185" s="44">
        <v>2454.9</v>
      </c>
      <c r="M185" s="79">
        <v>264</v>
      </c>
      <c r="N185" s="129">
        <f t="shared" si="51"/>
        <v>22244636.410089906</v>
      </c>
      <c r="O185" s="44">
        <v>0</v>
      </c>
      <c r="P185" s="162">
        <v>18789721.559999999</v>
      </c>
      <c r="Q185" s="162">
        <v>0</v>
      </c>
      <c r="R185" s="162">
        <f>+AQ185+AR185</f>
        <v>3434678.95</v>
      </c>
      <c r="S185" s="162"/>
      <c r="T185" s="161">
        <f>+'Приложение №2'!E185-'Приложение №1'!P185-'Приложение №1'!Q185-'Приложение №1'!R185-'Приложение №1'!S185</f>
        <v>20235.90008990746</v>
      </c>
      <c r="U185" s="68">
        <v>4392.93</v>
      </c>
      <c r="V185" s="68">
        <v>4392.93</v>
      </c>
      <c r="W185" s="80">
        <v>2022</v>
      </c>
      <c r="X185" s="35">
        <v>1958964.9</v>
      </c>
      <c r="Y185" s="35">
        <f>+(K185*9.1+L185*18.19)*12</f>
        <v>1168043.8560000001</v>
      </c>
      <c r="AA185" s="36">
        <f>+N185-'[5]Приложение № 2'!E178</f>
        <v>21858612.290089905</v>
      </c>
      <c r="AD185" s="36">
        <f>+N185-'[5]Приложение № 2'!E178</f>
        <v>21858612.290089905</v>
      </c>
      <c r="AP185" s="84">
        <f>+N185-'Приложение №2'!E185</f>
        <v>0</v>
      </c>
      <c r="AQ185" s="35">
        <v>2343373.81</v>
      </c>
      <c r="AR185" s="1">
        <f t="shared" si="56"/>
        <v>1091305.1400000001</v>
      </c>
      <c r="AS185" s="1"/>
      <c r="AT185" s="29"/>
    </row>
    <row r="186" spans="1:46" s="35" customFormat="1" x14ac:dyDescent="0.25">
      <c r="A186" s="76">
        <f t="shared" ref="A186:B186" si="77">+A185+1</f>
        <v>170</v>
      </c>
      <c r="B186" s="77">
        <f t="shared" si="77"/>
        <v>170</v>
      </c>
      <c r="C186" s="77" t="s">
        <v>542</v>
      </c>
      <c r="D186" s="77" t="s">
        <v>685</v>
      </c>
      <c r="E186" s="78" t="s">
        <v>578</v>
      </c>
      <c r="F186" s="78"/>
      <c r="G186" s="78" t="s">
        <v>573</v>
      </c>
      <c r="H186" s="78" t="s">
        <v>582</v>
      </c>
      <c r="I186" s="78" t="s">
        <v>583</v>
      </c>
      <c r="J186" s="44">
        <v>8245.7000000000007</v>
      </c>
      <c r="K186" s="44">
        <v>5795.3</v>
      </c>
      <c r="L186" s="44">
        <v>2450.4</v>
      </c>
      <c r="M186" s="79">
        <v>271</v>
      </c>
      <c r="N186" s="129">
        <f t="shared" si="51"/>
        <v>22243618.238094788</v>
      </c>
      <c r="O186" s="44">
        <v>0</v>
      </c>
      <c r="P186" s="162">
        <v>18913345.629999999</v>
      </c>
      <c r="Q186" s="162">
        <v>0</v>
      </c>
      <c r="R186" s="162">
        <f>+'Приложение №2'!E186-'Приложение №1'!P186</f>
        <v>3330272.6080947891</v>
      </c>
      <c r="S186" s="162"/>
      <c r="T186" s="161">
        <f>+'Приложение №2'!E186-'Приложение №1'!P186-'Приложение №1'!Q186-'Приложение №1'!R186-'Приложение №1'!S186</f>
        <v>0</v>
      </c>
      <c r="U186" s="68">
        <v>4392.93</v>
      </c>
      <c r="V186" s="68">
        <v>4392.93</v>
      </c>
      <c r="W186" s="80">
        <v>2022</v>
      </c>
      <c r="X186" s="35">
        <v>1989915.91</v>
      </c>
      <c r="Y186" s="35">
        <f>+(K186*9.1+L186*18.19)*12</f>
        <v>1167720.0720000002</v>
      </c>
      <c r="AA186" s="36">
        <f>+N186-'[5]Приложение № 2'!E179</f>
        <v>21994489.818094786</v>
      </c>
      <c r="AD186" s="36">
        <f>+N186-'[5]Приложение № 2'!E179</f>
        <v>21994489.818094786</v>
      </c>
      <c r="AP186" s="84">
        <f>+N186-'Приложение №2'!E186</f>
        <v>0</v>
      </c>
      <c r="AQ186" s="35">
        <v>2258124.61</v>
      </c>
      <c r="AR186" s="1">
        <f t="shared" si="56"/>
        <v>1091002.2</v>
      </c>
      <c r="AS186" s="1"/>
      <c r="AT186" s="29"/>
    </row>
    <row r="187" spans="1:46" x14ac:dyDescent="0.25">
      <c r="A187" s="76">
        <f t="shared" ref="A187:B187" si="78">+A186+1</f>
        <v>171</v>
      </c>
      <c r="B187" s="77">
        <f t="shared" si="78"/>
        <v>171</v>
      </c>
      <c r="C187" s="77" t="s">
        <v>542</v>
      </c>
      <c r="D187" s="77" t="s">
        <v>686</v>
      </c>
      <c r="E187" s="78">
        <v>1989</v>
      </c>
      <c r="F187" s="78">
        <v>2011</v>
      </c>
      <c r="G187" s="78" t="s">
        <v>51</v>
      </c>
      <c r="H187" s="78">
        <v>5</v>
      </c>
      <c r="I187" s="78">
        <v>3</v>
      </c>
      <c r="J187" s="44">
        <v>4149.8500000000004</v>
      </c>
      <c r="K187" s="44">
        <v>2952.15</v>
      </c>
      <c r="L187" s="44">
        <v>1197.7</v>
      </c>
      <c r="M187" s="79">
        <v>135</v>
      </c>
      <c r="N187" s="129">
        <f t="shared" si="51"/>
        <v>3910954.3912454001</v>
      </c>
      <c r="O187" s="44"/>
      <c r="P187" s="162">
        <v>2786045.63</v>
      </c>
      <c r="Q187" s="162"/>
      <c r="R187" s="162">
        <f>+'Приложение №2'!E187-'Приложение №1'!P187</f>
        <v>1124908.7612454002</v>
      </c>
      <c r="S187" s="162">
        <f>+'Приложение №2'!E187-'Приложение №1'!P187-'Приложение №1'!Q187-'Приложение №1'!R187</f>
        <v>0</v>
      </c>
      <c r="T187" s="161">
        <f>+'Приложение №2'!E187-'Приложение №1'!P187-'Приложение №1'!Q187-'Приложение №1'!R187-'Приложение №1'!S187</f>
        <v>0</v>
      </c>
      <c r="U187" s="68">
        <f t="shared" ref="U187:V204" si="79">$N187/($K187+$L187)</f>
        <v>942.432712325843</v>
      </c>
      <c r="V187" s="68">
        <f t="shared" si="79"/>
        <v>942.432712325843</v>
      </c>
      <c r="W187" s="80">
        <v>2022</v>
      </c>
      <c r="X187" s="29" t="e">
        <f>+#REF!-'[1]Приложение №1'!$P1286</f>
        <v>#REF!</v>
      </c>
      <c r="Z187" s="31">
        <f t="shared" ref="Z187:Z202" si="80">SUM(AA187:AO187)</f>
        <v>9087777.0999999996</v>
      </c>
      <c r="AA187" s="27">
        <v>8092901.7897546003</v>
      </c>
      <c r="AB187" s="27">
        <v>0</v>
      </c>
      <c r="AC187" s="27">
        <v>0</v>
      </c>
      <c r="AD187" s="27">
        <v>0</v>
      </c>
      <c r="AE187" s="27">
        <v>0</v>
      </c>
      <c r="AF187" s="27"/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727022.16799999995</v>
      </c>
      <c r="AN187" s="32">
        <v>90877.770999999993</v>
      </c>
      <c r="AO187" s="33">
        <v>176975.37124540002</v>
      </c>
      <c r="AP187" s="84">
        <f>+N187-'Приложение №2'!E187</f>
        <v>0</v>
      </c>
      <c r="AQ187" s="1">
        <v>1238172.51</v>
      </c>
      <c r="AR187" s="1">
        <f t="shared" si="56"/>
        <v>545450.1</v>
      </c>
      <c r="AT187" s="29"/>
    </row>
    <row r="188" spans="1:46" x14ac:dyDescent="0.25">
      <c r="A188" s="76">
        <f t="shared" ref="A188:B188" si="81">+A187+1</f>
        <v>172</v>
      </c>
      <c r="B188" s="77">
        <f t="shared" si="81"/>
        <v>172</v>
      </c>
      <c r="C188" s="77" t="s">
        <v>542</v>
      </c>
      <c r="D188" s="77" t="s">
        <v>688</v>
      </c>
      <c r="E188" s="78">
        <v>1986</v>
      </c>
      <c r="F188" s="78">
        <v>2011</v>
      </c>
      <c r="G188" s="78" t="s">
        <v>51</v>
      </c>
      <c r="H188" s="78">
        <v>4</v>
      </c>
      <c r="I188" s="78">
        <v>2</v>
      </c>
      <c r="J188" s="44">
        <v>2202.6</v>
      </c>
      <c r="K188" s="44">
        <v>1541.4</v>
      </c>
      <c r="L188" s="44">
        <v>661.2</v>
      </c>
      <c r="M188" s="79">
        <v>88</v>
      </c>
      <c r="N188" s="129">
        <f t="shared" si="51"/>
        <v>5217261.4636666002</v>
      </c>
      <c r="O188" s="44"/>
      <c r="P188" s="162">
        <v>4921136.82</v>
      </c>
      <c r="Q188" s="162"/>
      <c r="R188" s="162">
        <f>+'Приложение №2'!E188-'Приложение №1'!P188</f>
        <v>296124.64366659988</v>
      </c>
      <c r="S188" s="162">
        <f>+'Приложение №2'!E188-'Приложение №1'!P188-'Приложение №1'!Q188-'Приложение №1'!R188</f>
        <v>0</v>
      </c>
      <c r="T188" s="161">
        <f>+'Приложение №2'!E188-'Приложение №1'!P188-'Приложение №1'!Q188-'Приложение №1'!R188-'Приложение №1'!S188</f>
        <v>0</v>
      </c>
      <c r="U188" s="68">
        <f t="shared" si="79"/>
        <v>2368.6831306939976</v>
      </c>
      <c r="V188" s="68">
        <f t="shared" si="79"/>
        <v>2368.6831306939976</v>
      </c>
      <c r="W188" s="80">
        <v>2022</v>
      </c>
      <c r="X188" s="29" t="e">
        <f>+#REF!-'[1]Приложение №1'!$P886</f>
        <v>#REF!</v>
      </c>
      <c r="Z188" s="31">
        <f t="shared" si="80"/>
        <v>8976789.9100000001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/>
      <c r="AG188" s="27">
        <v>0</v>
      </c>
      <c r="AH188" s="27">
        <v>0</v>
      </c>
      <c r="AI188" s="27">
        <v>7906217.9453333998</v>
      </c>
      <c r="AJ188" s="27">
        <v>0</v>
      </c>
      <c r="AK188" s="27">
        <v>0</v>
      </c>
      <c r="AL188" s="27">
        <v>0</v>
      </c>
      <c r="AM188" s="27">
        <v>807911.0919</v>
      </c>
      <c r="AN188" s="32">
        <v>89767.89910000001</v>
      </c>
      <c r="AO188" s="33">
        <v>172892.97366659998</v>
      </c>
      <c r="AP188" s="84">
        <f>+N188-'Приложение №2'!E188</f>
        <v>0</v>
      </c>
      <c r="AQ188" s="1">
        <v>658488.62</v>
      </c>
      <c r="AR188" s="1">
        <f t="shared" si="56"/>
        <v>292107.59999999998</v>
      </c>
      <c r="AT188" s="29"/>
    </row>
    <row r="189" spans="1:46" x14ac:dyDescent="0.25">
      <c r="A189" s="76">
        <f t="shared" ref="A189:B189" si="82">+A188+1</f>
        <v>173</v>
      </c>
      <c r="B189" s="77">
        <f t="shared" si="82"/>
        <v>173</v>
      </c>
      <c r="C189" s="77" t="s">
        <v>109</v>
      </c>
      <c r="D189" s="77" t="s">
        <v>449</v>
      </c>
      <c r="E189" s="78">
        <v>1975</v>
      </c>
      <c r="F189" s="78">
        <v>2010</v>
      </c>
      <c r="G189" s="78" t="s">
        <v>44</v>
      </c>
      <c r="H189" s="78">
        <v>4</v>
      </c>
      <c r="I189" s="78">
        <v>3</v>
      </c>
      <c r="J189" s="44">
        <v>2207.3000000000002</v>
      </c>
      <c r="K189" s="44">
        <v>1539.8</v>
      </c>
      <c r="L189" s="44">
        <v>72.900000000000006</v>
      </c>
      <c r="M189" s="79">
        <v>60</v>
      </c>
      <c r="N189" s="129">
        <f t="shared" si="51"/>
        <v>8755162.1893241219</v>
      </c>
      <c r="O189" s="44"/>
      <c r="P189" s="162">
        <v>305015.03999999998</v>
      </c>
      <c r="Q189" s="162"/>
      <c r="R189" s="162">
        <v>1072056.3099999998</v>
      </c>
      <c r="S189" s="162">
        <f>+'Приложение №2'!E189-'Приложение №1'!P189-'Приложение №1'!Q189-'Приложение №1'!R189</f>
        <v>7378090.8393241214</v>
      </c>
      <c r="T189" s="161">
        <f>+'Приложение №2'!E189-'Приложение №1'!P189-'Приложение №1'!Q189-'Приложение №1'!R189-'Приложение №1'!S189</f>
        <v>0</v>
      </c>
      <c r="U189" s="68">
        <f t="shared" si="79"/>
        <v>5428.8845968401574</v>
      </c>
      <c r="V189" s="68">
        <f t="shared" si="79"/>
        <v>5428.8845968401574</v>
      </c>
      <c r="W189" s="80">
        <v>2022</v>
      </c>
      <c r="X189" s="29" t="e">
        <f>+#REF!-'[1]Приложение №1'!$P1294</f>
        <v>#REF!</v>
      </c>
      <c r="Z189" s="31">
        <f t="shared" si="80"/>
        <v>12862454.159999998</v>
      </c>
      <c r="AA189" s="27">
        <v>0</v>
      </c>
      <c r="AB189" s="27">
        <v>0</v>
      </c>
      <c r="AC189" s="27">
        <v>1651099.99309374</v>
      </c>
      <c r="AD189" s="27">
        <v>0</v>
      </c>
      <c r="AE189" s="27">
        <v>658775.13073595997</v>
      </c>
      <c r="AF189" s="27"/>
      <c r="AG189" s="27">
        <v>0</v>
      </c>
      <c r="AH189" s="27">
        <v>0</v>
      </c>
      <c r="AI189" s="27">
        <v>0</v>
      </c>
      <c r="AJ189" s="27">
        <v>0</v>
      </c>
      <c r="AK189" s="27">
        <v>4282271.2316294406</v>
      </c>
      <c r="AL189" s="27">
        <v>4419510.2317526992</v>
      </c>
      <c r="AM189" s="27">
        <v>1481370.4040000001</v>
      </c>
      <c r="AN189" s="32">
        <v>128624.54160000001</v>
      </c>
      <c r="AO189" s="33">
        <v>240802.62718816006</v>
      </c>
      <c r="AP189" s="84">
        <f>+N189-'Приложение №2'!E189</f>
        <v>0</v>
      </c>
      <c r="AQ189" s="1">
        <v>817698.89</v>
      </c>
      <c r="AR189" s="1">
        <f t="shared" si="56"/>
        <v>171931.19999999998</v>
      </c>
      <c r="AS189" s="1">
        <f t="shared" si="68"/>
        <v>6068160</v>
      </c>
      <c r="AT189" s="29">
        <f t="shared" si="44"/>
        <v>1309930.8393241214</v>
      </c>
    </row>
    <row r="190" spans="1:46" x14ac:dyDescent="0.25">
      <c r="A190" s="76">
        <f t="shared" ref="A190:B190" si="83">+A189+1</f>
        <v>174</v>
      </c>
      <c r="B190" s="77">
        <f t="shared" si="83"/>
        <v>174</v>
      </c>
      <c r="C190" s="77" t="s">
        <v>109</v>
      </c>
      <c r="D190" s="77" t="s">
        <v>264</v>
      </c>
      <c r="E190" s="78">
        <v>1968</v>
      </c>
      <c r="F190" s="78">
        <v>2010</v>
      </c>
      <c r="G190" s="78" t="s">
        <v>44</v>
      </c>
      <c r="H190" s="78">
        <v>2</v>
      </c>
      <c r="I190" s="78">
        <v>1</v>
      </c>
      <c r="J190" s="44">
        <v>395.2</v>
      </c>
      <c r="K190" s="44">
        <v>370.7</v>
      </c>
      <c r="L190" s="44">
        <v>0</v>
      </c>
      <c r="M190" s="79">
        <v>21</v>
      </c>
      <c r="N190" s="129">
        <f t="shared" si="51"/>
        <v>1521216.82339412</v>
      </c>
      <c r="O190" s="44"/>
      <c r="P190" s="162">
        <v>463367.23</v>
      </c>
      <c r="Q190" s="162"/>
      <c r="R190" s="162">
        <v>167186.07</v>
      </c>
      <c r="S190" s="162">
        <f>+'Приложение №2'!E190-P190-'Приложение №1'!Q190-'Приложение №1'!R190</f>
        <v>890663.52339411993</v>
      </c>
      <c r="T190" s="161">
        <f>+'Приложение №2'!E190-'Приложение №1'!P190-'Приложение №1'!Q190-'Приложение №1'!R190-'Приложение №1'!S190</f>
        <v>0</v>
      </c>
      <c r="U190" s="68">
        <f t="shared" si="79"/>
        <v>4103.6331896253578</v>
      </c>
      <c r="V190" s="68">
        <f t="shared" si="79"/>
        <v>4103.6331896253578</v>
      </c>
      <c r="W190" s="80">
        <v>2022</v>
      </c>
      <c r="X190" s="29" t="e">
        <f>+#REF!-'[1]Приложение №1'!$P887</f>
        <v>#REF!</v>
      </c>
      <c r="Z190" s="31">
        <f t="shared" si="80"/>
        <v>2665334.4900000002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/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2321383.7354034605</v>
      </c>
      <c r="AM190" s="27">
        <v>266533.44900000002</v>
      </c>
      <c r="AN190" s="32">
        <v>26653.344900000004</v>
      </c>
      <c r="AO190" s="33">
        <v>50763.960696540009</v>
      </c>
      <c r="AP190" s="84">
        <f>+N190-'Приложение №2'!E190</f>
        <v>0</v>
      </c>
      <c r="AQ190" s="1">
        <v>177132.32</v>
      </c>
      <c r="AR190" s="1">
        <f t="shared" si="56"/>
        <v>37811.4</v>
      </c>
      <c r="AS190" s="1">
        <f t="shared" si="68"/>
        <v>1334520</v>
      </c>
      <c r="AT190" s="29">
        <f t="shared" si="44"/>
        <v>-443856.47660588007</v>
      </c>
    </row>
    <row r="191" spans="1:46" x14ac:dyDescent="0.25">
      <c r="A191" s="76">
        <f t="shared" ref="A191:B191" si="84">+A190+1</f>
        <v>175</v>
      </c>
      <c r="B191" s="77">
        <f t="shared" si="84"/>
        <v>175</v>
      </c>
      <c r="C191" s="77" t="s">
        <v>110</v>
      </c>
      <c r="D191" s="77" t="s">
        <v>268</v>
      </c>
      <c r="E191" s="78">
        <v>1987</v>
      </c>
      <c r="F191" s="78">
        <v>1987</v>
      </c>
      <c r="G191" s="78" t="s">
        <v>44</v>
      </c>
      <c r="H191" s="78">
        <v>2</v>
      </c>
      <c r="I191" s="78">
        <v>2</v>
      </c>
      <c r="J191" s="44">
        <v>910.2</v>
      </c>
      <c r="K191" s="44">
        <v>783.4</v>
      </c>
      <c r="L191" s="44">
        <v>0</v>
      </c>
      <c r="M191" s="79">
        <v>32</v>
      </c>
      <c r="N191" s="129">
        <f t="shared" si="51"/>
        <v>764368.75019825995</v>
      </c>
      <c r="O191" s="44"/>
      <c r="P191" s="162"/>
      <c r="Q191" s="162"/>
      <c r="R191" s="162">
        <f>+AQ191+AR191</f>
        <v>398689.43</v>
      </c>
      <c r="S191" s="162">
        <f>+'Приложение №2'!E191-'Приложение №1'!R191</f>
        <v>365679.32019825996</v>
      </c>
      <c r="T191" s="161">
        <f>+'Приложение №2'!E191-'Приложение №1'!P191-'Приложение №1'!Q191-'Приложение №1'!R191-'Приложение №1'!S191</f>
        <v>0</v>
      </c>
      <c r="U191" s="68">
        <f t="shared" si="79"/>
        <v>975.70685498884347</v>
      </c>
      <c r="V191" s="68">
        <f t="shared" si="79"/>
        <v>975.70685498884347</v>
      </c>
      <c r="W191" s="80">
        <v>2022</v>
      </c>
      <c r="X191" s="29" t="e">
        <f>+#REF!-'[1]Приложение №1'!$P893</f>
        <v>#REF!</v>
      </c>
      <c r="Z191" s="31">
        <f t="shared" si="80"/>
        <v>1452392.59</v>
      </c>
      <c r="AA191" s="27">
        <v>0</v>
      </c>
      <c r="AB191" s="27">
        <v>0</v>
      </c>
      <c r="AC191" s="27">
        <v>672323.62980174005</v>
      </c>
      <c r="AD191" s="27">
        <v>572666.75863487995</v>
      </c>
      <c r="AE191" s="27">
        <v>0</v>
      </c>
      <c r="AF191" s="27"/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165652.85740000004</v>
      </c>
      <c r="AN191" s="32">
        <v>14523.925900000002</v>
      </c>
      <c r="AO191" s="33">
        <v>27225.418263380001</v>
      </c>
      <c r="AP191" s="84">
        <f>+N191-'Приложение №2'!E191</f>
        <v>0</v>
      </c>
      <c r="AQ191" s="1">
        <v>318782.63</v>
      </c>
      <c r="AR191" s="1">
        <f t="shared" si="56"/>
        <v>79906.8</v>
      </c>
      <c r="AS191" s="1">
        <f t="shared" si="68"/>
        <v>2820240</v>
      </c>
      <c r="AT191" s="29">
        <f t="shared" si="44"/>
        <v>-2454560.6798017402</v>
      </c>
    </row>
    <row r="192" spans="1:46" x14ac:dyDescent="0.25">
      <c r="A192" s="76">
        <f t="shared" ref="A192:B192" si="85">+A191+1</f>
        <v>176</v>
      </c>
      <c r="B192" s="77">
        <f t="shared" si="85"/>
        <v>176</v>
      </c>
      <c r="C192" s="77" t="s">
        <v>110</v>
      </c>
      <c r="D192" s="77" t="s">
        <v>450</v>
      </c>
      <c r="E192" s="78">
        <v>1979</v>
      </c>
      <c r="F192" s="78">
        <v>2010</v>
      </c>
      <c r="G192" s="78" t="s">
        <v>44</v>
      </c>
      <c r="H192" s="78">
        <v>5</v>
      </c>
      <c r="I192" s="78">
        <v>2</v>
      </c>
      <c r="J192" s="44">
        <v>1745.5</v>
      </c>
      <c r="K192" s="44">
        <v>1575.1</v>
      </c>
      <c r="L192" s="44">
        <v>0</v>
      </c>
      <c r="M192" s="79">
        <v>61</v>
      </c>
      <c r="N192" s="129">
        <f t="shared" si="51"/>
        <v>365088.24984040001</v>
      </c>
      <c r="O192" s="44"/>
      <c r="P192" s="162"/>
      <c r="Q192" s="162"/>
      <c r="R192" s="162">
        <f>+'Приложение №2'!E192</f>
        <v>365088.24984040001</v>
      </c>
      <c r="S192" s="162">
        <f>+'Приложение №2'!E192-'Приложение №1'!R192</f>
        <v>0</v>
      </c>
      <c r="T192" s="161">
        <f>+'Приложение №2'!E192-'Приложение №1'!P192-'Приложение №1'!Q192-'Приложение №1'!R192-'Приложение №1'!S192</f>
        <v>0</v>
      </c>
      <c r="U192" s="68">
        <f t="shared" si="79"/>
        <v>231.78734673379469</v>
      </c>
      <c r="V192" s="68">
        <f t="shared" si="79"/>
        <v>231.78734673379469</v>
      </c>
      <c r="W192" s="80">
        <v>2022</v>
      </c>
      <c r="X192" s="29" t="e">
        <f>+#REF!-'[1]Приложение №1'!$P1296</f>
        <v>#REF!</v>
      </c>
      <c r="Z192" s="31">
        <f t="shared" si="80"/>
        <v>1782216.8299999998</v>
      </c>
      <c r="AA192" s="27">
        <v>0</v>
      </c>
      <c r="AB192" s="27">
        <v>0</v>
      </c>
      <c r="AC192" s="27">
        <v>0</v>
      </c>
      <c r="AD192" s="27">
        <v>847487.25615959987</v>
      </c>
      <c r="AE192" s="27">
        <v>523452.69346482004</v>
      </c>
      <c r="AF192" s="27"/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363475.03200000001</v>
      </c>
      <c r="AN192" s="32">
        <v>17822.168300000001</v>
      </c>
      <c r="AO192" s="33">
        <v>29979.68007558</v>
      </c>
      <c r="AP192" s="84">
        <f>+N192-'Приложение №2'!E192</f>
        <v>0</v>
      </c>
      <c r="AQ192" s="1">
        <f>667423.91-106073.7</f>
        <v>561350.21000000008</v>
      </c>
      <c r="AR192" s="1">
        <f t="shared" si="56"/>
        <v>160660.19999999998</v>
      </c>
      <c r="AS192" s="1">
        <f t="shared" si="68"/>
        <v>5670360</v>
      </c>
      <c r="AT192" s="29">
        <f t="shared" si="44"/>
        <v>-5670360</v>
      </c>
    </row>
    <row r="193" spans="1:51" x14ac:dyDescent="0.25">
      <c r="A193" s="76">
        <f t="shared" ref="A193:B193" si="86">+A192+1</f>
        <v>177</v>
      </c>
      <c r="B193" s="77">
        <f t="shared" si="86"/>
        <v>177</v>
      </c>
      <c r="C193" s="77" t="s">
        <v>110</v>
      </c>
      <c r="D193" s="77" t="s">
        <v>114</v>
      </c>
      <c r="E193" s="78">
        <v>1979</v>
      </c>
      <c r="F193" s="78">
        <v>1979</v>
      </c>
      <c r="G193" s="78" t="s">
        <v>44</v>
      </c>
      <c r="H193" s="78">
        <v>5</v>
      </c>
      <c r="I193" s="78">
        <v>3</v>
      </c>
      <c r="J193" s="44">
        <v>4465.2700000000004</v>
      </c>
      <c r="K193" s="44">
        <v>4027.37</v>
      </c>
      <c r="L193" s="44">
        <v>437.9</v>
      </c>
      <c r="M193" s="79">
        <v>123</v>
      </c>
      <c r="N193" s="129">
        <f t="shared" si="51"/>
        <v>8606121.4599104002</v>
      </c>
      <c r="O193" s="44"/>
      <c r="P193" s="162"/>
      <c r="Q193" s="162"/>
      <c r="R193" s="162">
        <v>1518552.78</v>
      </c>
      <c r="S193" s="162">
        <f>+'Приложение №2'!E193-'Приложение №1'!R193</f>
        <v>7087568.6799104</v>
      </c>
      <c r="T193" s="161">
        <f>+'Приложение №2'!E193-'Приложение №1'!P193-'Приложение №1'!Q193-'Приложение №1'!R193-'Приложение №1'!S193</f>
        <v>0</v>
      </c>
      <c r="U193" s="68">
        <f t="shared" si="79"/>
        <v>1927.346265715265</v>
      </c>
      <c r="V193" s="68">
        <f t="shared" si="79"/>
        <v>1927.346265715265</v>
      </c>
      <c r="W193" s="80">
        <v>2022</v>
      </c>
      <c r="X193" s="29" t="e">
        <f>+#REF!-'[1]Приложение №1'!$P898</f>
        <v>#REF!</v>
      </c>
      <c r="Z193" s="31">
        <f t="shared" si="80"/>
        <v>15335711.040000001</v>
      </c>
      <c r="AA193" s="27">
        <v>0</v>
      </c>
      <c r="AB193" s="27">
        <v>0</v>
      </c>
      <c r="AC193" s="27">
        <v>0</v>
      </c>
      <c r="AD193" s="27">
        <v>1531596.9957119999</v>
      </c>
      <c r="AE193" s="27">
        <v>0</v>
      </c>
      <c r="AF193" s="27"/>
      <c r="AG193" s="27">
        <v>0</v>
      </c>
      <c r="AH193" s="27">
        <v>0</v>
      </c>
      <c r="AI193" s="27">
        <v>11903940.0760896</v>
      </c>
      <c r="AJ193" s="27">
        <v>0</v>
      </c>
      <c r="AK193" s="27">
        <v>0</v>
      </c>
      <c r="AL193" s="27">
        <v>0</v>
      </c>
      <c r="AM193" s="27">
        <v>1453008.8736</v>
      </c>
      <c r="AN193" s="32">
        <v>153357.11040000001</v>
      </c>
      <c r="AO193" s="33">
        <v>293807.98419839999</v>
      </c>
      <c r="AP193" s="84">
        <f>+N193-'Приложение №2'!E193</f>
        <v>0</v>
      </c>
      <c r="AQ193" s="1">
        <f>2029381.74-810307.04</f>
        <v>1219074.7</v>
      </c>
      <c r="AR193" s="1">
        <f t="shared" si="56"/>
        <v>500123.33999999991</v>
      </c>
      <c r="AS193" s="1">
        <f>+(K193*10+L193*20)*12*30-25438.56</f>
        <v>17625973.439999998</v>
      </c>
      <c r="AT193" s="29">
        <f t="shared" si="44"/>
        <v>-10538404.760089599</v>
      </c>
    </row>
    <row r="194" spans="1:51" x14ac:dyDescent="0.25">
      <c r="A194" s="76">
        <f t="shared" ref="A194:B194" si="87">+A193+1</f>
        <v>178</v>
      </c>
      <c r="B194" s="77">
        <f t="shared" si="87"/>
        <v>178</v>
      </c>
      <c r="C194" s="77" t="s">
        <v>110</v>
      </c>
      <c r="D194" s="77" t="s">
        <v>530</v>
      </c>
      <c r="E194" s="78">
        <v>1994</v>
      </c>
      <c r="F194" s="78">
        <v>2011</v>
      </c>
      <c r="G194" s="78" t="s">
        <v>44</v>
      </c>
      <c r="H194" s="78">
        <v>5</v>
      </c>
      <c r="I194" s="78">
        <v>2</v>
      </c>
      <c r="J194" s="44">
        <v>1801.3</v>
      </c>
      <c r="K194" s="44">
        <v>1628.1</v>
      </c>
      <c r="L194" s="44">
        <v>0</v>
      </c>
      <c r="M194" s="79">
        <v>70</v>
      </c>
      <c r="N194" s="129">
        <f t="shared" si="51"/>
        <v>481793.98029292002</v>
      </c>
      <c r="O194" s="44"/>
      <c r="P194" s="162"/>
      <c r="Q194" s="162"/>
      <c r="R194" s="162">
        <f>+'Приложение №2'!E194</f>
        <v>481793.98029292002</v>
      </c>
      <c r="S194" s="162">
        <f>+'Приложение №2'!E194-'Приложение №1'!R194</f>
        <v>0</v>
      </c>
      <c r="T194" s="161">
        <f>+'Приложение №2'!E194-'Приложение №1'!P194-'Приложение №1'!Q194-'Приложение №1'!R194-'Приложение №1'!S194</f>
        <v>0</v>
      </c>
      <c r="U194" s="68">
        <f t="shared" si="79"/>
        <v>295.92407118292493</v>
      </c>
      <c r="V194" s="68">
        <f t="shared" si="79"/>
        <v>295.92407118292493</v>
      </c>
      <c r="W194" s="80">
        <v>2022</v>
      </c>
      <c r="X194" s="29" t="e">
        <f>+#REF!-'[1]Приложение №1'!$P1737</f>
        <v>#REF!</v>
      </c>
      <c r="Z194" s="31">
        <f t="shared" si="80"/>
        <v>3174451.3677607998</v>
      </c>
      <c r="AA194" s="27"/>
      <c r="AB194" s="27">
        <v>0</v>
      </c>
      <c r="AC194" s="27">
        <v>1384533.0509295599</v>
      </c>
      <c r="AD194" s="27">
        <v>894381.65855639998</v>
      </c>
      <c r="AE194" s="27">
        <v>0</v>
      </c>
      <c r="AF194" s="27"/>
      <c r="AG194" s="27">
        <v>151903.93578192001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564457.80340000009</v>
      </c>
      <c r="AN194" s="32">
        <v>61326.978799999997</v>
      </c>
      <c r="AO194" s="33">
        <v>117847.94029292003</v>
      </c>
      <c r="AP194" s="84">
        <f>+N194-'Приложение №2'!E194</f>
        <v>0</v>
      </c>
      <c r="AQ194" s="1">
        <v>668373.47</v>
      </c>
      <c r="AR194" s="1">
        <f t="shared" si="56"/>
        <v>166066.19999999998</v>
      </c>
      <c r="AS194" s="1">
        <f>+(K194*10+L194*20)*12*30</f>
        <v>5861160</v>
      </c>
      <c r="AT194" s="29">
        <f t="shared" si="44"/>
        <v>-5861160</v>
      </c>
    </row>
    <row r="195" spans="1:51" x14ac:dyDescent="0.25">
      <c r="A195" s="76">
        <f t="shared" ref="A195:B195" si="88">+A194+1</f>
        <v>179</v>
      </c>
      <c r="B195" s="77">
        <f t="shared" si="88"/>
        <v>179</v>
      </c>
      <c r="C195" s="77" t="s">
        <v>110</v>
      </c>
      <c r="D195" s="77" t="s">
        <v>117</v>
      </c>
      <c r="E195" s="78">
        <v>1979</v>
      </c>
      <c r="F195" s="78">
        <v>2009</v>
      </c>
      <c r="G195" s="78" t="s">
        <v>51</v>
      </c>
      <c r="H195" s="78">
        <v>4</v>
      </c>
      <c r="I195" s="78">
        <v>4</v>
      </c>
      <c r="J195" s="44">
        <v>4071.8</v>
      </c>
      <c r="K195" s="44">
        <v>3488.7</v>
      </c>
      <c r="L195" s="44">
        <v>0</v>
      </c>
      <c r="M195" s="79">
        <v>160</v>
      </c>
      <c r="N195" s="129">
        <f t="shared" ref="N195:N204" si="89">+P195+Q195+R195+S195+T195</f>
        <v>1379849.7611506002</v>
      </c>
      <c r="O195" s="44"/>
      <c r="P195" s="162"/>
      <c r="Q195" s="162"/>
      <c r="R195" s="162">
        <f>+AQ195+AR195</f>
        <v>1187619.0899999999</v>
      </c>
      <c r="S195" s="162">
        <f>+'Приложение №2'!E195-'Приложение №1'!R195</f>
        <v>192230.6711506003</v>
      </c>
      <c r="T195" s="161">
        <f>+'Приложение №2'!E195-'Приложение №1'!P195-'Приложение №1'!Q195-'Приложение №1'!R195-'Приложение №1'!S195</f>
        <v>0</v>
      </c>
      <c r="U195" s="68">
        <f t="shared" si="79"/>
        <v>395.51975267308745</v>
      </c>
      <c r="V195" s="68">
        <f t="shared" si="79"/>
        <v>395.51975267308745</v>
      </c>
      <c r="W195" s="80">
        <v>2022</v>
      </c>
      <c r="X195" s="29" t="e">
        <f>+#REF!-'[1]Приложение №1'!$P1306</f>
        <v>#REF!</v>
      </c>
      <c r="Z195" s="31">
        <f t="shared" si="80"/>
        <v>4761308.4000000004</v>
      </c>
      <c r="AA195" s="27">
        <v>0</v>
      </c>
      <c r="AB195" s="27">
        <v>0</v>
      </c>
      <c r="AC195" s="27">
        <v>0</v>
      </c>
      <c r="AD195" s="27">
        <v>2675095.0678494005</v>
      </c>
      <c r="AE195" s="27">
        <v>1068700.1105654999</v>
      </c>
      <c r="AF195" s="27"/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888030.91949999996</v>
      </c>
      <c r="AN195" s="32">
        <v>47613.084000000003</v>
      </c>
      <c r="AO195" s="33">
        <v>81869.218085100016</v>
      </c>
      <c r="AP195" s="84">
        <f>+N195-'Приложение №2'!E195</f>
        <v>0</v>
      </c>
      <c r="AQ195" s="1">
        <f>1427606.19-595834.5</f>
        <v>831771.69</v>
      </c>
      <c r="AR195" s="1">
        <f t="shared" si="56"/>
        <v>355847.39999999997</v>
      </c>
      <c r="AS195" s="1">
        <f>+(K195*10+L195*20)*12*30-93757.36-12468</f>
        <v>12453094.640000001</v>
      </c>
      <c r="AT195" s="29">
        <f t="shared" si="44"/>
        <v>-12260863.9688494</v>
      </c>
    </row>
    <row r="196" spans="1:51" x14ac:dyDescent="0.25">
      <c r="A196" s="76">
        <f t="shared" ref="A196:B196" si="90">+A195+1</f>
        <v>180</v>
      </c>
      <c r="B196" s="77">
        <f t="shared" si="90"/>
        <v>180</v>
      </c>
      <c r="C196" s="77" t="s">
        <v>110</v>
      </c>
      <c r="D196" s="77" t="s">
        <v>118</v>
      </c>
      <c r="E196" s="78">
        <v>1973</v>
      </c>
      <c r="F196" s="78">
        <v>2010</v>
      </c>
      <c r="G196" s="78" t="s">
        <v>44</v>
      </c>
      <c r="H196" s="78">
        <v>5</v>
      </c>
      <c r="I196" s="78">
        <v>4</v>
      </c>
      <c r="J196" s="44">
        <v>3449.3</v>
      </c>
      <c r="K196" s="44">
        <v>3117.4</v>
      </c>
      <c r="L196" s="44">
        <v>171.7</v>
      </c>
      <c r="M196" s="79">
        <v>147</v>
      </c>
      <c r="N196" s="129">
        <f t="shared" si="89"/>
        <v>3552408.6974952403</v>
      </c>
      <c r="O196" s="44"/>
      <c r="P196" s="162">
        <v>731499.76793584833</v>
      </c>
      <c r="Q196" s="162"/>
      <c r="R196" s="162">
        <f>+'Приложение №2'!E196-'Приложение №1'!P196-'Приложение №1'!S196</f>
        <v>299122.24749524007</v>
      </c>
      <c r="S196" s="162">
        <v>2521786.6820641519</v>
      </c>
      <c r="T196" s="161">
        <f>+'Приложение №2'!E196-'Приложение №1'!P196-'Приложение №1'!Q196-'Приложение №1'!R196-'Приложение №1'!S196</f>
        <v>0</v>
      </c>
      <c r="U196" s="68">
        <f t="shared" si="79"/>
        <v>1080.0549382795416</v>
      </c>
      <c r="V196" s="68">
        <f t="shared" si="79"/>
        <v>1080.0549382795416</v>
      </c>
      <c r="W196" s="80">
        <v>2022</v>
      </c>
      <c r="X196" s="29" t="e">
        <f>+#REF!-'[1]Приложение №1'!$P1308</f>
        <v>#REF!</v>
      </c>
      <c r="Z196" s="31">
        <f t="shared" si="80"/>
        <v>17920574.470533662</v>
      </c>
      <c r="AA196" s="27"/>
      <c r="AB196" s="27">
        <v>0</v>
      </c>
      <c r="AC196" s="27">
        <v>0</v>
      </c>
      <c r="AD196" s="27">
        <v>0</v>
      </c>
      <c r="AE196" s="27">
        <v>1035545.4729408602</v>
      </c>
      <c r="AF196" s="27"/>
      <c r="AG196" s="27">
        <v>0</v>
      </c>
      <c r="AH196" s="27">
        <v>0</v>
      </c>
      <c r="AI196" s="27">
        <v>0</v>
      </c>
      <c r="AJ196" s="27">
        <v>0</v>
      </c>
      <c r="AK196" s="27">
        <v>6731411.6906387396</v>
      </c>
      <c r="AL196" s="27">
        <v>6947141.1784660202</v>
      </c>
      <c r="AM196" s="27">
        <v>2528780.7582</v>
      </c>
      <c r="AN196" s="32">
        <v>234660.19320000001</v>
      </c>
      <c r="AO196" s="33">
        <v>443035.17708804004</v>
      </c>
      <c r="AP196" s="84">
        <f>+N196-'Приложение №2'!E196</f>
        <v>0</v>
      </c>
      <c r="AQ196" s="1">
        <f>1240910.11-689425.44-282620.64</f>
        <v>268864.03000000014</v>
      </c>
      <c r="AR196" s="1">
        <f t="shared" si="56"/>
        <v>353001.6</v>
      </c>
      <c r="AS196" s="1">
        <f>+(K196*10+L196*20)*12*30-3027646.57-12468.88</f>
        <v>9418764.5499999989</v>
      </c>
      <c r="AT196" s="29">
        <f t="shared" si="44"/>
        <v>-6896977.8679358475</v>
      </c>
    </row>
    <row r="197" spans="1:51" x14ac:dyDescent="0.25">
      <c r="A197" s="76">
        <f t="shared" ref="A197:B197" si="91">+A196+1</f>
        <v>181</v>
      </c>
      <c r="B197" s="77">
        <f t="shared" si="91"/>
        <v>181</v>
      </c>
      <c r="C197" s="77" t="s">
        <v>110</v>
      </c>
      <c r="D197" s="77" t="s">
        <v>274</v>
      </c>
      <c r="E197" s="78">
        <v>1985</v>
      </c>
      <c r="F197" s="78">
        <v>2011</v>
      </c>
      <c r="G197" s="78" t="s">
        <v>44</v>
      </c>
      <c r="H197" s="78">
        <v>5</v>
      </c>
      <c r="I197" s="78">
        <v>2</v>
      </c>
      <c r="J197" s="44">
        <v>1696.6</v>
      </c>
      <c r="K197" s="44">
        <v>1532.2</v>
      </c>
      <c r="L197" s="44">
        <v>54.4</v>
      </c>
      <c r="M197" s="79">
        <v>58</v>
      </c>
      <c r="N197" s="129">
        <f t="shared" si="89"/>
        <v>1178970.48751072</v>
      </c>
      <c r="O197" s="44"/>
      <c r="P197" s="162">
        <v>0</v>
      </c>
      <c r="Q197" s="162"/>
      <c r="R197" s="162">
        <f>+AQ197+AR197</f>
        <v>827589.23</v>
      </c>
      <c r="S197" s="162">
        <f>+'Приложение №2'!E197-'Приложение №1'!R197</f>
        <v>351381.25751072005</v>
      </c>
      <c r="T197" s="161">
        <f>+'Приложение №2'!E197-'Приложение №1'!P197-'Приложение №1'!Q197-'Приложение №1'!R197-'Приложение №1'!S197</f>
        <v>0</v>
      </c>
      <c r="U197" s="68">
        <f t="shared" si="79"/>
        <v>743.0798484247573</v>
      </c>
      <c r="V197" s="68">
        <f t="shared" si="79"/>
        <v>743.0798484247573</v>
      </c>
      <c r="W197" s="80">
        <v>2022</v>
      </c>
      <c r="X197" s="29" t="e">
        <f>+#REF!-'[1]Приложение №1'!$P903</f>
        <v>#REF!</v>
      </c>
      <c r="Z197" s="31">
        <f t="shared" si="80"/>
        <v>6417929.1893379986</v>
      </c>
      <c r="AA197" s="27">
        <v>2736613.7104324196</v>
      </c>
      <c r="AB197" s="27">
        <v>0</v>
      </c>
      <c r="AC197" s="27">
        <v>1280803.3788694199</v>
      </c>
      <c r="AD197" s="27">
        <v>849765.59</v>
      </c>
      <c r="AE197" s="27">
        <v>511029.86662728002</v>
      </c>
      <c r="AF197" s="27"/>
      <c r="AG197" s="27">
        <v>140523.24640871998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731735.25000000012</v>
      </c>
      <c r="AN197" s="32">
        <v>56969.515600000006</v>
      </c>
      <c r="AO197" s="33">
        <v>110488.63140016003</v>
      </c>
      <c r="AP197" s="84">
        <f>+N197-'Приложение №2'!E197</f>
        <v>0</v>
      </c>
      <c r="AQ197" s="1">
        <v>660207.23</v>
      </c>
      <c r="AR197" s="1">
        <f t="shared" si="56"/>
        <v>167382</v>
      </c>
      <c r="AS197" s="1">
        <f>+(K197*10+L197*20)*12*30</f>
        <v>5907600</v>
      </c>
      <c r="AT197" s="29">
        <f t="shared" si="44"/>
        <v>-5556218.7424892802</v>
      </c>
    </row>
    <row r="198" spans="1:51" x14ac:dyDescent="0.25">
      <c r="A198" s="76">
        <f t="shared" ref="A198:B198" si="92">+A197+1</f>
        <v>182</v>
      </c>
      <c r="B198" s="77">
        <f t="shared" si="92"/>
        <v>182</v>
      </c>
      <c r="C198" s="77" t="s">
        <v>110</v>
      </c>
      <c r="D198" s="77" t="s">
        <v>531</v>
      </c>
      <c r="E198" s="78">
        <v>1983</v>
      </c>
      <c r="F198" s="78">
        <v>2012</v>
      </c>
      <c r="G198" s="78" t="s">
        <v>44</v>
      </c>
      <c r="H198" s="78">
        <v>4</v>
      </c>
      <c r="I198" s="78">
        <v>6</v>
      </c>
      <c r="J198" s="44">
        <v>5867</v>
      </c>
      <c r="K198" s="44">
        <v>4942.2</v>
      </c>
      <c r="L198" s="44">
        <v>35.200000000000003</v>
      </c>
      <c r="M198" s="79">
        <v>212</v>
      </c>
      <c r="N198" s="129">
        <f t="shared" si="89"/>
        <v>2049515.5313292001</v>
      </c>
      <c r="O198" s="44"/>
      <c r="P198" s="162"/>
      <c r="Q198" s="162"/>
      <c r="R198" s="162">
        <f>+AQ198+AR198</f>
        <v>1940839.3800000001</v>
      </c>
      <c r="S198" s="162">
        <f>+'Приложение №2'!E198-'Приложение №1'!R198</f>
        <v>108676.15132920002</v>
      </c>
      <c r="T198" s="161">
        <f>+'Приложение №2'!E198-'Приложение №1'!P198-'Приложение №1'!Q198-'Приложение №1'!R198-'Приложение №1'!S198</f>
        <v>0</v>
      </c>
      <c r="U198" s="68">
        <f t="shared" si="79"/>
        <v>411.76428081512444</v>
      </c>
      <c r="V198" s="68">
        <f t="shared" si="79"/>
        <v>411.76428081512444</v>
      </c>
      <c r="W198" s="80">
        <v>2022</v>
      </c>
      <c r="X198" s="29" t="e">
        <f>+#REF!-'[1]Приложение №1'!$P1738</f>
        <v>#REF!</v>
      </c>
      <c r="Z198" s="31">
        <f t="shared" si="80"/>
        <v>10424876.889999999</v>
      </c>
      <c r="AA198" s="27">
        <v>0</v>
      </c>
      <c r="AB198" s="27">
        <v>0</v>
      </c>
      <c r="AC198" s="27">
        <v>4158927.152916899</v>
      </c>
      <c r="AD198" s="27">
        <v>2686586.7666707998</v>
      </c>
      <c r="AE198" s="27">
        <v>1659377.25092916</v>
      </c>
      <c r="AF198" s="27"/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1629752.206</v>
      </c>
      <c r="AN198" s="32">
        <v>104248.76890000001</v>
      </c>
      <c r="AO198" s="33">
        <v>185984.74458314001</v>
      </c>
      <c r="AP198" s="84">
        <f>+N198-'Приложение №2'!E198</f>
        <v>0</v>
      </c>
      <c r="AQ198" s="1">
        <f>2070107.33-640553.15</f>
        <v>1429554.1800000002</v>
      </c>
      <c r="AR198" s="1">
        <f t="shared" si="56"/>
        <v>511285.2</v>
      </c>
      <c r="AS198" s="1">
        <f>+(K198*10+L198*20)*12*30-929957.98</f>
        <v>17115402.02</v>
      </c>
      <c r="AT198" s="29">
        <f t="shared" si="44"/>
        <v>-17006725.868670799</v>
      </c>
    </row>
    <row r="199" spans="1:51" x14ac:dyDescent="0.25">
      <c r="A199" s="76">
        <f t="shared" ref="A199:B199" si="93">+A198+1</f>
        <v>183</v>
      </c>
      <c r="B199" s="77">
        <f t="shared" si="93"/>
        <v>183</v>
      </c>
      <c r="C199" s="77" t="s">
        <v>110</v>
      </c>
      <c r="D199" s="77" t="s">
        <v>532</v>
      </c>
      <c r="E199" s="78">
        <v>1969</v>
      </c>
      <c r="F199" s="78">
        <v>2009</v>
      </c>
      <c r="G199" s="78" t="s">
        <v>44</v>
      </c>
      <c r="H199" s="78">
        <v>4</v>
      </c>
      <c r="I199" s="78">
        <v>4</v>
      </c>
      <c r="J199" s="44">
        <v>2719.1</v>
      </c>
      <c r="K199" s="44">
        <v>2454</v>
      </c>
      <c r="L199" s="44">
        <v>66.5</v>
      </c>
      <c r="M199" s="79">
        <v>120</v>
      </c>
      <c r="N199" s="129">
        <f t="shared" si="89"/>
        <v>6265968.0113439998</v>
      </c>
      <c r="O199" s="44"/>
      <c r="P199" s="162"/>
      <c r="Q199" s="162"/>
      <c r="R199" s="162">
        <v>1163543.43</v>
      </c>
      <c r="S199" s="162">
        <f>+'Приложение №2'!E199-'Приложение №1'!R199-P199</f>
        <v>5102424.5813440001</v>
      </c>
      <c r="T199" s="161">
        <f>+'Приложение №2'!E199-'Приложение №1'!P199-'Приложение №1'!Q199-'Приложение №1'!R199-'Приложение №1'!S199</f>
        <v>0</v>
      </c>
      <c r="U199" s="68">
        <f t="shared" si="79"/>
        <v>2486.0019882340803</v>
      </c>
      <c r="V199" s="68">
        <f t="shared" si="79"/>
        <v>2486.0019882340803</v>
      </c>
      <c r="W199" s="80">
        <v>2022</v>
      </c>
      <c r="X199" s="29" t="e">
        <f>+#REF!-'[1]Приложение №1'!$P1739</f>
        <v>#REF!</v>
      </c>
      <c r="Z199" s="31">
        <f t="shared" si="80"/>
        <v>14067048.463401999</v>
      </c>
      <c r="AA199" s="27">
        <v>0</v>
      </c>
      <c r="AB199" s="27">
        <v>0</v>
      </c>
      <c r="AC199" s="27">
        <v>0</v>
      </c>
      <c r="AD199" s="27">
        <v>0</v>
      </c>
      <c r="AE199" s="27">
        <v>850099.92968124012</v>
      </c>
      <c r="AF199" s="27"/>
      <c r="AG199" s="27">
        <v>0</v>
      </c>
      <c r="AH199" s="27">
        <v>0</v>
      </c>
      <c r="AI199" s="27">
        <v>0</v>
      </c>
      <c r="AJ199" s="27">
        <v>0</v>
      </c>
      <c r="AK199" s="27">
        <v>6122487.8099999996</v>
      </c>
      <c r="AL199" s="27">
        <v>6280344.04</v>
      </c>
      <c r="AM199" s="27">
        <v>592071.17800000007</v>
      </c>
      <c r="AN199" s="32">
        <v>53956.358600000007</v>
      </c>
      <c r="AO199" s="33">
        <v>168089.14712076</v>
      </c>
      <c r="AP199" s="84">
        <f>+N199-'Приложение №2'!E199</f>
        <v>0</v>
      </c>
      <c r="AQ199" s="1">
        <v>882910.83</v>
      </c>
      <c r="AR199" s="1">
        <f t="shared" si="56"/>
        <v>263874</v>
      </c>
      <c r="AS199" s="1">
        <f>+(K199*10+L199*20)*12*30</f>
        <v>9313200</v>
      </c>
      <c r="AT199" s="29">
        <f t="shared" si="44"/>
        <v>-4210775.4186559999</v>
      </c>
    </row>
    <row r="200" spans="1:51" x14ac:dyDescent="0.25">
      <c r="A200" s="76">
        <f t="shared" ref="A200:B200" si="94">+A199+1</f>
        <v>184</v>
      </c>
      <c r="B200" s="77">
        <f t="shared" si="94"/>
        <v>184</v>
      </c>
      <c r="C200" s="77" t="s">
        <v>110</v>
      </c>
      <c r="D200" s="77" t="s">
        <v>452</v>
      </c>
      <c r="E200" s="78">
        <v>1967</v>
      </c>
      <c r="F200" s="78">
        <v>2008</v>
      </c>
      <c r="G200" s="78" t="s">
        <v>44</v>
      </c>
      <c r="H200" s="78">
        <v>4</v>
      </c>
      <c r="I200" s="78">
        <v>4</v>
      </c>
      <c r="J200" s="44">
        <v>2789.5</v>
      </c>
      <c r="K200" s="44">
        <v>2436</v>
      </c>
      <c r="L200" s="44">
        <v>98.5</v>
      </c>
      <c r="M200" s="79">
        <v>116</v>
      </c>
      <c r="N200" s="129">
        <f t="shared" si="89"/>
        <v>18257138.112024002</v>
      </c>
      <c r="O200" s="44"/>
      <c r="P200" s="162">
        <v>546289.42000000004</v>
      </c>
      <c r="Q200" s="162"/>
      <c r="R200" s="162">
        <v>1107518.53</v>
      </c>
      <c r="S200" s="162">
        <f>+AS200</f>
        <v>9478800</v>
      </c>
      <c r="T200" s="161">
        <f>+'Приложение №2'!E200-'Приложение №1'!P200-'Приложение №1'!Q200-'Приложение №1'!R200-'Приложение №1'!S200</f>
        <v>7124530.1620240007</v>
      </c>
      <c r="U200" s="68">
        <f t="shared" si="79"/>
        <v>7203.4476670049326</v>
      </c>
      <c r="V200" s="68">
        <f t="shared" si="79"/>
        <v>7203.4476670049326</v>
      </c>
      <c r="W200" s="80">
        <v>2022</v>
      </c>
      <c r="X200" s="29" t="e">
        <f>+#REF!-'[1]Приложение №1'!$P1301</f>
        <v>#REF!</v>
      </c>
      <c r="Z200" s="31">
        <f t="shared" si="80"/>
        <v>19003273.532024</v>
      </c>
      <c r="AA200" s="27">
        <v>4925306.53</v>
      </c>
      <c r="AB200" s="27">
        <v>0</v>
      </c>
      <c r="AC200" s="27">
        <v>0</v>
      </c>
      <c r="AD200" s="27">
        <v>0</v>
      </c>
      <c r="AE200" s="27">
        <v>844685.70089904009</v>
      </c>
      <c r="AF200" s="27"/>
      <c r="AG200" s="27">
        <v>0</v>
      </c>
      <c r="AH200" s="27">
        <v>0</v>
      </c>
      <c r="AI200" s="27">
        <v>0</v>
      </c>
      <c r="AJ200" s="27">
        <v>0</v>
      </c>
      <c r="AK200" s="27">
        <v>6067163.0700000003</v>
      </c>
      <c r="AL200" s="27">
        <v>6238206.8099999996</v>
      </c>
      <c r="AM200" s="27">
        <v>642911.348</v>
      </c>
      <c r="AN200" s="32">
        <v>54084.785600000003</v>
      </c>
      <c r="AO200" s="33">
        <v>230915.28752496</v>
      </c>
      <c r="AP200" s="84">
        <f>+N200-'Приложение №2'!E200</f>
        <v>0</v>
      </c>
      <c r="AQ200" s="1">
        <v>996118.85</v>
      </c>
      <c r="AR200" s="1">
        <f t="shared" si="56"/>
        <v>268566</v>
      </c>
      <c r="AS200" s="1">
        <f>+(K200*10+L200*20)*12*30</f>
        <v>9478800</v>
      </c>
      <c r="AT200" s="29">
        <f t="shared" si="44"/>
        <v>0</v>
      </c>
    </row>
    <row r="201" spans="1:51" x14ac:dyDescent="0.25">
      <c r="A201" s="76">
        <f t="shared" ref="A201:B201" si="95">+A200+1</f>
        <v>185</v>
      </c>
      <c r="B201" s="77">
        <f t="shared" si="95"/>
        <v>185</v>
      </c>
      <c r="C201" s="77" t="s">
        <v>110</v>
      </c>
      <c r="D201" s="213" t="s">
        <v>533</v>
      </c>
      <c r="E201" s="214">
        <v>1975</v>
      </c>
      <c r="F201" s="214">
        <v>1985</v>
      </c>
      <c r="G201" s="214" t="s">
        <v>44</v>
      </c>
      <c r="H201" s="214">
        <v>4</v>
      </c>
      <c r="I201" s="214">
        <v>1</v>
      </c>
      <c r="J201" s="161">
        <v>2576.4</v>
      </c>
      <c r="K201" s="161">
        <v>1895.4</v>
      </c>
      <c r="L201" s="161">
        <v>169.5</v>
      </c>
      <c r="M201" s="215">
        <v>92</v>
      </c>
      <c r="N201" s="216">
        <f>+P201+Q201+R201+S201+T201</f>
        <v>1244942.4749406199</v>
      </c>
      <c r="O201" s="176"/>
      <c r="P201" s="162"/>
      <c r="Q201" s="162"/>
      <c r="R201" s="162">
        <f>+AQ201+AR201</f>
        <v>1018495.6100000001</v>
      </c>
      <c r="S201" s="162">
        <f>+'Приложение №2'!E201-'Приложение №1'!R201</f>
        <v>226446.86494061979</v>
      </c>
      <c r="T201" s="44">
        <f>+'Приложение №2'!E201-'Приложение №1'!P201-'Приложение №1'!Q201-'Приложение №1'!R201-'Приложение №1'!S201</f>
        <v>0</v>
      </c>
      <c r="U201" s="68">
        <f>$N201/($K201+$L201)</f>
        <v>602.90690829610139</v>
      </c>
      <c r="V201" s="68">
        <f>$N201/($K201+$L201)</f>
        <v>602.90690829610139</v>
      </c>
      <c r="W201" s="80">
        <v>2022</v>
      </c>
      <c r="X201" s="29" t="e">
        <f>+#REF!-'[1]Приложение №1'!$P1740</f>
        <v>#REF!</v>
      </c>
      <c r="Z201" s="31">
        <f>SUM(AA201:AO201)</f>
        <v>1957771.97</v>
      </c>
      <c r="AA201" s="27">
        <v>0</v>
      </c>
      <c r="AB201" s="27">
        <v>0</v>
      </c>
      <c r="AC201" s="27">
        <v>1705129.3283593801</v>
      </c>
      <c r="AD201" s="27">
        <v>0</v>
      </c>
      <c r="AE201" s="27">
        <v>0</v>
      </c>
      <c r="AF201" s="27"/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195777.19700000001</v>
      </c>
      <c r="AN201" s="32">
        <v>19577.719700000001</v>
      </c>
      <c r="AO201" s="33">
        <v>37287.724940620006</v>
      </c>
      <c r="AP201" s="84">
        <f>+N201-'Приложение №2'!E201</f>
        <v>0</v>
      </c>
      <c r="AQ201" s="1">
        <v>790586.81</v>
      </c>
      <c r="AR201" s="1">
        <f>+(K201*10+L201*20)*12*0.85</f>
        <v>227908.8</v>
      </c>
      <c r="AS201" s="1">
        <f>+(K201*10+L201*20)*12*30</f>
        <v>8043840</v>
      </c>
      <c r="AT201" s="29">
        <f>+S201-AS201</f>
        <v>-7817393.13505938</v>
      </c>
    </row>
    <row r="202" spans="1:51" x14ac:dyDescent="0.25">
      <c r="A202" s="76">
        <f t="shared" ref="A202:B202" si="96">+A201+1</f>
        <v>186</v>
      </c>
      <c r="B202" s="77">
        <f t="shared" si="96"/>
        <v>186</v>
      </c>
      <c r="C202" s="77" t="s">
        <v>72</v>
      </c>
      <c r="D202" s="77" t="s">
        <v>725</v>
      </c>
      <c r="E202" s="78">
        <v>2005</v>
      </c>
      <c r="F202" s="78"/>
      <c r="G202" s="78" t="s">
        <v>44</v>
      </c>
      <c r="H202" s="78">
        <v>6</v>
      </c>
      <c r="I202" s="78">
        <v>1</v>
      </c>
      <c r="J202" s="44">
        <v>1214.0999999999999</v>
      </c>
      <c r="K202" s="44">
        <v>1104.5999999999999</v>
      </c>
      <c r="L202" s="44">
        <v>0</v>
      </c>
      <c r="M202" s="79">
        <v>41</v>
      </c>
      <c r="N202" s="129">
        <f t="shared" si="89"/>
        <v>4254086.16</v>
      </c>
      <c r="O202" s="44"/>
      <c r="P202" s="162"/>
      <c r="Q202" s="162"/>
      <c r="R202" s="162">
        <v>470428.61</v>
      </c>
      <c r="S202" s="162">
        <v>3783657.5500000003</v>
      </c>
      <c r="T202" s="162">
        <v>0</v>
      </c>
      <c r="U202" s="68">
        <f t="shared" si="79"/>
        <v>3851.2458446496476</v>
      </c>
      <c r="V202" s="68">
        <f t="shared" si="79"/>
        <v>3851.2458446496476</v>
      </c>
      <c r="W202" s="80">
        <v>2022</v>
      </c>
      <c r="X202" s="29" t="e">
        <f>+#REF!-'[1]Приложение №1'!$P586</f>
        <v>#REF!</v>
      </c>
      <c r="Z202" s="31">
        <f t="shared" si="80"/>
        <v>7345879.3544120006</v>
      </c>
      <c r="AA202" s="27">
        <v>0</v>
      </c>
      <c r="AB202" s="27">
        <v>0</v>
      </c>
      <c r="AC202" s="27">
        <v>0</v>
      </c>
      <c r="AD202" s="27">
        <v>0</v>
      </c>
      <c r="AE202" s="27">
        <v>491444.9</v>
      </c>
      <c r="AF202" s="27"/>
      <c r="AG202" s="27">
        <v>0</v>
      </c>
      <c r="AH202" s="27">
        <v>0</v>
      </c>
      <c r="AI202" s="27">
        <v>0</v>
      </c>
      <c r="AJ202" s="27">
        <v>0</v>
      </c>
      <c r="AK202" s="27">
        <v>2817572.53491042</v>
      </c>
      <c r="AL202" s="27">
        <v>3039081.7867057198</v>
      </c>
      <c r="AM202" s="27">
        <v>797894.04099999997</v>
      </c>
      <c r="AN202" s="32">
        <v>68910.799100000004</v>
      </c>
      <c r="AO202" s="33">
        <v>130975.29269586</v>
      </c>
      <c r="AP202" s="84">
        <f>+N202-'Приложение №2'!E202</f>
        <v>0</v>
      </c>
      <c r="AQ202" s="1">
        <v>547627.87</v>
      </c>
      <c r="AR202" s="1">
        <f t="shared" si="56"/>
        <v>112669.2</v>
      </c>
      <c r="AS202" s="1">
        <f>+(K202*10+L202*20)*12*30</f>
        <v>3976560</v>
      </c>
      <c r="AT202" s="29">
        <f t="shared" si="44"/>
        <v>-192902.44999999972</v>
      </c>
    </row>
    <row r="203" spans="1:51" x14ac:dyDescent="0.25">
      <c r="A203" s="76">
        <f t="shared" ref="A203:B203" si="97">+A202+1</f>
        <v>187</v>
      </c>
      <c r="B203" s="77">
        <f t="shared" si="97"/>
        <v>187</v>
      </c>
      <c r="C203" s="81" t="s">
        <v>724</v>
      </c>
      <c r="D203" s="77" t="s">
        <v>1149</v>
      </c>
      <c r="E203" s="78" t="s">
        <v>722</v>
      </c>
      <c r="F203" s="78"/>
      <c r="G203" s="78" t="s">
        <v>44</v>
      </c>
      <c r="H203" s="78" t="s">
        <v>575</v>
      </c>
      <c r="I203" s="78" t="s">
        <v>572</v>
      </c>
      <c r="J203" s="44">
        <v>1440.7</v>
      </c>
      <c r="K203" s="44">
        <v>820.56</v>
      </c>
      <c r="L203" s="44">
        <v>349.5</v>
      </c>
      <c r="M203" s="79">
        <v>48</v>
      </c>
      <c r="N203" s="129">
        <f t="shared" si="89"/>
        <v>566057.97</v>
      </c>
      <c r="O203" s="44">
        <v>0</v>
      </c>
      <c r="P203" s="162">
        <v>0</v>
      </c>
      <c r="Q203" s="162">
        <v>0</v>
      </c>
      <c r="R203" s="162">
        <v>566057.97</v>
      </c>
      <c r="S203" s="162"/>
      <c r="T203" s="162">
        <v>0</v>
      </c>
      <c r="U203" s="68">
        <f t="shared" si="79"/>
        <v>483.78542126044817</v>
      </c>
      <c r="V203" s="68">
        <f t="shared" si="79"/>
        <v>483.78542126044817</v>
      </c>
      <c r="W203" s="80">
        <v>2022</v>
      </c>
      <c r="X203" s="29"/>
      <c r="Z203" s="73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74"/>
      <c r="AO203" s="74"/>
      <c r="AP203" s="84">
        <f>+N203-'Приложение №2'!E203</f>
        <v>0</v>
      </c>
      <c r="AT203" s="29">
        <f t="shared" ref="AT203:AT273" si="98">+S203-AS203</f>
        <v>0</v>
      </c>
    </row>
    <row r="204" spans="1:51" x14ac:dyDescent="0.25">
      <c r="A204" s="76">
        <f t="shared" ref="A204:B204" si="99">+A203+1</f>
        <v>188</v>
      </c>
      <c r="B204" s="77">
        <f t="shared" si="99"/>
        <v>188</v>
      </c>
      <c r="C204" s="81" t="s">
        <v>724</v>
      </c>
      <c r="D204" s="77" t="s">
        <v>1150</v>
      </c>
      <c r="E204" s="78" t="s">
        <v>723</v>
      </c>
      <c r="F204" s="78"/>
      <c r="G204" s="78" t="s">
        <v>44</v>
      </c>
      <c r="H204" s="78" t="s">
        <v>575</v>
      </c>
      <c r="I204" s="78" t="s">
        <v>576</v>
      </c>
      <c r="J204" s="44">
        <v>819.9</v>
      </c>
      <c r="K204" s="44">
        <v>649</v>
      </c>
      <c r="L204" s="44">
        <v>0</v>
      </c>
      <c r="M204" s="79">
        <v>30</v>
      </c>
      <c r="N204" s="129">
        <f t="shared" si="89"/>
        <v>10770762.300000001</v>
      </c>
      <c r="O204" s="44">
        <v>0</v>
      </c>
      <c r="P204" s="162">
        <v>0</v>
      </c>
      <c r="Q204" s="162">
        <v>0</v>
      </c>
      <c r="R204" s="162">
        <v>10770762.300000001</v>
      </c>
      <c r="S204" s="162"/>
      <c r="T204" s="162">
        <v>0</v>
      </c>
      <c r="U204" s="68">
        <f t="shared" si="79"/>
        <v>16595.935747303545</v>
      </c>
      <c r="V204" s="68">
        <f t="shared" si="79"/>
        <v>16595.935747303545</v>
      </c>
      <c r="W204" s="80">
        <v>2022</v>
      </c>
      <c r="X204" s="29"/>
      <c r="Z204" s="73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74"/>
      <c r="AO204" s="74"/>
      <c r="AP204" s="84">
        <f>+N204-'Приложение №2'!E204</f>
        <v>0</v>
      </c>
      <c r="AT204" s="29">
        <f t="shared" si="98"/>
        <v>0</v>
      </c>
    </row>
    <row r="205" spans="1:51" s="55" customFormat="1" x14ac:dyDescent="0.25">
      <c r="A205" s="54"/>
      <c r="B205" s="54"/>
      <c r="D205" s="56">
        <v>2023</v>
      </c>
      <c r="E205" s="60"/>
      <c r="F205" s="60"/>
      <c r="G205" s="60"/>
      <c r="H205" s="60"/>
      <c r="I205" s="60"/>
      <c r="J205" s="61">
        <f>SUM(J207:J477)</f>
        <v>950079.66999999969</v>
      </c>
      <c r="K205" s="61">
        <f>SUM(K207:K477)</f>
        <v>790870.09000000055</v>
      </c>
      <c r="L205" s="61">
        <f>SUM(L207:L477)</f>
        <v>45445.069999999985</v>
      </c>
      <c r="M205" s="61">
        <f>SUM(M207:M477)</f>
        <v>33325</v>
      </c>
      <c r="N205" s="61">
        <f>SUM(O205:T205)</f>
        <v>2718078353.2890844</v>
      </c>
      <c r="O205" s="61">
        <f>SUM(O207:O477)</f>
        <v>0</v>
      </c>
      <c r="P205" s="61">
        <f>SUM(P206:P479)</f>
        <v>442532900.00351125</v>
      </c>
      <c r="Q205" s="61">
        <f>SUM(Q206:Q479)</f>
        <v>1737314.8149999999</v>
      </c>
      <c r="R205" s="61">
        <f>SUM(R206:R479)</f>
        <v>383569104.28792131</v>
      </c>
      <c r="S205" s="61">
        <f>SUM(S206:S479)</f>
        <v>1261209094.9256399</v>
      </c>
      <c r="T205" s="61">
        <f>SUM(T206:T479)</f>
        <v>629029939.25701165</v>
      </c>
      <c r="U205" s="62"/>
      <c r="V205" s="62"/>
      <c r="W205" s="63"/>
      <c r="X205" s="64"/>
      <c r="Z205" s="65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6"/>
      <c r="AO205" s="66"/>
      <c r="AP205" s="87">
        <f>+N205-'Приложение №2'!E205</f>
        <v>0</v>
      </c>
      <c r="AT205" s="64">
        <f>+P205+Q205+R205+S205+T205-'Приложение №2'!E205</f>
        <v>0</v>
      </c>
    </row>
    <row r="206" spans="1:51" x14ac:dyDescent="0.25">
      <c r="A206" s="76">
        <f>+A204+1</f>
        <v>189</v>
      </c>
      <c r="B206" s="77">
        <v>1</v>
      </c>
      <c r="C206" s="77" t="s">
        <v>54</v>
      </c>
      <c r="D206" s="77" t="s">
        <v>453</v>
      </c>
      <c r="E206" s="78">
        <v>1997</v>
      </c>
      <c r="F206" s="78">
        <v>2013</v>
      </c>
      <c r="G206" s="78" t="s">
        <v>44</v>
      </c>
      <c r="H206" s="78">
        <v>3</v>
      </c>
      <c r="I206" s="78">
        <v>3</v>
      </c>
      <c r="J206" s="44">
        <v>2554.6999999999998</v>
      </c>
      <c r="K206" s="44">
        <v>1158.4000000000001</v>
      </c>
      <c r="L206" s="44">
        <v>157.9</v>
      </c>
      <c r="M206" s="79">
        <v>40</v>
      </c>
      <c r="N206" s="72">
        <f t="shared" ref="N206:N268" si="100">+P206+Q206+R206+S206+T206</f>
        <v>20790092.609999999</v>
      </c>
      <c r="O206" s="44"/>
      <c r="P206" s="44">
        <v>7389025.9417176796</v>
      </c>
      <c r="Q206" s="44"/>
      <c r="R206" s="44">
        <f>+AQ206+AR206+647925.87</f>
        <v>1537451.98</v>
      </c>
      <c r="S206" s="44">
        <f>+AS206</f>
        <v>5307120</v>
      </c>
      <c r="T206" s="44">
        <f>+'Приложение №2'!E206-'Приложение №1'!P206-'Приложение №1'!Q206-'Приложение №1'!R206-'Приложение №1'!S206</f>
        <v>6556494.6882823184</v>
      </c>
      <c r="U206" s="44">
        <f t="shared" ref="U206:V225" si="101">$N206/($K206+$L206)</f>
        <v>15794.34217883461</v>
      </c>
      <c r="V206" s="44">
        <f t="shared" si="101"/>
        <v>15794.34217883461</v>
      </c>
      <c r="W206" s="80">
        <v>2023</v>
      </c>
      <c r="X206" s="29" t="e">
        <f>+#REF!-'[1]Приложение №1'!$P1469</f>
        <v>#REF!</v>
      </c>
      <c r="Z206" s="28">
        <f>SUM(AA206:AO206)</f>
        <v>50522516.669999994</v>
      </c>
      <c r="AA206" s="27">
        <v>5373102.4124122793</v>
      </c>
      <c r="AB206" s="27">
        <v>2799379.0984185603</v>
      </c>
      <c r="AC206" s="27">
        <v>1158345.46972326</v>
      </c>
      <c r="AD206" s="27">
        <v>601928.63075688004</v>
      </c>
      <c r="AE206" s="27">
        <v>0</v>
      </c>
      <c r="AF206" s="27"/>
      <c r="AG206" s="27">
        <v>439165.68767148</v>
      </c>
      <c r="AH206" s="27">
        <v>0</v>
      </c>
      <c r="AI206" s="27">
        <v>12048310.589364</v>
      </c>
      <c r="AJ206" s="27">
        <v>4856893.85457318</v>
      </c>
      <c r="AK206" s="27">
        <v>13999412.94979164</v>
      </c>
      <c r="AL206" s="27">
        <v>2997543.6040317602</v>
      </c>
      <c r="AM206" s="27">
        <v>4775024.6969000008</v>
      </c>
      <c r="AN206" s="27">
        <v>505225.1667</v>
      </c>
      <c r="AO206" s="30">
        <v>968184.50965696003</v>
      </c>
      <c r="AP206" s="84">
        <f>+N206-'Приложение №2'!E206</f>
        <v>0</v>
      </c>
      <c r="AQ206" s="1">
        <v>739157.71</v>
      </c>
      <c r="AR206" s="1">
        <f t="shared" ref="AR206:AR219" si="102">+(K206*10+L206*20)*12*0.85</f>
        <v>150368.4</v>
      </c>
      <c r="AS206" s="1">
        <f>+(K206*10+L206*20)*12*30</f>
        <v>5307120</v>
      </c>
      <c r="AT206" s="29">
        <f t="shared" si="98"/>
        <v>0</v>
      </c>
      <c r="AU206" s="29">
        <f>+P206-'[6]Приложение №1'!$P209</f>
        <v>0</v>
      </c>
      <c r="AV206" s="29">
        <f>+Q206-'[6]Приложение №1'!$Q209</f>
        <v>0</v>
      </c>
      <c r="AW206" s="29">
        <f>+R206-'[6]Приложение №1'!$R209</f>
        <v>647925.87</v>
      </c>
      <c r="AX206" s="29">
        <f>+S206-'[6]Приложение №1'!$S209</f>
        <v>0</v>
      </c>
      <c r="AY206" s="29">
        <f>+T206-'[6]Приложение №1'!$T209</f>
        <v>0</v>
      </c>
    </row>
    <row r="207" spans="1:51" s="35" customFormat="1" x14ac:dyDescent="0.25">
      <c r="A207" s="135">
        <f t="shared" ref="A207:A279" si="103">+A206+1</f>
        <v>190</v>
      </c>
      <c r="B207" s="134">
        <f t="shared" ref="B207:B279" si="104">+B206+1</f>
        <v>2</v>
      </c>
      <c r="C207" s="77" t="s">
        <v>59</v>
      </c>
      <c r="D207" s="77" t="s">
        <v>1148</v>
      </c>
      <c r="E207" s="78" t="s">
        <v>584</v>
      </c>
      <c r="F207" s="78"/>
      <c r="G207" s="78" t="s">
        <v>570</v>
      </c>
      <c r="H207" s="78" t="s">
        <v>582</v>
      </c>
      <c r="I207" s="78" t="s">
        <v>579</v>
      </c>
      <c r="J207" s="44">
        <v>3725.6</v>
      </c>
      <c r="K207" s="44">
        <v>3166.8</v>
      </c>
      <c r="L207" s="44">
        <v>0</v>
      </c>
      <c r="M207" s="79">
        <v>150</v>
      </c>
      <c r="N207" s="72">
        <f t="shared" si="100"/>
        <v>5736141.376241859</v>
      </c>
      <c r="O207" s="44">
        <v>0</v>
      </c>
      <c r="P207" s="68"/>
      <c r="Q207" s="68">
        <v>0</v>
      </c>
      <c r="R207" s="68">
        <f>+AQ207+AR207</f>
        <v>1967279.13</v>
      </c>
      <c r="S207" s="68">
        <f>+'Приложение №2'!E207-'Приложение №1'!R207</f>
        <v>3768862.2462418592</v>
      </c>
      <c r="T207" s="68"/>
      <c r="U207" s="44">
        <f t="shared" si="101"/>
        <v>1811.3367993690347</v>
      </c>
      <c r="V207" s="44">
        <f t="shared" si="101"/>
        <v>1811.3367993690347</v>
      </c>
      <c r="W207" s="80">
        <v>2023</v>
      </c>
      <c r="X207" s="35">
        <v>1326436.8899999999</v>
      </c>
      <c r="Y207" s="35">
        <f>+(K207*9.1+L207*18.19)*12</f>
        <v>345814.56</v>
      </c>
      <c r="AA207" s="36">
        <f>+N207-'[5]Приложение № 2'!E200</f>
        <v>-18708048.753342781</v>
      </c>
      <c r="AD207" s="36">
        <f>+N207-'[5]Приложение № 2'!E200</f>
        <v>-18708048.753342781</v>
      </c>
      <c r="AP207" s="84">
        <f>+N207-'Приложение №2'!E207</f>
        <v>0</v>
      </c>
      <c r="AQ207" s="35">
        <v>1644265.53</v>
      </c>
      <c r="AR207" s="1">
        <f t="shared" si="102"/>
        <v>323013.59999999998</v>
      </c>
      <c r="AS207" s="1">
        <f>+(K207*10+L207*20)*12*30</f>
        <v>11400480</v>
      </c>
      <c r="AT207" s="29">
        <f t="shared" si="98"/>
        <v>-7631617.7537581408</v>
      </c>
      <c r="AU207" s="29">
        <f>+P207-'[6]Приложение №1'!$P210</f>
        <v>0</v>
      </c>
      <c r="AV207" s="29">
        <f>+Q207-'[6]Приложение №1'!$Q210</f>
        <v>0</v>
      </c>
      <c r="AW207" s="29">
        <f>+R207-'[6]Приложение №1'!$R210</f>
        <v>0</v>
      </c>
      <c r="AX207" s="29">
        <f>+S207-'[6]Приложение №1'!$S210</f>
        <v>0</v>
      </c>
      <c r="AY207" s="29">
        <f>+T207-'[6]Приложение №1'!$T210</f>
        <v>0</v>
      </c>
    </row>
    <row r="208" spans="1:51" s="35" customFormat="1" x14ac:dyDescent="0.25">
      <c r="A208" s="135">
        <f t="shared" si="103"/>
        <v>191</v>
      </c>
      <c r="B208" s="134">
        <f t="shared" si="104"/>
        <v>3</v>
      </c>
      <c r="C208" s="77" t="s">
        <v>59</v>
      </c>
      <c r="D208" s="77" t="s">
        <v>120</v>
      </c>
      <c r="E208" s="78" t="s">
        <v>585</v>
      </c>
      <c r="F208" s="78"/>
      <c r="G208" s="78" t="s">
        <v>570</v>
      </c>
      <c r="H208" s="78" t="s">
        <v>582</v>
      </c>
      <c r="I208" s="78" t="s">
        <v>583</v>
      </c>
      <c r="J208" s="44">
        <v>5474.4</v>
      </c>
      <c r="K208" s="44">
        <v>4591</v>
      </c>
      <c r="L208" s="44">
        <v>74.8</v>
      </c>
      <c r="M208" s="79">
        <v>142</v>
      </c>
      <c r="N208" s="72">
        <f t="shared" si="100"/>
        <v>11407565.540871266</v>
      </c>
      <c r="O208" s="44">
        <v>0</v>
      </c>
      <c r="P208" s="68">
        <v>5182536.9001926761</v>
      </c>
      <c r="Q208" s="68">
        <v>0</v>
      </c>
      <c r="R208" s="68">
        <f>+AR208</f>
        <v>483541.2</v>
      </c>
      <c r="S208" s="68"/>
      <c r="T208" s="44">
        <f>+'Приложение №2'!E208-'Приложение №1'!P208-'Приложение №1'!Q208-'Приложение №1'!R208-'Приложение №1'!S208</f>
        <v>5741487.44067859</v>
      </c>
      <c r="U208" s="44">
        <f t="shared" si="101"/>
        <v>2444.9323890589535</v>
      </c>
      <c r="V208" s="44">
        <f t="shared" si="101"/>
        <v>2444.9323890589535</v>
      </c>
      <c r="W208" s="80">
        <v>2023</v>
      </c>
      <c r="X208" s="35">
        <v>1911755.57</v>
      </c>
      <c r="Y208" s="35">
        <f>+(K208*9.1+L208*18.19)*12</f>
        <v>517664.54399999999</v>
      </c>
      <c r="AA208" s="36">
        <f>+N208-'[5]Приложение № 2'!E201</f>
        <v>-17241659.040460575</v>
      </c>
      <c r="AD208" s="36">
        <f>+N208-'[5]Приложение № 2'!E201</f>
        <v>-17241659.040460575</v>
      </c>
      <c r="AP208" s="84">
        <f>+N208-'Приложение №2'!E208</f>
        <v>0</v>
      </c>
      <c r="AQ208" s="37">
        <f>2359832.72-R17</f>
        <v>-343147.54946666723</v>
      </c>
      <c r="AR208" s="1">
        <f t="shared" si="102"/>
        <v>483541.2</v>
      </c>
      <c r="AS208" s="1">
        <f>+(K208*10+L208*20)*12*30-S17</f>
        <v>-4053688.4800000004</v>
      </c>
      <c r="AT208" s="29">
        <f t="shared" si="98"/>
        <v>4053688.4800000004</v>
      </c>
      <c r="AU208" s="29">
        <f>+P208-'[6]Приложение №1'!$P211</f>
        <v>0</v>
      </c>
      <c r="AV208" s="29">
        <f>+Q208-'[6]Приложение №1'!$Q211</f>
        <v>0</v>
      </c>
      <c r="AW208" s="29">
        <f>+R208-'[6]Приложение №1'!$R211</f>
        <v>0</v>
      </c>
      <c r="AX208" s="29">
        <f>+S208-'[6]Приложение №1'!$S211</f>
        <v>0</v>
      </c>
      <c r="AY208" s="29">
        <f>+T208-'[6]Приложение №1'!$T211</f>
        <v>0</v>
      </c>
    </row>
    <row r="209" spans="1:51" s="35" customFormat="1" x14ac:dyDescent="0.25">
      <c r="A209" s="135">
        <f t="shared" si="103"/>
        <v>192</v>
      </c>
      <c r="B209" s="134">
        <f t="shared" si="104"/>
        <v>4</v>
      </c>
      <c r="C209" s="77" t="s">
        <v>59</v>
      </c>
      <c r="D209" s="77" t="s">
        <v>121</v>
      </c>
      <c r="E209" s="78" t="s">
        <v>586</v>
      </c>
      <c r="F209" s="78"/>
      <c r="G209" s="78" t="s">
        <v>570</v>
      </c>
      <c r="H209" s="78" t="s">
        <v>582</v>
      </c>
      <c r="I209" s="78" t="s">
        <v>583</v>
      </c>
      <c r="J209" s="44">
        <v>4657</v>
      </c>
      <c r="K209" s="44">
        <v>4657</v>
      </c>
      <c r="L209" s="44">
        <v>0</v>
      </c>
      <c r="M209" s="79">
        <v>172</v>
      </c>
      <c r="N209" s="72">
        <f t="shared" si="100"/>
        <v>11490103.106160862</v>
      </c>
      <c r="O209" s="44">
        <v>0</v>
      </c>
      <c r="P209" s="68">
        <v>5072123.3467405867</v>
      </c>
      <c r="Q209" s="68">
        <v>0</v>
      </c>
      <c r="R209" s="68">
        <f>+AR209</f>
        <v>475014</v>
      </c>
      <c r="S209" s="68">
        <f>+'Приложение №2'!E209-'Приложение №1'!R209-P209</f>
        <v>5942965.7594202757</v>
      </c>
      <c r="T209" s="44">
        <f>+'Приложение №2'!E209-'Приложение №1'!P209-'Приложение №1'!Q209-'Приложение №1'!R209-'Приложение №1'!S209</f>
        <v>0</v>
      </c>
      <c r="U209" s="44">
        <f t="shared" si="101"/>
        <v>2467.2757367749327</v>
      </c>
      <c r="V209" s="44">
        <f t="shared" si="101"/>
        <v>2467.2757367749327</v>
      </c>
      <c r="W209" s="80">
        <v>2023</v>
      </c>
      <c r="X209" s="35">
        <v>1982772.77</v>
      </c>
      <c r="Y209" s="35">
        <f>+(K209*9.1+L209*18.19)*12</f>
        <v>508544.39999999997</v>
      </c>
      <c r="AA209" s="36">
        <f>+N209-'[5]Приложение № 2'!E202</f>
        <v>-1659631.5638391394</v>
      </c>
      <c r="AD209" s="36">
        <f>+N209-'[5]Приложение № 2'!E202</f>
        <v>-1659631.5638391394</v>
      </c>
      <c r="AP209" s="84">
        <f>+N209-'Приложение №2'!E209</f>
        <v>0</v>
      </c>
      <c r="AQ209" s="37">
        <f>2457007.84-R18</f>
        <v>-475014</v>
      </c>
      <c r="AR209" s="1">
        <f t="shared" si="102"/>
        <v>475014</v>
      </c>
      <c r="AS209" s="1">
        <f>+(K209*10+L209*20)*12*30</f>
        <v>16765200</v>
      </c>
      <c r="AT209" s="29">
        <f t="shared" si="98"/>
        <v>-10822234.240579724</v>
      </c>
      <c r="AU209" s="29">
        <f>+P209-'[6]Приложение №1'!$P212</f>
        <v>0</v>
      </c>
      <c r="AV209" s="29">
        <f>+Q209-'[6]Приложение №1'!$Q212</f>
        <v>0</v>
      </c>
      <c r="AW209" s="29">
        <f>+R209-'[6]Приложение №1'!$R212</f>
        <v>0</v>
      </c>
      <c r="AX209" s="29">
        <f>+S209-'[6]Приложение №1'!$S212</f>
        <v>0</v>
      </c>
      <c r="AY209" s="29">
        <f>+T209-'[6]Приложение №1'!$T212</f>
        <v>0</v>
      </c>
    </row>
    <row r="210" spans="1:51" s="35" customFormat="1" x14ac:dyDescent="0.25">
      <c r="A210" s="135">
        <f t="shared" si="103"/>
        <v>193</v>
      </c>
      <c r="B210" s="134">
        <f t="shared" si="104"/>
        <v>5</v>
      </c>
      <c r="C210" s="77" t="s">
        <v>59</v>
      </c>
      <c r="D210" s="77" t="s">
        <v>122</v>
      </c>
      <c r="E210" s="78" t="s">
        <v>587</v>
      </c>
      <c r="F210" s="78"/>
      <c r="G210" s="78" t="s">
        <v>570</v>
      </c>
      <c r="H210" s="78" t="s">
        <v>582</v>
      </c>
      <c r="I210" s="78" t="s">
        <v>579</v>
      </c>
      <c r="J210" s="44">
        <v>3725.7</v>
      </c>
      <c r="K210" s="44">
        <v>3170.6</v>
      </c>
      <c r="L210" s="44">
        <v>0</v>
      </c>
      <c r="M210" s="79">
        <v>120</v>
      </c>
      <c r="N210" s="72">
        <f t="shared" si="100"/>
        <v>8312375.0256017661</v>
      </c>
      <c r="O210" s="44">
        <v>0</v>
      </c>
      <c r="P210" s="68">
        <v>7782041.3511919565</v>
      </c>
      <c r="Q210" s="68">
        <v>0</v>
      </c>
      <c r="R210" s="68">
        <f>+AR210</f>
        <v>323401.2</v>
      </c>
      <c r="S210" s="68"/>
      <c r="T210" s="68">
        <f>+'Приложение №2'!E210-'Приложение №1'!P210-'Приложение №1'!R210-'Приложение №1'!S210</f>
        <v>206932.47440980951</v>
      </c>
      <c r="U210" s="44">
        <f t="shared" si="101"/>
        <v>2621.704101937099</v>
      </c>
      <c r="V210" s="44">
        <f t="shared" si="101"/>
        <v>2621.704101937099</v>
      </c>
      <c r="W210" s="80">
        <v>2023</v>
      </c>
      <c r="X210" s="35">
        <v>1250350.7</v>
      </c>
      <c r="Y210" s="35">
        <f>+(K210*9.1+L210*18.19)*12</f>
        <v>346229.52</v>
      </c>
      <c r="AA210" s="36">
        <f>+N210-'[5]Приложение № 2'!E203</f>
        <v>6753474.4956017658</v>
      </c>
      <c r="AD210" s="36">
        <f>+N210-'[5]Приложение № 2'!E203</f>
        <v>6753474.4956017658</v>
      </c>
      <c r="AP210" s="84">
        <f>+N210-'Приложение №2'!E210</f>
        <v>0</v>
      </c>
      <c r="AQ210" s="37">
        <f>1554485.44-R19</f>
        <v>-323401.19999999995</v>
      </c>
      <c r="AR210" s="1">
        <f t="shared" si="102"/>
        <v>323401.2</v>
      </c>
      <c r="AS210" s="1">
        <f>+(K210*10+L210*20)*12*30-S19</f>
        <v>0</v>
      </c>
      <c r="AT210" s="29">
        <f t="shared" si="98"/>
        <v>0</v>
      </c>
      <c r="AU210" s="29">
        <f>+P210-'[6]Приложение №1'!$P213</f>
        <v>0</v>
      </c>
      <c r="AV210" s="29">
        <f>+Q210-'[6]Приложение №1'!$Q213</f>
        <v>0</v>
      </c>
      <c r="AW210" s="29">
        <f>+R210-'[6]Приложение №1'!$R213</f>
        <v>0</v>
      </c>
      <c r="AX210" s="29">
        <f>+S210-'[6]Приложение №1'!$S213</f>
        <v>0</v>
      </c>
      <c r="AY210" s="29">
        <f>+T210-'[6]Приложение №1'!$T213</f>
        <v>0</v>
      </c>
    </row>
    <row r="211" spans="1:51" x14ac:dyDescent="0.25">
      <c r="A211" s="135">
        <f t="shared" si="103"/>
        <v>194</v>
      </c>
      <c r="B211" s="134">
        <f t="shared" si="104"/>
        <v>6</v>
      </c>
      <c r="C211" s="77" t="s">
        <v>60</v>
      </c>
      <c r="D211" s="77" t="s">
        <v>125</v>
      </c>
      <c r="E211" s="78">
        <v>1985</v>
      </c>
      <c r="F211" s="78">
        <v>1985</v>
      </c>
      <c r="G211" s="78" t="s">
        <v>44</v>
      </c>
      <c r="H211" s="78">
        <v>4</v>
      </c>
      <c r="I211" s="78">
        <v>2</v>
      </c>
      <c r="J211" s="44">
        <v>1511.1</v>
      </c>
      <c r="K211" s="44">
        <v>1366.85</v>
      </c>
      <c r="L211" s="44">
        <v>0</v>
      </c>
      <c r="M211" s="79">
        <v>62</v>
      </c>
      <c r="N211" s="72">
        <f t="shared" si="100"/>
        <v>3192771.5425127186</v>
      </c>
      <c r="O211" s="44"/>
      <c r="P211" s="68">
        <v>478248.08737109351</v>
      </c>
      <c r="Q211" s="68"/>
      <c r="R211" s="68">
        <f t="shared" ref="R211:R222" si="105">+AQ211+AR211</f>
        <v>732918.84</v>
      </c>
      <c r="S211" s="68">
        <f>+'Приложение №2'!E211-'Приложение №1'!P211-'Приложение №1'!Q211-'Приложение №1'!R211</f>
        <v>1981604.6151416251</v>
      </c>
      <c r="T211" s="44"/>
      <c r="U211" s="44">
        <f t="shared" si="101"/>
        <v>2335.8609521986455</v>
      </c>
      <c r="V211" s="44">
        <f t="shared" si="101"/>
        <v>2335.8609521986455</v>
      </c>
      <c r="W211" s="80">
        <v>2023</v>
      </c>
      <c r="X211" s="29" t="e">
        <f>+#REF!-'[1]Приложение №1'!$P557</f>
        <v>#REF!</v>
      </c>
      <c r="Z211" s="31">
        <f>SUM(AA211:AO211)</f>
        <v>7089248.6021132804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/>
      <c r="AG211" s="27">
        <v>0</v>
      </c>
      <c r="AH211" s="27">
        <v>0</v>
      </c>
      <c r="AI211" s="27">
        <v>0</v>
      </c>
      <c r="AJ211" s="27">
        <v>2448913.4700000002</v>
      </c>
      <c r="AK211" s="27">
        <v>3110879.85</v>
      </c>
      <c r="AL211" s="27">
        <v>1036083.9228779406</v>
      </c>
      <c r="AM211" s="27">
        <v>392917.04065692797</v>
      </c>
      <c r="AN211" s="32">
        <v>18562.626065692799</v>
      </c>
      <c r="AO211" s="33">
        <v>81891.69251271851</v>
      </c>
      <c r="AP211" s="84">
        <f>+N211-'Приложение №2'!E211</f>
        <v>0</v>
      </c>
      <c r="AQ211" s="1">
        <v>593500.14</v>
      </c>
      <c r="AR211" s="1">
        <f t="shared" si="102"/>
        <v>139418.69999999998</v>
      </c>
      <c r="AS211" s="1">
        <f t="shared" ref="AS211:AS219" si="106">+(K211*10+L211*20)*12*30</f>
        <v>4920660</v>
      </c>
      <c r="AT211" s="29">
        <f t="shared" si="98"/>
        <v>-2939055.3848583749</v>
      </c>
      <c r="AU211" s="29">
        <f>+P211-'[6]Приложение №1'!$P214</f>
        <v>0</v>
      </c>
      <c r="AV211" s="29">
        <f>+Q211-'[6]Приложение №1'!$Q214</f>
        <v>0</v>
      </c>
      <c r="AW211" s="29">
        <f>+R211-'[6]Приложение №1'!$R214</f>
        <v>0</v>
      </c>
      <c r="AX211" s="29">
        <f>+S211-'[6]Приложение №1'!$S214</f>
        <v>0</v>
      </c>
      <c r="AY211" s="29">
        <f>+T211-'[6]Приложение №1'!$T214</f>
        <v>0</v>
      </c>
    </row>
    <row r="212" spans="1:51" x14ac:dyDescent="0.25">
      <c r="A212" s="135">
        <f t="shared" si="103"/>
        <v>195</v>
      </c>
      <c r="B212" s="134">
        <f t="shared" si="104"/>
        <v>7</v>
      </c>
      <c r="C212" s="77" t="s">
        <v>60</v>
      </c>
      <c r="D212" s="77" t="s">
        <v>280</v>
      </c>
      <c r="E212" s="78">
        <v>1989</v>
      </c>
      <c r="F212" s="78">
        <v>2012</v>
      </c>
      <c r="G212" s="78" t="s">
        <v>44</v>
      </c>
      <c r="H212" s="78">
        <v>5</v>
      </c>
      <c r="I212" s="78">
        <v>4</v>
      </c>
      <c r="J212" s="44">
        <v>5759.5</v>
      </c>
      <c r="K212" s="44">
        <v>4823.5</v>
      </c>
      <c r="L212" s="44">
        <v>45.7</v>
      </c>
      <c r="M212" s="79">
        <v>161</v>
      </c>
      <c r="N212" s="72">
        <f t="shared" si="100"/>
        <v>7061196.7887973767</v>
      </c>
      <c r="O212" s="44"/>
      <c r="P212" s="68"/>
      <c r="Q212" s="68"/>
      <c r="R212" s="68">
        <f t="shared" si="105"/>
        <v>2885461.1399999997</v>
      </c>
      <c r="S212" s="68">
        <f>+'Приложение №2'!E212-'Приложение №1'!R212</f>
        <v>4175735.648797377</v>
      </c>
      <c r="T212" s="68">
        <f>+'Приложение №2'!E212-'Приложение №1'!P212-'Приложение №1'!Q212-'Приложение №1'!R212-'Приложение №1'!S212</f>
        <v>0</v>
      </c>
      <c r="U212" s="44">
        <f t="shared" si="101"/>
        <v>1450.1759608965285</v>
      </c>
      <c r="V212" s="44">
        <f t="shared" si="101"/>
        <v>1450.1759608965285</v>
      </c>
      <c r="W212" s="80">
        <v>2023</v>
      </c>
      <c r="X212" s="29" t="e">
        <f>+#REF!-'[1]Приложение №1'!$P1506</f>
        <v>#REF!</v>
      </c>
      <c r="Z212" s="31">
        <f>SUM(AA212:AO212)</f>
        <v>25451028.17090496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/>
      <c r="AG212" s="27">
        <v>0</v>
      </c>
      <c r="AH212" s="27">
        <v>0</v>
      </c>
      <c r="AI212" s="27">
        <v>0</v>
      </c>
      <c r="AJ212" s="27">
        <v>8223538.8330426235</v>
      </c>
      <c r="AK212" s="27">
        <v>10255795.807027867</v>
      </c>
      <c r="AL212" s="27">
        <v>3687340.1494918675</v>
      </c>
      <c r="AM212" s="27">
        <v>2545102.8170904964</v>
      </c>
      <c r="AN212" s="32">
        <v>254510.28170904962</v>
      </c>
      <c r="AO212" s="33">
        <v>484740.28254305595</v>
      </c>
      <c r="AP212" s="84">
        <f>+N212-'Приложение №2'!E212</f>
        <v>0</v>
      </c>
      <c r="AQ212" s="1">
        <v>2384141.34</v>
      </c>
      <c r="AR212" s="1">
        <f t="shared" si="102"/>
        <v>501319.8</v>
      </c>
      <c r="AS212" s="1">
        <f t="shared" si="106"/>
        <v>17693640</v>
      </c>
      <c r="AT212" s="29">
        <f t="shared" si="98"/>
        <v>-13517904.351202622</v>
      </c>
      <c r="AU212" s="29">
        <f>+P212-'[6]Приложение №1'!$P215</f>
        <v>0</v>
      </c>
      <c r="AV212" s="29">
        <f>+Q212-'[6]Приложение №1'!$Q215</f>
        <v>0</v>
      </c>
      <c r="AW212" s="29">
        <f>+R212-'[6]Приложение №1'!$R215</f>
        <v>0</v>
      </c>
      <c r="AX212" s="29">
        <f>+S212-'[6]Приложение №1'!$S215</f>
        <v>0</v>
      </c>
      <c r="AY212" s="29">
        <f>+T212-'[6]Приложение №1'!$T215</f>
        <v>0</v>
      </c>
    </row>
    <row r="213" spans="1:51" s="35" customFormat="1" x14ac:dyDescent="0.25">
      <c r="A213" s="135">
        <f t="shared" si="103"/>
        <v>196</v>
      </c>
      <c r="B213" s="134">
        <f t="shared" si="104"/>
        <v>8</v>
      </c>
      <c r="C213" s="77" t="s">
        <v>595</v>
      </c>
      <c r="D213" s="77" t="s">
        <v>596</v>
      </c>
      <c r="E213" s="78" t="s">
        <v>597</v>
      </c>
      <c r="F213" s="78"/>
      <c r="G213" s="78" t="s">
        <v>570</v>
      </c>
      <c r="H213" s="78" t="s">
        <v>582</v>
      </c>
      <c r="I213" s="78" t="s">
        <v>579</v>
      </c>
      <c r="J213" s="44">
        <v>3731.6</v>
      </c>
      <c r="K213" s="44">
        <v>3131.6</v>
      </c>
      <c r="L213" s="44">
        <v>600</v>
      </c>
      <c r="M213" s="79">
        <v>135</v>
      </c>
      <c r="N213" s="72">
        <f t="shared" si="100"/>
        <v>21778467.133572862</v>
      </c>
      <c r="O213" s="44">
        <v>0</v>
      </c>
      <c r="P213" s="68">
        <v>1120717.4520800433</v>
      </c>
      <c r="Q213" s="68">
        <v>0</v>
      </c>
      <c r="R213" s="68">
        <f t="shared" si="105"/>
        <v>1473604.42</v>
      </c>
      <c r="S213" s="68">
        <f t="shared" ref="S213:S218" si="107">+AS213</f>
        <v>15593760</v>
      </c>
      <c r="T213" s="68">
        <f>+'Приложение №2'!E213-'Приложение №1'!P213-'Приложение №1'!R213-'Приложение №1'!S213</f>
        <v>3590385.2614928186</v>
      </c>
      <c r="U213" s="44">
        <f t="shared" si="101"/>
        <v>5836.227659334565</v>
      </c>
      <c r="V213" s="44">
        <f t="shared" si="101"/>
        <v>5836.227659334565</v>
      </c>
      <c r="W213" s="80">
        <v>2023</v>
      </c>
      <c r="X213" s="35">
        <v>812156.34</v>
      </c>
      <c r="Y213" s="35">
        <f t="shared" ref="Y213:Y218" si="108">+(K213*9.1+L213*18.19)*12</f>
        <v>472938.72</v>
      </c>
      <c r="AA213" s="36">
        <f>+N213-'[5]Приложение № 2'!E205</f>
        <v>14967133.702427261</v>
      </c>
      <c r="AD213" s="36">
        <f>+N213-'[5]Приложение № 2'!E205</f>
        <v>14967133.702427261</v>
      </c>
      <c r="AP213" s="84">
        <f>+N213-'Приложение №2'!E213</f>
        <v>0</v>
      </c>
      <c r="AQ213" s="35">
        <v>1031781.22</v>
      </c>
      <c r="AR213" s="1">
        <f t="shared" si="102"/>
        <v>441823.2</v>
      </c>
      <c r="AS213" s="1">
        <f t="shared" si="106"/>
        <v>15593760</v>
      </c>
      <c r="AT213" s="29">
        <f t="shared" si="98"/>
        <v>0</v>
      </c>
      <c r="AU213" s="29">
        <f>+P213-'[6]Приложение №1'!$P216</f>
        <v>0</v>
      </c>
      <c r="AV213" s="29">
        <f>+Q213-'[6]Приложение №1'!$Q216</f>
        <v>0</v>
      </c>
      <c r="AW213" s="29">
        <f>+R213-'[6]Приложение №1'!$R216</f>
        <v>0</v>
      </c>
      <c r="AX213" s="29">
        <f>+S213-'[6]Приложение №1'!$S216</f>
        <v>0</v>
      </c>
      <c r="AY213" s="29">
        <f>+T213-'[6]Приложение №1'!$T216</f>
        <v>2832093.4422520753</v>
      </c>
    </row>
    <row r="214" spans="1:51" s="35" customFormat="1" x14ac:dyDescent="0.25">
      <c r="A214" s="135">
        <f t="shared" si="103"/>
        <v>197</v>
      </c>
      <c r="B214" s="134">
        <f t="shared" si="104"/>
        <v>9</v>
      </c>
      <c r="C214" s="77" t="s">
        <v>595</v>
      </c>
      <c r="D214" s="77" t="s">
        <v>598</v>
      </c>
      <c r="E214" s="78" t="s">
        <v>599</v>
      </c>
      <c r="F214" s="78"/>
      <c r="G214" s="78" t="s">
        <v>570</v>
      </c>
      <c r="H214" s="78" t="s">
        <v>582</v>
      </c>
      <c r="I214" s="78" t="s">
        <v>582</v>
      </c>
      <c r="J214" s="44">
        <v>4283</v>
      </c>
      <c r="K214" s="44">
        <v>3860.1</v>
      </c>
      <c r="L214" s="44">
        <v>409</v>
      </c>
      <c r="M214" s="79">
        <v>142</v>
      </c>
      <c r="N214" s="72">
        <f t="shared" si="100"/>
        <v>24576346.384432133</v>
      </c>
      <c r="O214" s="44">
        <v>0</v>
      </c>
      <c r="P214" s="68">
        <v>1586711.6355164612</v>
      </c>
      <c r="Q214" s="68">
        <v>0</v>
      </c>
      <c r="R214" s="68">
        <f t="shared" si="105"/>
        <v>1815383.5899999999</v>
      </c>
      <c r="S214" s="68">
        <f t="shared" si="107"/>
        <v>16841160</v>
      </c>
      <c r="T214" s="68">
        <f>+'Приложение №2'!E214-'Приложение №1'!P214-'Приложение №1'!R214-'Приложение №1'!S214</f>
        <v>4333091.1589156725</v>
      </c>
      <c r="U214" s="44">
        <f t="shared" si="101"/>
        <v>5756.7980099862107</v>
      </c>
      <c r="V214" s="44">
        <f t="shared" si="101"/>
        <v>5756.7980099862107</v>
      </c>
      <c r="W214" s="80">
        <v>2023</v>
      </c>
      <c r="X214" s="35">
        <v>1086066.79</v>
      </c>
      <c r="Y214" s="35">
        <f t="shared" si="108"/>
        <v>510799.43999999994</v>
      </c>
      <c r="AA214" s="36">
        <f>+N214-'[5]Приложение № 2'!E206</f>
        <v>11447164.084432133</v>
      </c>
      <c r="AD214" s="36">
        <f>+N214-'[5]Приложение № 2'!E206</f>
        <v>11447164.084432133</v>
      </c>
      <c r="AP214" s="84">
        <f>+N214-'Приложение №2'!E214</f>
        <v>0</v>
      </c>
      <c r="AQ214" s="35">
        <v>1338217.3899999999</v>
      </c>
      <c r="AR214" s="1">
        <f t="shared" si="102"/>
        <v>477166.2</v>
      </c>
      <c r="AS214" s="1">
        <f t="shared" si="106"/>
        <v>16841160</v>
      </c>
      <c r="AT214" s="29">
        <f t="shared" si="98"/>
        <v>0</v>
      </c>
      <c r="AU214" s="29">
        <f>+P214-'[6]Приложение №1'!$P217</f>
        <v>0</v>
      </c>
      <c r="AV214" s="29">
        <f>+Q214-'[6]Приложение №1'!$Q217</f>
        <v>0</v>
      </c>
      <c r="AW214" s="29">
        <f>+R214-'[6]Приложение №1'!$R217</f>
        <v>0</v>
      </c>
      <c r="AX214" s="29">
        <f>+S214-'[6]Приложение №1'!$S217</f>
        <v>0</v>
      </c>
      <c r="AY214" s="29">
        <f>+T214-'[6]Приложение №1'!$T217</f>
        <v>2819041.4160054661</v>
      </c>
    </row>
    <row r="215" spans="1:51" s="35" customFormat="1" x14ac:dyDescent="0.25">
      <c r="A215" s="135">
        <f t="shared" si="103"/>
        <v>198</v>
      </c>
      <c r="B215" s="134">
        <f t="shared" si="104"/>
        <v>10</v>
      </c>
      <c r="C215" s="77" t="s">
        <v>595</v>
      </c>
      <c r="D215" s="77" t="s">
        <v>600</v>
      </c>
      <c r="E215" s="78" t="s">
        <v>601</v>
      </c>
      <c r="F215" s="78"/>
      <c r="G215" s="78" t="s">
        <v>570</v>
      </c>
      <c r="H215" s="78" t="s">
        <v>582</v>
      </c>
      <c r="I215" s="78" t="s">
        <v>575</v>
      </c>
      <c r="J215" s="44">
        <v>3806</v>
      </c>
      <c r="K215" s="44">
        <v>3356.9</v>
      </c>
      <c r="L215" s="44">
        <v>351</v>
      </c>
      <c r="M215" s="79">
        <v>104</v>
      </c>
      <c r="N215" s="72">
        <f t="shared" si="100"/>
        <v>22966511.338083457</v>
      </c>
      <c r="O215" s="44">
        <v>0</v>
      </c>
      <c r="P215" s="68">
        <v>1385807.9601764705</v>
      </c>
      <c r="Q215" s="68">
        <v>0</v>
      </c>
      <c r="R215" s="68">
        <f t="shared" si="105"/>
        <v>1723427.12</v>
      </c>
      <c r="S215" s="68">
        <f t="shared" si="107"/>
        <v>14612040</v>
      </c>
      <c r="T215" s="68">
        <f>+'Приложение №2'!E215-'Приложение №1'!P215-'Приложение №1'!R215-'Приложение №1'!S215</f>
        <v>5245236.2579069845</v>
      </c>
      <c r="U215" s="44">
        <f t="shared" si="101"/>
        <v>6193.9403268921642</v>
      </c>
      <c r="V215" s="44">
        <f t="shared" si="101"/>
        <v>6193.9403268921642</v>
      </c>
      <c r="W215" s="80">
        <v>2023</v>
      </c>
      <c r="X215" s="35">
        <v>1052695.6299999999</v>
      </c>
      <c r="Y215" s="35">
        <f t="shared" si="108"/>
        <v>443189.76000000001</v>
      </c>
      <c r="AA215" s="36">
        <f>+N215-'[5]Приложение № 2'!E207</f>
        <v>9623692.4980834555</v>
      </c>
      <c r="AD215" s="36">
        <f>+N215-'[5]Приложение № 2'!E207</f>
        <v>9623692.4980834555</v>
      </c>
      <c r="AP215" s="84">
        <f>+N215-'Приложение №2'!E215</f>
        <v>0</v>
      </c>
      <c r="AQ215" s="35">
        <v>1309419.32</v>
      </c>
      <c r="AR215" s="1">
        <f t="shared" si="102"/>
        <v>414007.8</v>
      </c>
      <c r="AS215" s="1">
        <f t="shared" si="106"/>
        <v>14612040</v>
      </c>
      <c r="AT215" s="29">
        <f t="shared" si="98"/>
        <v>0</v>
      </c>
      <c r="AU215" s="29">
        <f>+P215-'[6]Приложение №1'!$P218</f>
        <v>0</v>
      </c>
      <c r="AV215" s="29">
        <f>+Q215-'[6]Приложение №1'!$Q218</f>
        <v>0</v>
      </c>
      <c r="AW215" s="29">
        <f>+R215-'[6]Приложение №1'!$R218</f>
        <v>0</v>
      </c>
      <c r="AX215" s="29">
        <f>+S215-'[6]Приложение №1'!$S218</f>
        <v>0</v>
      </c>
      <c r="AY215" s="29">
        <f>+T215-'[6]Приложение №1'!$T218</f>
        <v>3574551.2314435951</v>
      </c>
    </row>
    <row r="216" spans="1:51" s="35" customFormat="1" x14ac:dyDescent="0.25">
      <c r="A216" s="135">
        <f t="shared" si="103"/>
        <v>199</v>
      </c>
      <c r="B216" s="134">
        <f t="shared" si="104"/>
        <v>11</v>
      </c>
      <c r="C216" s="77" t="s">
        <v>595</v>
      </c>
      <c r="D216" s="77" t="s">
        <v>602</v>
      </c>
      <c r="E216" s="78" t="s">
        <v>578</v>
      </c>
      <c r="F216" s="78"/>
      <c r="G216" s="78" t="s">
        <v>570</v>
      </c>
      <c r="H216" s="78" t="s">
        <v>582</v>
      </c>
      <c r="I216" s="78" t="s">
        <v>575</v>
      </c>
      <c r="J216" s="44">
        <v>3860</v>
      </c>
      <c r="K216" s="44">
        <v>3379.8</v>
      </c>
      <c r="L216" s="44">
        <v>405</v>
      </c>
      <c r="M216" s="79">
        <v>121</v>
      </c>
      <c r="N216" s="72">
        <f t="shared" si="100"/>
        <v>22903242.711807746</v>
      </c>
      <c r="O216" s="44">
        <v>0</v>
      </c>
      <c r="P216" s="68">
        <v>1423763.6988494929</v>
      </c>
      <c r="Q216" s="68">
        <v>0</v>
      </c>
      <c r="R216" s="68">
        <f t="shared" si="105"/>
        <v>1519004.0299999998</v>
      </c>
      <c r="S216" s="68">
        <f t="shared" si="107"/>
        <v>15083280</v>
      </c>
      <c r="T216" s="68">
        <f>+'Приложение №2'!E216-'Приложение №1'!P216-'Приложение №1'!R216-'Приложение №1'!S216</f>
        <v>4877194.9829582535</v>
      </c>
      <c r="U216" s="44">
        <f t="shared" si="101"/>
        <v>6051.3746332191249</v>
      </c>
      <c r="V216" s="44">
        <f t="shared" si="101"/>
        <v>6051.3746332191249</v>
      </c>
      <c r="W216" s="80">
        <v>2023</v>
      </c>
      <c r="X216" s="35">
        <v>866092.98</v>
      </c>
      <c r="Y216" s="35">
        <f t="shared" si="108"/>
        <v>457477.56000000006</v>
      </c>
      <c r="AA216" s="36">
        <f>+N216-'[5]Приложение № 2'!E208</f>
        <v>15835761.287052546</v>
      </c>
      <c r="AD216" s="36">
        <f>+N216-'[5]Приложение № 2'!E208</f>
        <v>15835761.287052546</v>
      </c>
      <c r="AP216" s="84">
        <f>+N216-'Приложение №2'!E216</f>
        <v>0</v>
      </c>
      <c r="AQ216" s="35">
        <v>1091644.43</v>
      </c>
      <c r="AR216" s="1">
        <f t="shared" si="102"/>
        <v>427359.6</v>
      </c>
      <c r="AS216" s="1">
        <f t="shared" si="106"/>
        <v>15083280</v>
      </c>
      <c r="AT216" s="29">
        <f t="shared" si="98"/>
        <v>0</v>
      </c>
      <c r="AU216" s="29">
        <f>+P216-'[6]Приложение №1'!$P219</f>
        <v>0</v>
      </c>
      <c r="AV216" s="29">
        <f>+Q216-'[6]Приложение №1'!$Q219</f>
        <v>0</v>
      </c>
      <c r="AW216" s="29">
        <f>+R216-'[6]Приложение №1'!$R219</f>
        <v>0</v>
      </c>
      <c r="AX216" s="29">
        <f>+S216-'[6]Приложение №1'!$S219</f>
        <v>0</v>
      </c>
      <c r="AY216" s="29">
        <f>+T216-'[6]Приложение №1'!$T219</f>
        <v>3268322.1584945899</v>
      </c>
    </row>
    <row r="217" spans="1:51" s="35" customFormat="1" x14ac:dyDescent="0.25">
      <c r="A217" s="135">
        <f t="shared" si="103"/>
        <v>200</v>
      </c>
      <c r="B217" s="134">
        <f t="shared" si="104"/>
        <v>12</v>
      </c>
      <c r="C217" s="77" t="s">
        <v>595</v>
      </c>
      <c r="D217" s="77" t="s">
        <v>603</v>
      </c>
      <c r="E217" s="78" t="s">
        <v>581</v>
      </c>
      <c r="F217" s="78"/>
      <c r="G217" s="78" t="s">
        <v>570</v>
      </c>
      <c r="H217" s="78" t="s">
        <v>582</v>
      </c>
      <c r="I217" s="78" t="s">
        <v>575</v>
      </c>
      <c r="J217" s="44">
        <v>3821</v>
      </c>
      <c r="K217" s="44">
        <v>3372.2</v>
      </c>
      <c r="L217" s="44">
        <v>340</v>
      </c>
      <c r="M217" s="79">
        <v>99</v>
      </c>
      <c r="N217" s="72">
        <f t="shared" si="100"/>
        <v>22818884.543440126</v>
      </c>
      <c r="O217" s="44">
        <v>0</v>
      </c>
      <c r="P217" s="68">
        <v>1428537.26925231</v>
      </c>
      <c r="Q217" s="68">
        <v>0</v>
      </c>
      <c r="R217" s="68">
        <f t="shared" si="105"/>
        <v>1661944.5499999998</v>
      </c>
      <c r="S217" s="68">
        <f t="shared" si="107"/>
        <v>14587920</v>
      </c>
      <c r="T217" s="68">
        <f>+'Приложение №2'!E217-'Приложение №1'!P217-'Приложение №1'!R217-'Приложение №1'!S217</f>
        <v>5140482.7241878174</v>
      </c>
      <c r="U217" s="44">
        <f t="shared" si="101"/>
        <v>6146.997614201855</v>
      </c>
      <c r="V217" s="44">
        <f t="shared" si="101"/>
        <v>6146.997614201855</v>
      </c>
      <c r="W217" s="80">
        <v>2023</v>
      </c>
      <c r="X217" s="35">
        <v>992414.38</v>
      </c>
      <c r="Y217" s="35">
        <f t="shared" si="108"/>
        <v>442459.43999999994</v>
      </c>
      <c r="AA217" s="36">
        <f>+N217-'[5]Приложение № 2'!E209</f>
        <v>12982311.202604927</v>
      </c>
      <c r="AD217" s="36">
        <f>+N217-'[5]Приложение № 2'!E209</f>
        <v>12982311.202604927</v>
      </c>
      <c r="AP217" s="84">
        <f>+N217-'Приложение №2'!E217</f>
        <v>0</v>
      </c>
      <c r="AQ217" s="35">
        <v>1248620.1499999999</v>
      </c>
      <c r="AR217" s="1">
        <f t="shared" si="102"/>
        <v>413324.39999999997</v>
      </c>
      <c r="AS217" s="1">
        <f t="shared" si="106"/>
        <v>14587920</v>
      </c>
      <c r="AT217" s="29">
        <f t="shared" si="98"/>
        <v>0</v>
      </c>
      <c r="AU217" s="29">
        <f>+P217-'[6]Приложение №1'!$P220</f>
        <v>0</v>
      </c>
      <c r="AV217" s="29">
        <f>+Q217-'[6]Приложение №1'!$Q220</f>
        <v>0</v>
      </c>
      <c r="AW217" s="29">
        <f>+R217-'[6]Приложение №1'!$R220</f>
        <v>0</v>
      </c>
      <c r="AX217" s="29">
        <f>+S217-'[6]Приложение №1'!$S220</f>
        <v>0</v>
      </c>
      <c r="AY217" s="29">
        <f>+T217-'[6]Приложение №1'!$T220</f>
        <v>3375868.7893910185</v>
      </c>
    </row>
    <row r="218" spans="1:51" s="35" customFormat="1" x14ac:dyDescent="0.25">
      <c r="A218" s="135">
        <f t="shared" si="103"/>
        <v>201</v>
      </c>
      <c r="B218" s="134">
        <f t="shared" si="104"/>
        <v>13</v>
      </c>
      <c r="C218" s="77" t="s">
        <v>595</v>
      </c>
      <c r="D218" s="77" t="s">
        <v>604</v>
      </c>
      <c r="E218" s="78" t="s">
        <v>605</v>
      </c>
      <c r="F218" s="78"/>
      <c r="G218" s="78" t="s">
        <v>570</v>
      </c>
      <c r="H218" s="78" t="s">
        <v>582</v>
      </c>
      <c r="I218" s="78" t="s">
        <v>572</v>
      </c>
      <c r="J218" s="44">
        <v>2573</v>
      </c>
      <c r="K218" s="44">
        <v>2123.1</v>
      </c>
      <c r="L218" s="44">
        <v>269</v>
      </c>
      <c r="M218" s="79">
        <v>69</v>
      </c>
      <c r="N218" s="72">
        <f t="shared" si="100"/>
        <v>15360216.49027008</v>
      </c>
      <c r="O218" s="44">
        <v>0</v>
      </c>
      <c r="P218" s="68">
        <v>935511.44753736479</v>
      </c>
      <c r="Q218" s="68">
        <v>0</v>
      </c>
      <c r="R218" s="68">
        <f t="shared" si="105"/>
        <v>1041519.8300000001</v>
      </c>
      <c r="S218" s="68">
        <f t="shared" si="107"/>
        <v>9579960</v>
      </c>
      <c r="T218" s="68">
        <f>+'Приложение №2'!E218-'Приложение №1'!P218-'Приложение №1'!R218-'Приложение №1'!S218</f>
        <v>3803225.2127327155</v>
      </c>
      <c r="U218" s="44">
        <f t="shared" si="101"/>
        <v>6421.2267423059575</v>
      </c>
      <c r="V218" s="44">
        <f t="shared" si="101"/>
        <v>6421.2267423059575</v>
      </c>
      <c r="W218" s="80">
        <v>2023</v>
      </c>
      <c r="X218" s="35">
        <v>606999.5</v>
      </c>
      <c r="Y218" s="35">
        <f t="shared" si="108"/>
        <v>290559.83999999997</v>
      </c>
      <c r="AA218" s="36">
        <f>+N218-'[5]Приложение № 2'!E210</f>
        <v>13844473.190270081</v>
      </c>
      <c r="AD218" s="36">
        <f>+N218-'[5]Приложение № 2'!E210</f>
        <v>13844473.190270081</v>
      </c>
      <c r="AP218" s="84">
        <f>+N218-'Приложение №2'!E218</f>
        <v>0</v>
      </c>
      <c r="AQ218" s="35">
        <v>770087.63</v>
      </c>
      <c r="AR218" s="1">
        <f t="shared" si="102"/>
        <v>271432.2</v>
      </c>
      <c r="AS218" s="1">
        <f t="shared" si="106"/>
        <v>9579960</v>
      </c>
      <c r="AT218" s="29">
        <f t="shared" si="98"/>
        <v>0</v>
      </c>
      <c r="AU218" s="29">
        <f>+P218-'[6]Приложение №1'!$P221</f>
        <v>0</v>
      </c>
      <c r="AV218" s="29">
        <f>+Q218-'[6]Приложение №1'!$Q221</f>
        <v>0</v>
      </c>
      <c r="AW218" s="29">
        <f>+R218-'[6]Приложение №1'!$R221</f>
        <v>0</v>
      </c>
      <c r="AX218" s="29">
        <f>+S218-'[6]Приложение №1'!$S221</f>
        <v>0</v>
      </c>
      <c r="AY218" s="29">
        <f>+T218-'[6]Приложение №1'!$T221</f>
        <v>2148310.1464976911</v>
      </c>
    </row>
    <row r="219" spans="1:51" x14ac:dyDescent="0.25">
      <c r="A219" s="135">
        <f t="shared" si="103"/>
        <v>202</v>
      </c>
      <c r="B219" s="134">
        <f t="shared" si="104"/>
        <v>14</v>
      </c>
      <c r="C219" s="77" t="s">
        <v>545</v>
      </c>
      <c r="D219" s="77" t="s">
        <v>127</v>
      </c>
      <c r="E219" s="78">
        <v>1983</v>
      </c>
      <c r="F219" s="78">
        <v>2016</v>
      </c>
      <c r="G219" s="78" t="s">
        <v>547</v>
      </c>
      <c r="H219" s="78">
        <v>4</v>
      </c>
      <c r="I219" s="78">
        <v>6</v>
      </c>
      <c r="J219" s="44">
        <v>4031.7</v>
      </c>
      <c r="K219" s="44">
        <v>3532.1</v>
      </c>
      <c r="L219" s="44">
        <v>54.9</v>
      </c>
      <c r="M219" s="79">
        <v>133</v>
      </c>
      <c r="N219" s="72">
        <f t="shared" si="100"/>
        <v>2774182.8301903871</v>
      </c>
      <c r="O219" s="44"/>
      <c r="P219" s="68"/>
      <c r="Q219" s="68"/>
      <c r="R219" s="68">
        <f t="shared" si="105"/>
        <v>1943422.02</v>
      </c>
      <c r="S219" s="68">
        <f>+'Приложение №2'!E219-'Приложение №1'!R219</f>
        <v>830760.81019038707</v>
      </c>
      <c r="T219" s="68">
        <v>0</v>
      </c>
      <c r="U219" s="44">
        <f t="shared" si="101"/>
        <v>773.39917206311316</v>
      </c>
      <c r="V219" s="44">
        <f t="shared" si="101"/>
        <v>773.39917206311316</v>
      </c>
      <c r="W219" s="80">
        <v>2023</v>
      </c>
      <c r="X219" s="29" t="e">
        <f>+#REF!-'[1]Приложение №1'!$P558</f>
        <v>#REF!</v>
      </c>
      <c r="Z219" s="31">
        <f t="shared" ref="Z219:Z225" si="109">SUM(AA219:AO219)</f>
        <v>3117059.35976448</v>
      </c>
      <c r="AA219" s="27">
        <v>0</v>
      </c>
      <c r="AB219" s="27">
        <v>0</v>
      </c>
      <c r="AC219" s="27">
        <v>2714815.3176243128</v>
      </c>
      <c r="AD219" s="27">
        <v>0</v>
      </c>
      <c r="AE219" s="27">
        <v>0</v>
      </c>
      <c r="AF219" s="27"/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311705.935976448</v>
      </c>
      <c r="AN219" s="32">
        <v>31170.593597644802</v>
      </c>
      <c r="AO219" s="33">
        <v>59367.512566074292</v>
      </c>
      <c r="AP219" s="84">
        <f>+N219-'Приложение №2'!E219</f>
        <v>0</v>
      </c>
      <c r="AQ219" s="1">
        <v>1571948.22</v>
      </c>
      <c r="AR219" s="1">
        <f t="shared" si="102"/>
        <v>371473.8</v>
      </c>
      <c r="AS219" s="1">
        <f t="shared" si="106"/>
        <v>13110840</v>
      </c>
      <c r="AT219" s="29">
        <f t="shared" si="98"/>
        <v>-12280079.189809613</v>
      </c>
      <c r="AU219" s="29">
        <f>+P219-'[6]Приложение №1'!$P222</f>
        <v>0</v>
      </c>
      <c r="AV219" s="29">
        <f>+Q219-'[6]Приложение №1'!$Q222</f>
        <v>0</v>
      </c>
      <c r="AW219" s="29">
        <f>+R219-'[6]Приложение №1'!$R222</f>
        <v>0</v>
      </c>
      <c r="AX219" s="29">
        <f>+S219-'[6]Приложение №1'!$S222</f>
        <v>0</v>
      </c>
      <c r="AY219" s="29">
        <f>+T219-'[6]Приложение №1'!$T222</f>
        <v>0</v>
      </c>
    </row>
    <row r="220" spans="1:51" x14ac:dyDescent="0.25">
      <c r="A220" s="135">
        <f t="shared" si="103"/>
        <v>203</v>
      </c>
      <c r="B220" s="134">
        <f t="shared" si="104"/>
        <v>15</v>
      </c>
      <c r="C220" s="77" t="s">
        <v>545</v>
      </c>
      <c r="D220" s="77" t="s">
        <v>128</v>
      </c>
      <c r="E220" s="78">
        <v>1986</v>
      </c>
      <c r="F220" s="78">
        <v>2017</v>
      </c>
      <c r="G220" s="78" t="s">
        <v>547</v>
      </c>
      <c r="H220" s="78">
        <v>9</v>
      </c>
      <c r="I220" s="78">
        <v>1</v>
      </c>
      <c r="J220" s="44">
        <v>3148.9</v>
      </c>
      <c r="K220" s="44">
        <v>2686.2</v>
      </c>
      <c r="L220" s="44">
        <v>0</v>
      </c>
      <c r="M220" s="79">
        <v>112</v>
      </c>
      <c r="N220" s="72">
        <f t="shared" si="100"/>
        <v>1941089.6798392318</v>
      </c>
      <c r="O220" s="44"/>
      <c r="P220" s="68"/>
      <c r="Q220" s="68"/>
      <c r="R220" s="68">
        <f t="shared" si="105"/>
        <v>1857150.5096</v>
      </c>
      <c r="S220" s="68">
        <f>+'Приложение №2'!E220-'Приложение №1'!R220</f>
        <v>83939.170239231782</v>
      </c>
      <c r="T220" s="68">
        <v>0</v>
      </c>
      <c r="U220" s="44">
        <f t="shared" si="101"/>
        <v>722.61547161016745</v>
      </c>
      <c r="V220" s="44">
        <f t="shared" si="101"/>
        <v>722.61547161016745</v>
      </c>
      <c r="W220" s="80">
        <v>2023</v>
      </c>
      <c r="X220" s="29" t="e">
        <f>+#REF!-'[1]Приложение №1'!$P915</f>
        <v>#REF!</v>
      </c>
      <c r="Z220" s="31">
        <f t="shared" si="109"/>
        <v>9697051.4923279285</v>
      </c>
      <c r="AA220" s="27">
        <v>6428049.5552969025</v>
      </c>
      <c r="AB220" s="27">
        <v>0</v>
      </c>
      <c r="AC220" s="27">
        <v>1899550.3606906722</v>
      </c>
      <c r="AD220" s="27">
        <v>0</v>
      </c>
      <c r="AE220" s="27">
        <v>0</v>
      </c>
      <c r="AF220" s="27"/>
      <c r="AG220" s="27">
        <v>285589.26987220609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798538.78870673361</v>
      </c>
      <c r="AN220" s="32">
        <v>96970.51492327929</v>
      </c>
      <c r="AO220" s="33">
        <v>188353.00283813541</v>
      </c>
      <c r="AP220" s="84">
        <f>+N220-'Приложение №2'!E220</f>
        <v>0</v>
      </c>
      <c r="AQ220" s="1">
        <v>1493014.61</v>
      </c>
      <c r="AR220" s="1">
        <f>+(K220*13.29+L220*22.52)*12*0.85</f>
        <v>364135.89959999995</v>
      </c>
      <c r="AS220" s="1">
        <f>+(K220*13.29+L220*22.52)*12*30</f>
        <v>12851855.279999999</v>
      </c>
      <c r="AT220" s="29">
        <f t="shared" si="98"/>
        <v>-12767916.109760767</v>
      </c>
      <c r="AU220" s="29">
        <f>+P220-'[6]Приложение №1'!$P223</f>
        <v>0</v>
      </c>
      <c r="AV220" s="29">
        <f>+Q220-'[6]Приложение №1'!$Q223</f>
        <v>0</v>
      </c>
      <c r="AW220" s="29">
        <f>+R220-'[6]Приложение №1'!$R223</f>
        <v>0</v>
      </c>
      <c r="AX220" s="29">
        <f>+S220-'[6]Приложение №1'!$S223</f>
        <v>0</v>
      </c>
      <c r="AY220" s="29">
        <f>+T220-'[6]Приложение №1'!$T223</f>
        <v>0</v>
      </c>
    </row>
    <row r="221" spans="1:51" x14ac:dyDescent="0.25">
      <c r="A221" s="135">
        <f t="shared" si="103"/>
        <v>204</v>
      </c>
      <c r="B221" s="134">
        <f t="shared" si="104"/>
        <v>16</v>
      </c>
      <c r="C221" s="77" t="s">
        <v>545</v>
      </c>
      <c r="D221" s="77" t="s">
        <v>131</v>
      </c>
      <c r="E221" s="78">
        <v>1990</v>
      </c>
      <c r="F221" s="78">
        <v>1990</v>
      </c>
      <c r="G221" s="78" t="s">
        <v>547</v>
      </c>
      <c r="H221" s="78">
        <v>5</v>
      </c>
      <c r="I221" s="78">
        <v>6</v>
      </c>
      <c r="J221" s="44">
        <v>5149.8999999999996</v>
      </c>
      <c r="K221" s="44">
        <v>4605.8</v>
      </c>
      <c r="L221" s="44">
        <v>0</v>
      </c>
      <c r="M221" s="79">
        <v>217</v>
      </c>
      <c r="N221" s="72">
        <f t="shared" si="100"/>
        <v>3942804.3934862674</v>
      </c>
      <c r="O221" s="44"/>
      <c r="P221" s="68"/>
      <c r="Q221" s="68"/>
      <c r="R221" s="68">
        <f t="shared" si="105"/>
        <v>1325372.3700000001</v>
      </c>
      <c r="S221" s="68">
        <f>+'Приложение №2'!E221-'Приложение №1'!R221</f>
        <v>2617432.0234862673</v>
      </c>
      <c r="T221" s="68">
        <v>0</v>
      </c>
      <c r="U221" s="44">
        <f t="shared" si="101"/>
        <v>856.05201995012101</v>
      </c>
      <c r="V221" s="44">
        <f t="shared" si="101"/>
        <v>856.05201995012101</v>
      </c>
      <c r="W221" s="80">
        <v>2023</v>
      </c>
      <c r="X221" s="29" t="e">
        <f>+#REF!-'[1]Приложение №1'!$P917</f>
        <v>#REF!</v>
      </c>
      <c r="Z221" s="31">
        <f t="shared" si="109"/>
        <v>23542253.379726686</v>
      </c>
      <c r="AA221" s="27">
        <v>9139483.8463669065</v>
      </c>
      <c r="AB221" s="27">
        <v>3911901.5457636653</v>
      </c>
      <c r="AC221" s="27">
        <v>3492077.6109207738</v>
      </c>
      <c r="AD221" s="27">
        <v>3688350.5075333579</v>
      </c>
      <c r="AE221" s="27">
        <v>0</v>
      </c>
      <c r="AF221" s="27"/>
      <c r="AG221" s="27">
        <v>379458.89215323428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2244831.6606259868</v>
      </c>
      <c r="AN221" s="32">
        <v>235422.53379726686</v>
      </c>
      <c r="AO221" s="33">
        <v>450726.78256549343</v>
      </c>
      <c r="AP221" s="84">
        <f>+N221-'Приложение №2'!E221</f>
        <v>0</v>
      </c>
      <c r="AQ221" s="1">
        <f>2264861.1-76133.85-1333146.48</f>
        <v>855580.77</v>
      </c>
      <c r="AR221" s="1">
        <f>+(K221*10+L221*20)*12*0.85</f>
        <v>469791.6</v>
      </c>
      <c r="AS221" s="1">
        <f>+(K221*10+L221*20)*12*30-5321889.99-2719635.2</f>
        <v>8539354.8099999987</v>
      </c>
      <c r="AT221" s="29">
        <f t="shared" si="98"/>
        <v>-5921922.7865137309</v>
      </c>
      <c r="AU221" s="29">
        <f>+P221-'[6]Приложение №1'!$P224</f>
        <v>0</v>
      </c>
      <c r="AV221" s="29">
        <f>+Q221-'[6]Приложение №1'!$Q224</f>
        <v>0</v>
      </c>
      <c r="AW221" s="29">
        <f>+R221-'[6]Приложение №1'!$R224</f>
        <v>0</v>
      </c>
      <c r="AX221" s="29">
        <f>+S221-'[6]Приложение №1'!$S224</f>
        <v>0</v>
      </c>
      <c r="AY221" s="29">
        <f>+T221-'[6]Приложение №1'!$T224</f>
        <v>0</v>
      </c>
    </row>
    <row r="222" spans="1:51" x14ac:dyDescent="0.25">
      <c r="A222" s="135">
        <f t="shared" si="103"/>
        <v>205</v>
      </c>
      <c r="B222" s="134">
        <f t="shared" si="104"/>
        <v>17</v>
      </c>
      <c r="C222" s="77" t="s">
        <v>545</v>
      </c>
      <c r="D222" s="77" t="s">
        <v>129</v>
      </c>
      <c r="E222" s="78">
        <v>1981</v>
      </c>
      <c r="F222" s="78">
        <v>2010</v>
      </c>
      <c r="G222" s="78" t="s">
        <v>44</v>
      </c>
      <c r="H222" s="78">
        <v>4</v>
      </c>
      <c r="I222" s="78">
        <v>6</v>
      </c>
      <c r="J222" s="44">
        <v>4191.3</v>
      </c>
      <c r="K222" s="44">
        <v>2691</v>
      </c>
      <c r="L222" s="44">
        <v>827.4</v>
      </c>
      <c r="M222" s="79">
        <v>128</v>
      </c>
      <c r="N222" s="72">
        <f t="shared" si="100"/>
        <v>2933317.4926648322</v>
      </c>
      <c r="O222" s="44"/>
      <c r="P222" s="68"/>
      <c r="Q222" s="68"/>
      <c r="R222" s="68">
        <f t="shared" si="105"/>
        <v>1960747.23</v>
      </c>
      <c r="S222" s="68">
        <f>+'Приложение №2'!E222-'Приложение №1'!R222</f>
        <v>972570.26266483217</v>
      </c>
      <c r="T222" s="68">
        <v>0</v>
      </c>
      <c r="U222" s="44">
        <f t="shared" si="101"/>
        <v>833.70779123034106</v>
      </c>
      <c r="V222" s="44">
        <f t="shared" si="101"/>
        <v>833.70779123034106</v>
      </c>
      <c r="W222" s="80">
        <v>2023</v>
      </c>
      <c r="X222" s="29" t="e">
        <f>+#REF!-'[1]Приложение №1'!$P560</f>
        <v>#REF!</v>
      </c>
      <c r="Z222" s="31">
        <f t="shared" si="109"/>
        <v>3295862.3513088003</v>
      </c>
      <c r="AA222" s="27">
        <v>0</v>
      </c>
      <c r="AB222" s="27">
        <v>0</v>
      </c>
      <c r="AC222" s="27">
        <v>2870544.4983218047</v>
      </c>
      <c r="AD222" s="27">
        <v>0</v>
      </c>
      <c r="AE222" s="27">
        <v>0</v>
      </c>
      <c r="AF222" s="27"/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329586.23513088003</v>
      </c>
      <c r="AN222" s="32">
        <v>32958.623513088001</v>
      </c>
      <c r="AO222" s="33">
        <v>62772.994343027407</v>
      </c>
      <c r="AP222" s="84">
        <f>+N222-'Приложение №2'!E222</f>
        <v>0</v>
      </c>
      <c r="AQ222" s="1">
        <v>1517475.63</v>
      </c>
      <c r="AR222" s="1">
        <f>+(K222*10+L222*20)*12*0.85</f>
        <v>443271.6</v>
      </c>
      <c r="AS222" s="1">
        <f>+(K222*10+L222*20)*12*30</f>
        <v>15644880</v>
      </c>
      <c r="AT222" s="29">
        <f t="shared" si="98"/>
        <v>-14672309.737335168</v>
      </c>
      <c r="AU222" s="29">
        <f>+P222-'[6]Приложение №1'!$P225</f>
        <v>0</v>
      </c>
      <c r="AV222" s="29">
        <f>+Q222-'[6]Приложение №1'!$Q225</f>
        <v>0</v>
      </c>
      <c r="AW222" s="29">
        <f>+R222-'[6]Приложение №1'!$R225</f>
        <v>0</v>
      </c>
      <c r="AX222" s="29">
        <f>+S222-'[6]Приложение №1'!$S225</f>
        <v>0</v>
      </c>
      <c r="AY222" s="29">
        <f>+T222-'[6]Приложение №1'!$T225</f>
        <v>0</v>
      </c>
    </row>
    <row r="223" spans="1:51" x14ac:dyDescent="0.25">
      <c r="A223" s="135">
        <f t="shared" si="103"/>
        <v>206</v>
      </c>
      <c r="B223" s="134">
        <f t="shared" si="104"/>
        <v>18</v>
      </c>
      <c r="C223" s="77" t="s">
        <v>545</v>
      </c>
      <c r="D223" s="77" t="s">
        <v>281</v>
      </c>
      <c r="E223" s="78">
        <v>1990</v>
      </c>
      <c r="F223" s="78">
        <v>2017</v>
      </c>
      <c r="G223" s="78" t="s">
        <v>547</v>
      </c>
      <c r="H223" s="78">
        <v>10</v>
      </c>
      <c r="I223" s="78">
        <v>3</v>
      </c>
      <c r="J223" s="44">
        <v>10664.8</v>
      </c>
      <c r="K223" s="44">
        <v>8965.7000000000007</v>
      </c>
      <c r="L223" s="44">
        <v>241.2</v>
      </c>
      <c r="M223" s="79">
        <v>365</v>
      </c>
      <c r="N223" s="72">
        <f t="shared" si="100"/>
        <v>6651991.1786065921</v>
      </c>
      <c r="O223" s="44"/>
      <c r="P223" s="68"/>
      <c r="Q223" s="68"/>
      <c r="R223" s="68">
        <f>+'Приложение №2'!E223</f>
        <v>6651991.1786065921</v>
      </c>
      <c r="S223" s="68">
        <f>+'Приложение №2'!E223-'Приложение №1'!R223</f>
        <v>0</v>
      </c>
      <c r="T223" s="68">
        <v>4.6566128730773926E-10</v>
      </c>
      <c r="U223" s="44">
        <f t="shared" si="101"/>
        <v>722.50064393081175</v>
      </c>
      <c r="V223" s="44">
        <f t="shared" si="101"/>
        <v>722.50064393081175</v>
      </c>
      <c r="W223" s="80">
        <v>2023</v>
      </c>
      <c r="X223" s="29" t="e">
        <f>+#REF!-'[1]Приложение №1'!$P1170</f>
        <v>#REF!</v>
      </c>
      <c r="Z223" s="31">
        <f t="shared" si="109"/>
        <v>17451465.54755237</v>
      </c>
      <c r="AA223" s="27"/>
      <c r="AB223" s="27"/>
      <c r="AC223" s="27">
        <v>6509638.5673844106</v>
      </c>
      <c r="AD223" s="27">
        <v>4159957.4733218304</v>
      </c>
      <c r="AE223" s="27">
        <v>0</v>
      </c>
      <c r="AF223" s="27"/>
      <c r="AG223" s="27">
        <v>978696.30838074186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4391061.0735815065</v>
      </c>
      <c r="AN223" s="32">
        <v>482934.91690454783</v>
      </c>
      <c r="AO223" s="33">
        <v>929177.20797933068</v>
      </c>
      <c r="AP223" s="84">
        <f>+N223-'Приложение №2'!E223</f>
        <v>0</v>
      </c>
      <c r="AQ223" s="29">
        <f>6040448.13-R29</f>
        <v>5511413.1500000004</v>
      </c>
      <c r="AR223" s="1">
        <f>+(K223*13.29+L223*22.52)*12*0.85</f>
        <v>1270776.9653999999</v>
      </c>
      <c r="AS223" s="1">
        <f>+(K223*13.29+L223*22.52)*12*30-11155353.44</f>
        <v>33695598.280000001</v>
      </c>
      <c r="AT223" s="29">
        <f t="shared" si="98"/>
        <v>-33695598.280000001</v>
      </c>
      <c r="AU223" s="29">
        <f>+P223-'[6]Приложение №1'!$P226</f>
        <v>0</v>
      </c>
      <c r="AV223" s="29">
        <f>+Q223-'[6]Приложение №1'!$Q226</f>
        <v>0</v>
      </c>
      <c r="AW223" s="29">
        <f>+R223-'[6]Приложение №1'!$R226</f>
        <v>0</v>
      </c>
      <c r="AX223" s="29">
        <f>+S223-'[6]Приложение №1'!$S226</f>
        <v>0</v>
      </c>
      <c r="AY223" s="29">
        <f>+T223-'[6]Приложение №1'!$T226</f>
        <v>0</v>
      </c>
    </row>
    <row r="224" spans="1:51" x14ac:dyDescent="0.25">
      <c r="A224" s="135">
        <f t="shared" si="103"/>
        <v>207</v>
      </c>
      <c r="B224" s="134">
        <f t="shared" si="104"/>
        <v>19</v>
      </c>
      <c r="C224" s="77" t="s">
        <v>545</v>
      </c>
      <c r="D224" s="77" t="s">
        <v>133</v>
      </c>
      <c r="E224" s="78">
        <v>1990</v>
      </c>
      <c r="F224" s="78">
        <v>2017</v>
      </c>
      <c r="G224" s="78" t="s">
        <v>547</v>
      </c>
      <c r="H224" s="78">
        <v>9</v>
      </c>
      <c r="I224" s="78">
        <v>1</v>
      </c>
      <c r="J224" s="44">
        <v>4531.3</v>
      </c>
      <c r="K224" s="44">
        <v>3818.4</v>
      </c>
      <c r="L224" s="44">
        <v>61.2</v>
      </c>
      <c r="M224" s="79">
        <v>144</v>
      </c>
      <c r="N224" s="72">
        <f t="shared" si="100"/>
        <v>2815397.6870522881</v>
      </c>
      <c r="O224" s="44"/>
      <c r="P224" s="68"/>
      <c r="Q224" s="68"/>
      <c r="R224" s="68">
        <f>+AQ224+AR224</f>
        <v>1443415.5630734027</v>
      </c>
      <c r="S224" s="68">
        <f>+'Приложение №2'!E224-'Приложение №1'!R224</f>
        <v>1371982.1239788854</v>
      </c>
      <c r="T224" s="68">
        <v>1.1641532182693481E-10</v>
      </c>
      <c r="U224" s="44">
        <f t="shared" si="101"/>
        <v>725.69277426855558</v>
      </c>
      <c r="V224" s="44">
        <f t="shared" si="101"/>
        <v>725.69277426855558</v>
      </c>
      <c r="W224" s="80">
        <v>2023</v>
      </c>
      <c r="X224" s="29" t="e">
        <f>+#REF!-'[1]Приложение №1'!$P1172</f>
        <v>#REF!</v>
      </c>
      <c r="Z224" s="31">
        <f t="shared" si="109"/>
        <v>27882965.040892042</v>
      </c>
      <c r="AA224" s="27">
        <v>9323379.5626275707</v>
      </c>
      <c r="AB224" s="27">
        <v>3730241.0353664667</v>
      </c>
      <c r="AC224" s="27">
        <v>2755148.176549369</v>
      </c>
      <c r="AD224" s="27">
        <v>1760665.9922058834</v>
      </c>
      <c r="AE224" s="27">
        <v>0</v>
      </c>
      <c r="AF224" s="27"/>
      <c r="AG224" s="27">
        <v>414224.74097732303</v>
      </c>
      <c r="AH224" s="27">
        <v>0</v>
      </c>
      <c r="AI224" s="27">
        <v>0</v>
      </c>
      <c r="AJ224" s="27">
        <v>6482652.3339526588</v>
      </c>
      <c r="AK224" s="27">
        <v>0</v>
      </c>
      <c r="AL224" s="27">
        <v>0</v>
      </c>
      <c r="AM224" s="27">
        <v>2602794.861483254</v>
      </c>
      <c r="AN224" s="32">
        <v>278829.65040892042</v>
      </c>
      <c r="AO224" s="33">
        <v>535028.68732059724</v>
      </c>
      <c r="AP224" s="84">
        <f>+N224-'Приложение №2'!E224</f>
        <v>0</v>
      </c>
      <c r="AQ224" s="29">
        <f>1031818.0268-R30</f>
        <v>911743.01107340283</v>
      </c>
      <c r="AR224" s="1">
        <f>+(K224*13.29+L224*22.52)*12*0.85</f>
        <v>531672.55200000003</v>
      </c>
      <c r="AS224" s="1">
        <f>+(K224*13.29+L224*22.52)*12*30-6069421.82-'[2]Приложение №1'!$S$83</f>
        <v>12442831.953200001</v>
      </c>
      <c r="AT224" s="29">
        <f t="shared" si="98"/>
        <v>-11070849.829221116</v>
      </c>
      <c r="AU224" s="29">
        <f>+P224-'[6]Приложение №1'!$P227</f>
        <v>0</v>
      </c>
      <c r="AV224" s="29">
        <f>+Q224-'[6]Приложение №1'!$Q227</f>
        <v>0</v>
      </c>
      <c r="AW224" s="29">
        <f>+R224-'[6]Приложение №1'!$R227</f>
        <v>0</v>
      </c>
      <c r="AX224" s="29">
        <f>+S224-'[6]Приложение №1'!$S227</f>
        <v>0</v>
      </c>
      <c r="AY224" s="29">
        <f>+T224-'[6]Приложение №1'!$T227</f>
        <v>0</v>
      </c>
    </row>
    <row r="225" spans="1:51" x14ac:dyDescent="0.25">
      <c r="A225" s="135">
        <f t="shared" si="103"/>
        <v>208</v>
      </c>
      <c r="B225" s="134">
        <f t="shared" si="104"/>
        <v>20</v>
      </c>
      <c r="C225" s="77" t="s">
        <v>545</v>
      </c>
      <c r="D225" s="77" t="s">
        <v>282</v>
      </c>
      <c r="E225" s="78">
        <v>1984</v>
      </c>
      <c r="F225" s="78">
        <v>2016</v>
      </c>
      <c r="G225" s="78" t="s">
        <v>547</v>
      </c>
      <c r="H225" s="78">
        <v>5</v>
      </c>
      <c r="I225" s="78">
        <v>3</v>
      </c>
      <c r="J225" s="44">
        <v>5122</v>
      </c>
      <c r="K225" s="44">
        <v>4380.8500000000004</v>
      </c>
      <c r="L225" s="44">
        <v>19</v>
      </c>
      <c r="M225" s="79">
        <v>187</v>
      </c>
      <c r="N225" s="72">
        <f t="shared" si="100"/>
        <v>5085565.8713689661</v>
      </c>
      <c r="O225" s="44"/>
      <c r="P225" s="68">
        <v>2375276.4681759998</v>
      </c>
      <c r="Q225" s="68"/>
      <c r="R225" s="68">
        <f>+AQ225+AR225</f>
        <v>2523266.9500000002</v>
      </c>
      <c r="S225" s="68">
        <f>+'Приложение №2'!E225-'Приложение №1'!P225-'Приложение №1'!Q225-'Приложение №1'!R225</f>
        <v>187022.45319296606</v>
      </c>
      <c r="T225" s="68">
        <f>+'Приложение №2'!E225-'Приложение №1'!P225-'Приложение №1'!Q225-'Приложение №1'!R225-'Приложение №1'!S225</f>
        <v>0</v>
      </c>
      <c r="U225" s="44">
        <f t="shared" si="101"/>
        <v>1155.8498292825814</v>
      </c>
      <c r="V225" s="44">
        <f t="shared" si="101"/>
        <v>1155.8498292825814</v>
      </c>
      <c r="W225" s="80">
        <v>2023</v>
      </c>
      <c r="X225" s="29" t="e">
        <f>+#REF!-'[1]Приложение №1'!$P1115</f>
        <v>#REF!</v>
      </c>
      <c r="Z225" s="31">
        <f t="shared" si="109"/>
        <v>20776720.738175999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/>
      <c r="AG225" s="27">
        <v>0</v>
      </c>
      <c r="AH225" s="27">
        <v>0</v>
      </c>
      <c r="AI225" s="27">
        <v>0</v>
      </c>
      <c r="AJ225" s="27">
        <v>0</v>
      </c>
      <c r="AK225" s="27">
        <v>20147945.946807034</v>
      </c>
      <c r="AL225" s="27">
        <v>0</v>
      </c>
      <c r="AM225" s="27">
        <v>164180.01999999999</v>
      </c>
      <c r="AN225" s="27">
        <v>24000</v>
      </c>
      <c r="AO225" s="33">
        <v>440594.77136896638</v>
      </c>
      <c r="AP225" s="84">
        <f>+N225-'Приложение №2'!E225</f>
        <v>0</v>
      </c>
      <c r="AQ225" s="1">
        <v>2072544.25</v>
      </c>
      <c r="AR225" s="1">
        <f>+(K225*10+L225*20)*12*0.85</f>
        <v>450722.7</v>
      </c>
      <c r="AS225" s="1">
        <f>+(K225*10+L225*20)*12*30</f>
        <v>15907860</v>
      </c>
      <c r="AT225" s="29">
        <f t="shared" si="98"/>
        <v>-15720837.546807034</v>
      </c>
      <c r="AU225" s="29">
        <f>+P225-'[6]Приложение №1'!$P228</f>
        <v>0</v>
      </c>
      <c r="AV225" s="29">
        <f>+Q225-'[6]Приложение №1'!$Q228</f>
        <v>0</v>
      </c>
      <c r="AW225" s="29">
        <f>+R225-'[6]Приложение №1'!$R228</f>
        <v>0</v>
      </c>
      <c r="AX225" s="29">
        <f>+S225-'[6]Приложение №1'!$S228</f>
        <v>0</v>
      </c>
      <c r="AY225" s="29">
        <f>+T225-'[6]Приложение №1'!$T228</f>
        <v>0</v>
      </c>
    </row>
    <row r="226" spans="1:51" x14ac:dyDescent="0.25">
      <c r="A226" s="135">
        <f t="shared" si="103"/>
        <v>209</v>
      </c>
      <c r="B226" s="134">
        <f t="shared" si="104"/>
        <v>21</v>
      </c>
      <c r="C226" s="77" t="s">
        <v>546</v>
      </c>
      <c r="D226" s="77" t="s">
        <v>749</v>
      </c>
      <c r="E226" s="78" t="s">
        <v>631</v>
      </c>
      <c r="F226" s="78"/>
      <c r="G226" s="78" t="s">
        <v>573</v>
      </c>
      <c r="H226" s="78" t="s">
        <v>582</v>
      </c>
      <c r="I226" s="78" t="s">
        <v>582</v>
      </c>
      <c r="J226" s="44">
        <v>7800.5</v>
      </c>
      <c r="K226" s="44">
        <v>5577.8</v>
      </c>
      <c r="L226" s="44">
        <v>2222.6999999999998</v>
      </c>
      <c r="M226" s="79">
        <v>232</v>
      </c>
      <c r="N226" s="72">
        <f t="shared" si="100"/>
        <v>29033939.039601605</v>
      </c>
      <c r="O226" s="44"/>
      <c r="P226" s="81"/>
      <c r="Q226" s="68"/>
      <c r="R226" s="68">
        <f>+'Приложение №2'!E226</f>
        <v>29033939.039601605</v>
      </c>
      <c r="S226" s="68"/>
      <c r="T226" s="68"/>
      <c r="U226" s="44"/>
      <c r="V226" s="44"/>
      <c r="W226" s="80">
        <v>2023</v>
      </c>
      <c r="X226" s="29"/>
      <c r="Z226" s="31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33"/>
      <c r="AP226" s="84">
        <f>+N226-'Приложение №2'!E226</f>
        <v>0</v>
      </c>
      <c r="AT226" s="29">
        <f t="shared" si="98"/>
        <v>0</v>
      </c>
      <c r="AU226" s="29"/>
      <c r="AV226" s="29"/>
      <c r="AW226" s="29"/>
      <c r="AX226" s="29"/>
      <c r="AY226" s="29"/>
    </row>
    <row r="227" spans="1:51" x14ac:dyDescent="0.25">
      <c r="A227" s="135">
        <f t="shared" si="103"/>
        <v>210</v>
      </c>
      <c r="B227" s="134">
        <f t="shared" si="104"/>
        <v>22</v>
      </c>
      <c r="C227" s="77" t="s">
        <v>545</v>
      </c>
      <c r="D227" s="77" t="s">
        <v>43</v>
      </c>
      <c r="E227" s="78">
        <v>1984</v>
      </c>
      <c r="F227" s="78">
        <v>2017</v>
      </c>
      <c r="G227" s="78" t="s">
        <v>547</v>
      </c>
      <c r="H227" s="78">
        <v>5</v>
      </c>
      <c r="I227" s="78">
        <v>5</v>
      </c>
      <c r="J227" s="44">
        <v>5852.2</v>
      </c>
      <c r="K227" s="44">
        <v>4921.1000000000004</v>
      </c>
      <c r="L227" s="44">
        <v>51.7</v>
      </c>
      <c r="M227" s="79">
        <v>171</v>
      </c>
      <c r="N227" s="72">
        <f t="shared" si="100"/>
        <v>3925263.292793856</v>
      </c>
      <c r="O227" s="44"/>
      <c r="P227" s="68"/>
      <c r="Q227" s="68"/>
      <c r="R227" s="68">
        <f>+AQ227+AR227</f>
        <v>1586967.3900000001</v>
      </c>
      <c r="S227" s="68">
        <f>+'Приложение №2'!E227-'Приложение №1'!R227</f>
        <v>2338295.9027938559</v>
      </c>
      <c r="T227" s="68">
        <v>0</v>
      </c>
      <c r="U227" s="44">
        <f t="shared" ref="U227:V247" si="110">$N227/($K227+$L227)</f>
        <v>789.34670463196903</v>
      </c>
      <c r="V227" s="44">
        <f t="shared" si="110"/>
        <v>789.34670463196903</v>
      </c>
      <c r="W227" s="80">
        <v>2023</v>
      </c>
      <c r="X227" s="29" t="e">
        <f>+#REF!-'[1]Приложение №1'!$P566</f>
        <v>#REF!</v>
      </c>
      <c r="Z227" s="31">
        <f t="shared" ref="Z227:Z247" si="111">SUM(AA227:AO227)</f>
        <v>4410408.1941504003</v>
      </c>
      <c r="AA227" s="27">
        <v>0</v>
      </c>
      <c r="AB227" s="27">
        <v>0</v>
      </c>
      <c r="AC227" s="27">
        <v>3841262.6583280675</v>
      </c>
      <c r="AD227" s="27">
        <v>0</v>
      </c>
      <c r="AE227" s="27">
        <v>0</v>
      </c>
      <c r="AF227" s="27"/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441040.81941504008</v>
      </c>
      <c r="AN227" s="32">
        <v>44104.081941504002</v>
      </c>
      <c r="AO227" s="33">
        <v>84000.634465788535</v>
      </c>
      <c r="AP227" s="84">
        <f>+N227-'Приложение №2'!E227</f>
        <v>0</v>
      </c>
      <c r="AQ227" s="1">
        <f>2251183.06-1176714.67</f>
        <v>1074468.3900000001</v>
      </c>
      <c r="AR227" s="1">
        <f>+(K227*10+L227*20)*12*0.85</f>
        <v>512499</v>
      </c>
      <c r="AS227" s="1">
        <f>+(K227*10+L227*20)*12*30</f>
        <v>18088200</v>
      </c>
      <c r="AT227" s="29">
        <f t="shared" si="98"/>
        <v>-15749904.097206144</v>
      </c>
      <c r="AU227" s="29">
        <f>+P227-'[6]Приложение №1'!$P229</f>
        <v>0</v>
      </c>
      <c r="AV227" s="29">
        <f>+Q227-'[6]Приложение №1'!$Q229</f>
        <v>0</v>
      </c>
      <c r="AW227" s="29">
        <f>+R227-'[6]Приложение №1'!$R229</f>
        <v>0</v>
      </c>
      <c r="AX227" s="29">
        <f>+S227-'[6]Приложение №1'!$S229</f>
        <v>0</v>
      </c>
      <c r="AY227" s="29">
        <f>+T227-'[6]Приложение №1'!$T229</f>
        <v>0</v>
      </c>
    </row>
    <row r="228" spans="1:51" x14ac:dyDescent="0.25">
      <c r="A228" s="135">
        <f t="shared" si="103"/>
        <v>211</v>
      </c>
      <c r="B228" s="134">
        <f t="shared" si="104"/>
        <v>23</v>
      </c>
      <c r="C228" s="77" t="s">
        <v>545</v>
      </c>
      <c r="D228" s="77" t="s">
        <v>136</v>
      </c>
      <c r="E228" s="78">
        <v>1985</v>
      </c>
      <c r="F228" s="78">
        <v>2017</v>
      </c>
      <c r="G228" s="78" t="s">
        <v>547</v>
      </c>
      <c r="H228" s="78">
        <v>9</v>
      </c>
      <c r="I228" s="78">
        <v>5</v>
      </c>
      <c r="J228" s="44">
        <v>13256</v>
      </c>
      <c r="K228" s="44">
        <v>10326.299999999999</v>
      </c>
      <c r="L228" s="44">
        <v>160.4</v>
      </c>
      <c r="M228" s="79">
        <v>409</v>
      </c>
      <c r="N228" s="72">
        <f t="shared" si="100"/>
        <v>34187098.075670823</v>
      </c>
      <c r="O228" s="44"/>
      <c r="P228" s="68"/>
      <c r="Q228" s="68"/>
      <c r="R228" s="68">
        <f>+AQ228+AR228</f>
        <v>7813607.9469999997</v>
      </c>
      <c r="S228" s="68">
        <f>+'Приложение №2'!E228-'Приложение №1'!R228</f>
        <v>26373490.128670823</v>
      </c>
      <c r="T228" s="68">
        <v>9.3132257461547852E-10</v>
      </c>
      <c r="U228" s="44">
        <f t="shared" si="110"/>
        <v>3260.0434908666052</v>
      </c>
      <c r="V228" s="44">
        <f t="shared" si="110"/>
        <v>3260.0434908666052</v>
      </c>
      <c r="W228" s="80">
        <v>2023</v>
      </c>
      <c r="X228" s="29" t="e">
        <f>+#REF!-'[1]Приложение №1'!$P567</f>
        <v>#REF!</v>
      </c>
      <c r="Z228" s="31">
        <f t="shared" si="111"/>
        <v>37665450.361499503</v>
      </c>
      <c r="AA228" s="27">
        <v>24967938.10343796</v>
      </c>
      <c r="AB228" s="27">
        <v>0</v>
      </c>
      <c r="AC228" s="27">
        <v>7378265.4321645685</v>
      </c>
      <c r="AD228" s="27">
        <v>0</v>
      </c>
      <c r="AE228" s="27">
        <v>0</v>
      </c>
      <c r="AF228" s="27"/>
      <c r="AG228" s="27">
        <v>1109290.6412489424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3101697.7822136818</v>
      </c>
      <c r="AN228" s="32">
        <v>376654.50361499505</v>
      </c>
      <c r="AO228" s="33">
        <v>731603.89881935576</v>
      </c>
      <c r="AP228" s="84">
        <f>+N228-'Приложение №2'!E228</f>
        <v>0</v>
      </c>
      <c r="AQ228" s="1">
        <v>6376950.8499999996</v>
      </c>
      <c r="AR228" s="1">
        <f>+(K228*13.29+L228*22.52)*12*0.85</f>
        <v>1436657.0969999998</v>
      </c>
      <c r="AS228" s="1">
        <f>+(K228*13.29+L228*22.52)*12*30</f>
        <v>50705544.599999994</v>
      </c>
      <c r="AT228" s="29">
        <f t="shared" si="98"/>
        <v>-24332054.471329171</v>
      </c>
      <c r="AU228" s="29">
        <f>+P228-'[6]Приложение №1'!$P230</f>
        <v>0</v>
      </c>
      <c r="AV228" s="29">
        <f>+Q228-'[6]Приложение №1'!$Q230</f>
        <v>0</v>
      </c>
      <c r="AW228" s="29">
        <f>+R228-'[6]Приложение №1'!$R230</f>
        <v>0</v>
      </c>
      <c r="AX228" s="29">
        <f>+S228-'[6]Приложение №1'!$S230</f>
        <v>0</v>
      </c>
      <c r="AY228" s="29">
        <f>+T228-'[6]Приложение №1'!$T230</f>
        <v>0</v>
      </c>
    </row>
    <row r="229" spans="1:51" x14ac:dyDescent="0.25">
      <c r="A229" s="135">
        <f t="shared" si="103"/>
        <v>212</v>
      </c>
      <c r="B229" s="134">
        <f t="shared" si="104"/>
        <v>24</v>
      </c>
      <c r="C229" s="77" t="s">
        <v>545</v>
      </c>
      <c r="D229" s="77" t="s">
        <v>141</v>
      </c>
      <c r="E229" s="78">
        <v>1981</v>
      </c>
      <c r="F229" s="78">
        <v>2016</v>
      </c>
      <c r="G229" s="78" t="s">
        <v>44</v>
      </c>
      <c r="H229" s="78">
        <v>4</v>
      </c>
      <c r="I229" s="78">
        <v>3</v>
      </c>
      <c r="J229" s="44">
        <v>3910.2</v>
      </c>
      <c r="K229" s="44">
        <v>2017.9</v>
      </c>
      <c r="L229" s="44">
        <v>997.9</v>
      </c>
      <c r="M229" s="79">
        <v>113</v>
      </c>
      <c r="N229" s="72">
        <f t="shared" si="100"/>
        <v>4356885.5964561403</v>
      </c>
      <c r="O229" s="44"/>
      <c r="P229" s="68"/>
      <c r="Q229" s="68"/>
      <c r="R229" s="68">
        <f>+AQ229+AR229-557135.78</f>
        <v>806677.09999999986</v>
      </c>
      <c r="S229" s="68">
        <f>+'Приложение №2'!E229-'Приложение №1'!R229</f>
        <v>3550208.4964561407</v>
      </c>
      <c r="T229" s="68"/>
      <c r="U229" s="44">
        <f t="shared" si="110"/>
        <v>1444.6865164984879</v>
      </c>
      <c r="V229" s="44">
        <f t="shared" si="110"/>
        <v>1444.6865164984879</v>
      </c>
      <c r="W229" s="80">
        <v>2023</v>
      </c>
      <c r="X229" s="29" t="e">
        <f>+#REF!-'[1]Приложение №1'!$P1501</f>
        <v>#REF!</v>
      </c>
      <c r="Z229" s="31">
        <f t="shared" si="111"/>
        <v>33549604.466355495</v>
      </c>
      <c r="AA229" s="27">
        <v>9163753.0558547936</v>
      </c>
      <c r="AB229" s="27">
        <v>4716823.2</v>
      </c>
      <c r="AC229" s="27">
        <v>2695930.7316036122</v>
      </c>
      <c r="AD229" s="27">
        <v>0</v>
      </c>
      <c r="AE229" s="27">
        <v>0</v>
      </c>
      <c r="AF229" s="27"/>
      <c r="AG229" s="27">
        <v>295975.88879684091</v>
      </c>
      <c r="AH229" s="27">
        <v>0</v>
      </c>
      <c r="AI229" s="27">
        <v>13238455.132672109</v>
      </c>
      <c r="AJ229" s="27">
        <v>0</v>
      </c>
      <c r="AK229" s="27">
        <v>0</v>
      </c>
      <c r="AL229" s="27">
        <v>0</v>
      </c>
      <c r="AM229" s="27">
        <v>2552926.0485136751</v>
      </c>
      <c r="AN229" s="32">
        <v>295470.26754077495</v>
      </c>
      <c r="AO229" s="33">
        <v>590270.14137369313</v>
      </c>
      <c r="AP229" s="84">
        <f>+N229-'Приложение №2'!E229</f>
        <v>0</v>
      </c>
      <c r="AQ229" s="1">
        <v>954415.48</v>
      </c>
      <c r="AR229" s="1">
        <f>+(K229*10+L229*20)*12*0.85</f>
        <v>409397.39999999997</v>
      </c>
      <c r="AS229" s="1">
        <f>+(K229*10+L229*20)*12*30</f>
        <v>14449320</v>
      </c>
      <c r="AT229" s="29">
        <f t="shared" si="98"/>
        <v>-10899111.503543859</v>
      </c>
      <c r="AU229" s="29">
        <f>+P229-'[6]Приложение №1'!$P231</f>
        <v>0</v>
      </c>
      <c r="AV229" s="29">
        <f>+Q229-'[6]Приложение №1'!$Q231</f>
        <v>0</v>
      </c>
      <c r="AW229" s="29">
        <f>+R229-'[6]Приложение №1'!$R231</f>
        <v>0</v>
      </c>
      <c r="AX229" s="29">
        <f>+S229-'[6]Приложение №1'!$S231</f>
        <v>0</v>
      </c>
      <c r="AY229" s="29">
        <f>+T229-'[6]Приложение №1'!$T231</f>
        <v>0</v>
      </c>
    </row>
    <row r="230" spans="1:51" x14ac:dyDescent="0.25">
      <c r="A230" s="135">
        <f t="shared" si="103"/>
        <v>213</v>
      </c>
      <c r="B230" s="134">
        <f t="shared" si="104"/>
        <v>25</v>
      </c>
      <c r="C230" s="77" t="s">
        <v>545</v>
      </c>
      <c r="D230" s="77" t="s">
        <v>286</v>
      </c>
      <c r="E230" s="78">
        <v>1990</v>
      </c>
      <c r="F230" s="78">
        <v>2017</v>
      </c>
      <c r="G230" s="78" t="s">
        <v>547</v>
      </c>
      <c r="H230" s="78">
        <v>10</v>
      </c>
      <c r="I230" s="78">
        <v>3</v>
      </c>
      <c r="J230" s="44">
        <v>9593.2999999999993</v>
      </c>
      <c r="K230" s="44">
        <v>8146.5</v>
      </c>
      <c r="L230" s="44">
        <v>251.7</v>
      </c>
      <c r="M230" s="79">
        <v>290</v>
      </c>
      <c r="N230" s="72">
        <f t="shared" si="100"/>
        <v>5964947.0233067526</v>
      </c>
      <c r="O230" s="44"/>
      <c r="P230" s="68"/>
      <c r="Q230" s="68"/>
      <c r="R230" s="68">
        <f>+AQ230+AR230</f>
        <v>5617381.3413607851</v>
      </c>
      <c r="S230" s="68">
        <f>+'Приложение №2'!E230-'Приложение №1'!R230</f>
        <v>347565.68194596749</v>
      </c>
      <c r="T230" s="68">
        <v>0</v>
      </c>
      <c r="U230" s="44">
        <f t="shared" si="110"/>
        <v>710.26494049995858</v>
      </c>
      <c r="V230" s="44">
        <f t="shared" si="110"/>
        <v>710.26494049995858</v>
      </c>
      <c r="W230" s="80">
        <v>2023</v>
      </c>
      <c r="X230" s="29" t="e">
        <f>+#REF!-'[1]Приложение №1'!$P1194</f>
        <v>#REF!</v>
      </c>
      <c r="Z230" s="31">
        <f t="shared" si="111"/>
        <v>59075280.940424494</v>
      </c>
      <c r="AA230" s="27">
        <v>19753324.876629226</v>
      </c>
      <c r="AB230" s="27">
        <v>7903213.9091590643</v>
      </c>
      <c r="AC230" s="27">
        <v>5837297.1570079876</v>
      </c>
      <c r="AD230" s="27">
        <v>3730300.4891794757</v>
      </c>
      <c r="AE230" s="27">
        <v>0</v>
      </c>
      <c r="AF230" s="27"/>
      <c r="AG230" s="27">
        <v>877612.65381291229</v>
      </c>
      <c r="AH230" s="27">
        <v>0</v>
      </c>
      <c r="AI230" s="27">
        <v>0</v>
      </c>
      <c r="AJ230" s="27">
        <v>13734712.477877133</v>
      </c>
      <c r="AK230" s="27">
        <v>0</v>
      </c>
      <c r="AL230" s="27">
        <v>0</v>
      </c>
      <c r="AM230" s="27">
        <v>5514508.1395367021</v>
      </c>
      <c r="AN230" s="32">
        <v>590752.809404245</v>
      </c>
      <c r="AO230" s="33">
        <v>1133558.4278177479</v>
      </c>
      <c r="AP230" s="84">
        <f>+N230-'Приложение №2'!E230</f>
        <v>0</v>
      </c>
      <c r="AQ230" s="29">
        <f>5009993.34-R34</f>
        <v>4455241.5975607848</v>
      </c>
      <c r="AR230" s="1">
        <f t="shared" ref="AR230:AR237" si="112">+(K230*13.29+L230*22.52)*12*0.85</f>
        <v>1162139.7437999998</v>
      </c>
      <c r="AS230" s="1">
        <f>+(K230*13.29+L230*22.52)*12*30-S34</f>
        <v>34517188.239999995</v>
      </c>
      <c r="AT230" s="29">
        <f t="shared" si="98"/>
        <v>-34169622.55805403</v>
      </c>
      <c r="AU230" s="29">
        <f>+P230-'[6]Приложение №1'!$P232</f>
        <v>0</v>
      </c>
      <c r="AV230" s="29">
        <f>+Q230-'[6]Приложение №1'!$Q232</f>
        <v>0</v>
      </c>
      <c r="AW230" s="29">
        <f>+R230-'[6]Приложение №1'!$R232</f>
        <v>0</v>
      </c>
      <c r="AX230" s="29">
        <f>+S230-'[6]Приложение №1'!$S232</f>
        <v>0</v>
      </c>
      <c r="AY230" s="29">
        <f>+T230-'[6]Приложение №1'!$T232</f>
        <v>0</v>
      </c>
    </row>
    <row r="231" spans="1:51" x14ac:dyDescent="0.25">
      <c r="A231" s="135">
        <f t="shared" si="103"/>
        <v>214</v>
      </c>
      <c r="B231" s="134">
        <f t="shared" si="104"/>
        <v>26</v>
      </c>
      <c r="C231" s="77" t="s">
        <v>545</v>
      </c>
      <c r="D231" s="77" t="s">
        <v>287</v>
      </c>
      <c r="E231" s="78">
        <v>1990</v>
      </c>
      <c r="F231" s="78">
        <v>2017</v>
      </c>
      <c r="G231" s="78" t="s">
        <v>547</v>
      </c>
      <c r="H231" s="78">
        <v>9</v>
      </c>
      <c r="I231" s="78">
        <v>2</v>
      </c>
      <c r="J231" s="44">
        <v>9044.7000000000007</v>
      </c>
      <c r="K231" s="44">
        <v>7731.7</v>
      </c>
      <c r="L231" s="44">
        <v>0</v>
      </c>
      <c r="M231" s="79">
        <v>294</v>
      </c>
      <c r="N231" s="72">
        <f t="shared" si="100"/>
        <v>4916517.9743421944</v>
      </c>
      <c r="O231" s="44"/>
      <c r="P231" s="68"/>
      <c r="Q231" s="68"/>
      <c r="R231" s="68">
        <f>+'Приложение №2'!E231</f>
        <v>4916517.9743421944</v>
      </c>
      <c r="S231" s="68">
        <f>+'Приложение №2'!E231-'Приложение №1'!R231</f>
        <v>0</v>
      </c>
      <c r="T231" s="68">
        <f>+'Приложение №2'!E231-'Приложение №1'!P231-'Приложение №1'!Q231-'Приложение №1'!R231-'Приложение №1'!S231</f>
        <v>0</v>
      </c>
      <c r="U231" s="44">
        <f t="shared" si="110"/>
        <v>635.89093916502122</v>
      </c>
      <c r="V231" s="44">
        <f t="shared" si="110"/>
        <v>635.89093916502122</v>
      </c>
      <c r="W231" s="80">
        <v>2023</v>
      </c>
      <c r="X231" s="29" t="e">
        <f>+#REF!-'[1]Приложение №1'!$P1107</f>
        <v>#REF!</v>
      </c>
      <c r="Z231" s="31">
        <f t="shared" si="111"/>
        <v>55666319.910854891</v>
      </c>
      <c r="AA231" s="27">
        <v>18613451.927455012</v>
      </c>
      <c r="AB231" s="27">
        <v>7447156.0149639342</v>
      </c>
      <c r="AC231" s="27">
        <v>5500453.7563591562</v>
      </c>
      <c r="AD231" s="27">
        <v>3515042.1138698198</v>
      </c>
      <c r="AE231" s="27">
        <v>0</v>
      </c>
      <c r="AF231" s="27"/>
      <c r="AG231" s="27">
        <v>826969.68964449025</v>
      </c>
      <c r="AH231" s="27">
        <v>0</v>
      </c>
      <c r="AI231" s="27">
        <v>0</v>
      </c>
      <c r="AJ231" s="27">
        <v>12942145.792724269</v>
      </c>
      <c r="AK231" s="27">
        <v>0</v>
      </c>
      <c r="AL231" s="27">
        <v>0</v>
      </c>
      <c r="AM231" s="27">
        <v>5196291.3990376946</v>
      </c>
      <c r="AN231" s="32">
        <v>556663.19910854893</v>
      </c>
      <c r="AO231" s="33">
        <v>1068146.0176919652</v>
      </c>
      <c r="AP231" s="84">
        <f>+N231-'Приложение №2'!E231</f>
        <v>0</v>
      </c>
      <c r="AQ231" s="1">
        <v>4614966.51</v>
      </c>
      <c r="AR231" s="1">
        <f t="shared" si="112"/>
        <v>1048093.7885999999</v>
      </c>
      <c r="AS231" s="1">
        <f>+(K231*13.29+L231*22.52)*12*30</f>
        <v>36991545.479999997</v>
      </c>
      <c r="AT231" s="29">
        <f t="shared" si="98"/>
        <v>-36991545.479999997</v>
      </c>
      <c r="AU231" s="29">
        <f>+P231-'[6]Приложение №1'!$P233</f>
        <v>0</v>
      </c>
      <c r="AV231" s="29">
        <f>+Q231-'[6]Приложение №1'!$Q233</f>
        <v>0</v>
      </c>
      <c r="AW231" s="29">
        <f>+R231-'[6]Приложение №1'!$R233</f>
        <v>0</v>
      </c>
      <c r="AX231" s="29">
        <f>+S231-'[6]Приложение №1'!$S233</f>
        <v>0</v>
      </c>
      <c r="AY231" s="29">
        <f>+T231-'[6]Приложение №1'!$T233</f>
        <v>0</v>
      </c>
    </row>
    <row r="232" spans="1:51" x14ac:dyDescent="0.25">
      <c r="A232" s="135">
        <f t="shared" si="103"/>
        <v>215</v>
      </c>
      <c r="B232" s="134">
        <f t="shared" si="104"/>
        <v>27</v>
      </c>
      <c r="C232" s="77" t="s">
        <v>545</v>
      </c>
      <c r="D232" s="77" t="s">
        <v>288</v>
      </c>
      <c r="E232" s="78">
        <v>1990</v>
      </c>
      <c r="F232" s="78">
        <v>2017</v>
      </c>
      <c r="G232" s="78" t="s">
        <v>547</v>
      </c>
      <c r="H232" s="78">
        <v>9</v>
      </c>
      <c r="I232" s="78">
        <v>1</v>
      </c>
      <c r="J232" s="44">
        <v>4527.8</v>
      </c>
      <c r="K232" s="44">
        <v>3876.4</v>
      </c>
      <c r="L232" s="44">
        <v>0</v>
      </c>
      <c r="M232" s="79">
        <v>153</v>
      </c>
      <c r="N232" s="129">
        <f t="shared" si="100"/>
        <v>1476035.4285397425</v>
      </c>
      <c r="O232" s="44"/>
      <c r="P232" s="68"/>
      <c r="Q232" s="68"/>
      <c r="R232" s="68"/>
      <c r="S232" s="68">
        <f>+'Приложение №2'!E232-'Приложение №1'!R232-P232</f>
        <v>1476035.4285397425</v>
      </c>
      <c r="T232" s="44">
        <f>+'Приложение №2'!E232-'Приложение №1'!P232-'Приложение №1'!Q232-'Приложение №1'!R232-'Приложение №1'!S232</f>
        <v>0</v>
      </c>
      <c r="U232" s="68">
        <f t="shared" si="110"/>
        <v>380.77479840567082</v>
      </c>
      <c r="V232" s="68">
        <f t="shared" si="110"/>
        <v>380.77479840567082</v>
      </c>
      <c r="W232" s="80">
        <v>2023</v>
      </c>
      <c r="X232" s="29" t="e">
        <f>+#REF!-'[1]Приложение №1'!$P1147</f>
        <v>#REF!</v>
      </c>
      <c r="Z232" s="31">
        <f t="shared" ref="Z232" si="113">SUM(AA232:AO232)</f>
        <v>27786937.969636556</v>
      </c>
      <c r="AA232" s="27">
        <v>9291270.4654677343</v>
      </c>
      <c r="AB232" s="27">
        <v>3717394.3341215332</v>
      </c>
      <c r="AC232" s="27">
        <v>2745659.6300522191</v>
      </c>
      <c r="AD232" s="27">
        <v>1754602.3759999776</v>
      </c>
      <c r="AE232" s="27">
        <v>0</v>
      </c>
      <c r="AF232" s="27"/>
      <c r="AG232" s="27">
        <v>412798.17860638152</v>
      </c>
      <c r="AH232" s="27">
        <v>0</v>
      </c>
      <c r="AI232" s="27">
        <v>0</v>
      </c>
      <c r="AJ232" s="27">
        <v>6460326.5118356757</v>
      </c>
      <c r="AK232" s="27">
        <v>0</v>
      </c>
      <c r="AL232" s="27">
        <v>0</v>
      </c>
      <c r="AM232" s="27">
        <v>2593831.0096382117</v>
      </c>
      <c r="AN232" s="32">
        <v>277869.37969636562</v>
      </c>
      <c r="AO232" s="33">
        <v>533186.08421846246</v>
      </c>
      <c r="AP232" s="84">
        <f>+N232-'Приложение №2'!E232</f>
        <v>0</v>
      </c>
      <c r="AQ232" s="29">
        <f>2413836.61-R36</f>
        <v>953855.35578153655</v>
      </c>
      <c r="AR232" s="1">
        <f t="shared" si="112"/>
        <v>525477.03119999997</v>
      </c>
      <c r="AS232" s="1">
        <f>+(K232*13.29+L232*22.52)*12*30-S36</f>
        <v>14820037.98</v>
      </c>
      <c r="AT232" s="29">
        <f t="shared" si="98"/>
        <v>-13344002.551460259</v>
      </c>
    </row>
    <row r="233" spans="1:51" x14ac:dyDescent="0.25">
      <c r="A233" s="135">
        <f t="shared" si="103"/>
        <v>216</v>
      </c>
      <c r="B233" s="134">
        <f t="shared" si="104"/>
        <v>28</v>
      </c>
      <c r="C233" s="77" t="s">
        <v>545</v>
      </c>
      <c r="D233" s="77" t="s">
        <v>290</v>
      </c>
      <c r="E233" s="78">
        <v>1990</v>
      </c>
      <c r="F233" s="78">
        <v>2017</v>
      </c>
      <c r="G233" s="78" t="s">
        <v>547</v>
      </c>
      <c r="H233" s="78">
        <v>10</v>
      </c>
      <c r="I233" s="78">
        <v>1</v>
      </c>
      <c r="J233" s="44">
        <v>3562.9</v>
      </c>
      <c r="K233" s="44">
        <v>3045.6</v>
      </c>
      <c r="L233" s="44">
        <v>0</v>
      </c>
      <c r="M233" s="79">
        <v>121</v>
      </c>
      <c r="N233" s="72">
        <f t="shared" si="100"/>
        <v>2204474.695667712</v>
      </c>
      <c r="O233" s="44"/>
      <c r="P233" s="68"/>
      <c r="Q233" s="68"/>
      <c r="R233" s="68">
        <f>+AQ233+AR233</f>
        <v>111696.62217059778</v>
      </c>
      <c r="S233" s="68">
        <f>+'Приложение №2'!E233-'Приложение №1'!R233</f>
        <v>2092778.0734971142</v>
      </c>
      <c r="T233" s="68">
        <v>0</v>
      </c>
      <c r="U233" s="44">
        <f t="shared" si="110"/>
        <v>723.82279211574473</v>
      </c>
      <c r="V233" s="44">
        <f t="shared" si="110"/>
        <v>723.82279211574473</v>
      </c>
      <c r="W233" s="80">
        <v>2023</v>
      </c>
      <c r="X233" s="29" t="e">
        <f>+#REF!-'[1]Приложение №1'!$P1198</f>
        <v>#REF!</v>
      </c>
      <c r="Z233" s="31">
        <f t="shared" si="111"/>
        <v>21832542.931861956</v>
      </c>
      <c r="AA233" s="27">
        <v>7300266.8214297863</v>
      </c>
      <c r="AB233" s="27">
        <v>2920802.9860308608</v>
      </c>
      <c r="AC233" s="27">
        <v>2157298.9371804232</v>
      </c>
      <c r="AD233" s="27">
        <v>1378612.9203666104</v>
      </c>
      <c r="AE233" s="27">
        <v>0</v>
      </c>
      <c r="AF233" s="27"/>
      <c r="AG233" s="27">
        <v>324340.66562016815</v>
      </c>
      <c r="AH233" s="27">
        <v>0</v>
      </c>
      <c r="AI233" s="27">
        <v>0</v>
      </c>
      <c r="AJ233" s="27">
        <v>5075958.9299699729</v>
      </c>
      <c r="AK233" s="27">
        <v>0</v>
      </c>
      <c r="AL233" s="27">
        <v>0</v>
      </c>
      <c r="AM233" s="27">
        <v>2038005.3008288266</v>
      </c>
      <c r="AN233" s="32">
        <v>218325.4293186196</v>
      </c>
      <c r="AO233" s="33">
        <v>418930.94111669064</v>
      </c>
      <c r="AP233" s="84">
        <f>+N233-'Приложение №2'!E233</f>
        <v>0</v>
      </c>
      <c r="AQ233" s="29">
        <f>1845490.3-R38</f>
        <v>-301158.82262940216</v>
      </c>
      <c r="AR233" s="1">
        <f t="shared" si="112"/>
        <v>412855.44479999994</v>
      </c>
      <c r="AS233" s="1">
        <f>+(K233*13.29+L233*22.52)*12*30-S38</f>
        <v>10152121.529999997</v>
      </c>
      <c r="AT233" s="29">
        <f t="shared" si="98"/>
        <v>-8059343.4565028828</v>
      </c>
      <c r="AU233" s="29">
        <f>+P233-'[6]Приложение №1'!$P234</f>
        <v>0</v>
      </c>
      <c r="AV233" s="29">
        <f>+Q233-'[6]Приложение №1'!$Q234</f>
        <v>0</v>
      </c>
      <c r="AW233" s="29">
        <f>+R233-'[6]Приложение №1'!$R234</f>
        <v>0</v>
      </c>
      <c r="AX233" s="29">
        <f>+S233-'[6]Приложение №1'!$S234</f>
        <v>0</v>
      </c>
      <c r="AY233" s="29">
        <f>+T233-'[6]Приложение №1'!$T234</f>
        <v>0</v>
      </c>
    </row>
    <row r="234" spans="1:51" x14ac:dyDescent="0.25">
      <c r="A234" s="135">
        <f t="shared" si="103"/>
        <v>217</v>
      </c>
      <c r="B234" s="134">
        <f t="shared" si="104"/>
        <v>29</v>
      </c>
      <c r="C234" s="77" t="s">
        <v>545</v>
      </c>
      <c r="D234" s="77" t="s">
        <v>291</v>
      </c>
      <c r="E234" s="78">
        <v>1990</v>
      </c>
      <c r="F234" s="78">
        <v>2017</v>
      </c>
      <c r="G234" s="78" t="s">
        <v>547</v>
      </c>
      <c r="H234" s="78">
        <v>9</v>
      </c>
      <c r="I234" s="78">
        <v>1</v>
      </c>
      <c r="J234" s="44">
        <v>3197.5</v>
      </c>
      <c r="K234" s="44">
        <v>2621.1</v>
      </c>
      <c r="L234" s="44">
        <v>132.4</v>
      </c>
      <c r="M234" s="79">
        <v>94</v>
      </c>
      <c r="N234" s="72">
        <f t="shared" si="100"/>
        <v>1338332.7178491487</v>
      </c>
      <c r="O234" s="44"/>
      <c r="P234" s="68"/>
      <c r="Q234" s="68"/>
      <c r="R234" s="68">
        <f>+'Приложение №2'!E234</f>
        <v>1338332.7178491487</v>
      </c>
      <c r="S234" s="68">
        <f>+'Приложение №2'!E234-'Приложение №1'!R234</f>
        <v>0</v>
      </c>
      <c r="T234" s="68">
        <f>+'Приложение №2'!E234-'Приложение №1'!P234-'Приложение №1'!Q234-'Приложение №1'!R234-'Приложение №1'!S234</f>
        <v>0</v>
      </c>
      <c r="U234" s="44">
        <f t="shared" si="110"/>
        <v>486.04783651685079</v>
      </c>
      <c r="V234" s="44">
        <f t="shared" si="110"/>
        <v>486.04783651685079</v>
      </c>
      <c r="W234" s="80">
        <v>2023</v>
      </c>
      <c r="X234" s="29" t="e">
        <f>+#REF!-'[1]Приложение №1'!$P1109</f>
        <v>#REF!</v>
      </c>
      <c r="Z234" s="31">
        <f t="shared" si="111"/>
        <v>19626786.772724856</v>
      </c>
      <c r="AA234" s="27">
        <v>6562716.0672657713</v>
      </c>
      <c r="AB234" s="27">
        <v>2625712.3410166483</v>
      </c>
      <c r="AC234" s="27">
        <v>1939345.6079399141</v>
      </c>
      <c r="AD234" s="27">
        <v>1239330.7510996102</v>
      </c>
      <c r="AE234" s="27">
        <v>0</v>
      </c>
      <c r="AF234" s="27"/>
      <c r="AG234" s="27">
        <v>291572.31503988599</v>
      </c>
      <c r="AH234" s="27">
        <v>0</v>
      </c>
      <c r="AI234" s="27">
        <v>0</v>
      </c>
      <c r="AJ234" s="27">
        <v>4563131.4637306379</v>
      </c>
      <c r="AK234" s="27">
        <v>0</v>
      </c>
      <c r="AL234" s="27">
        <v>0</v>
      </c>
      <c r="AM234" s="27">
        <v>1832104.2860598667</v>
      </c>
      <c r="AN234" s="32">
        <v>196267.86772724849</v>
      </c>
      <c r="AO234" s="33">
        <v>376606.07284526742</v>
      </c>
      <c r="AP234" s="84">
        <f>+N234-'Приложение №2'!E234</f>
        <v>0</v>
      </c>
      <c r="AQ234" s="1">
        <v>1678059.52</v>
      </c>
      <c r="AR234" s="1">
        <f t="shared" si="112"/>
        <v>385723.88339999993</v>
      </c>
      <c r="AS234" s="1">
        <f>+(K234*13.29+L234*22.52)*12*30</f>
        <v>13613784.119999999</v>
      </c>
      <c r="AT234" s="29">
        <f t="shared" si="98"/>
        <v>-13613784.119999999</v>
      </c>
      <c r="AU234" s="29">
        <f>+P234-'[6]Приложение №1'!$P235</f>
        <v>0</v>
      </c>
      <c r="AV234" s="29">
        <f>+Q234-'[6]Приложение №1'!$Q235</f>
        <v>0</v>
      </c>
      <c r="AW234" s="29">
        <f>+R234-'[6]Приложение №1'!$R235</f>
        <v>0</v>
      </c>
      <c r="AX234" s="29">
        <f>+S234-'[6]Приложение №1'!$S235</f>
        <v>0</v>
      </c>
      <c r="AY234" s="29">
        <f>+T234-'[6]Приложение №1'!$T235</f>
        <v>0</v>
      </c>
    </row>
    <row r="235" spans="1:51" x14ac:dyDescent="0.25">
      <c r="A235" s="135">
        <f t="shared" si="103"/>
        <v>218</v>
      </c>
      <c r="B235" s="134">
        <f t="shared" si="104"/>
        <v>30</v>
      </c>
      <c r="C235" s="77" t="s">
        <v>545</v>
      </c>
      <c r="D235" s="77" t="s">
        <v>61</v>
      </c>
      <c r="E235" s="78">
        <v>1990</v>
      </c>
      <c r="F235" s="78">
        <v>2017</v>
      </c>
      <c r="G235" s="78" t="s">
        <v>547</v>
      </c>
      <c r="H235" s="78">
        <v>9</v>
      </c>
      <c r="I235" s="78">
        <v>1</v>
      </c>
      <c r="J235" s="44">
        <v>3216.7</v>
      </c>
      <c r="K235" s="44">
        <v>2758.3</v>
      </c>
      <c r="L235" s="44">
        <v>0</v>
      </c>
      <c r="M235" s="79">
        <v>101</v>
      </c>
      <c r="N235" s="129">
        <f t="shared" si="100"/>
        <v>1025546.3535245289</v>
      </c>
      <c r="O235" s="44"/>
      <c r="P235" s="68"/>
      <c r="Q235" s="68"/>
      <c r="R235" s="68">
        <f>+'Приложение №2'!E235</f>
        <v>1025546.3535245289</v>
      </c>
      <c r="S235" s="68">
        <f>+'Приложение №2'!E235-'Приложение №1'!R235</f>
        <v>0</v>
      </c>
      <c r="T235" s="44">
        <f>+'Приложение №2'!E235-'Приложение №1'!P235-'Приложение №1'!Q235-'Приложение №1'!R235-'Приложение №1'!S235</f>
        <v>0</v>
      </c>
      <c r="U235" s="68">
        <f>$N235/($K235+$L235)</f>
        <v>371.80377534152518</v>
      </c>
      <c r="V235" s="68">
        <f>$N235/($K235+$L235)</f>
        <v>371.80377534152518</v>
      </c>
      <c r="W235" s="80">
        <v>2023</v>
      </c>
      <c r="X235" s="29" t="e">
        <f>+#REF!-'[1]Приложение №1'!$P949</f>
        <v>#REF!</v>
      </c>
      <c r="Z235" s="31">
        <f>SUM(AA235:AO235)</f>
        <v>15264572.541393431</v>
      </c>
      <c r="AA235" s="27">
        <v>8237660.7623945801</v>
      </c>
      <c r="AB235" s="27">
        <v>3295849.9656590605</v>
      </c>
      <c r="AC235" s="27">
        <v>0</v>
      </c>
      <c r="AD235" s="27">
        <v>1555634.312885293</v>
      </c>
      <c r="AE235" s="27">
        <v>0</v>
      </c>
      <c r="AF235" s="27"/>
      <c r="AG235" s="27">
        <v>365987.77006138454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1362557.5016525821</v>
      </c>
      <c r="AN235" s="32">
        <v>152645.7254139343</v>
      </c>
      <c r="AO235" s="33">
        <v>294236.50332659599</v>
      </c>
      <c r="AP235" s="84">
        <f>+N235-'Приложение №2'!E235</f>
        <v>0</v>
      </c>
      <c r="AQ235" s="1">
        <v>1661335.31</v>
      </c>
      <c r="AR235" s="1">
        <f>+(K235*13.29+L235*22.52)*12*0.85</f>
        <v>373909.63140000001</v>
      </c>
      <c r="AS235" s="1">
        <f>+(K235*13.29+L235*22.52)*12*30</f>
        <v>13196810.52</v>
      </c>
      <c r="AT235" s="29">
        <f>+S235-AS235</f>
        <v>-13196810.52</v>
      </c>
    </row>
    <row r="236" spans="1:51" x14ac:dyDescent="0.25">
      <c r="A236" s="135">
        <f t="shared" si="103"/>
        <v>219</v>
      </c>
      <c r="B236" s="134">
        <f t="shared" si="104"/>
        <v>31</v>
      </c>
      <c r="C236" s="77" t="s">
        <v>545</v>
      </c>
      <c r="D236" s="77" t="s">
        <v>292</v>
      </c>
      <c r="E236" s="78">
        <v>1990</v>
      </c>
      <c r="F236" s="78">
        <v>2017</v>
      </c>
      <c r="G236" s="78" t="s">
        <v>547</v>
      </c>
      <c r="H236" s="78">
        <v>9</v>
      </c>
      <c r="I236" s="78">
        <v>1</v>
      </c>
      <c r="J236" s="44">
        <v>3238.8</v>
      </c>
      <c r="K236" s="44">
        <v>2708.3</v>
      </c>
      <c r="L236" s="44">
        <v>76.599999999999994</v>
      </c>
      <c r="M236" s="79">
        <v>79</v>
      </c>
      <c r="N236" s="72">
        <f t="shared" si="100"/>
        <v>2354342.2921141018</v>
      </c>
      <c r="O236" s="44"/>
      <c r="P236" s="68"/>
      <c r="Q236" s="68"/>
      <c r="R236" s="68">
        <f>+AQ236+AR236</f>
        <v>757569.21779999987</v>
      </c>
      <c r="S236" s="68">
        <f>+'Приложение №2'!E236-'Приложение №1'!R236</f>
        <v>1596773.0743141021</v>
      </c>
      <c r="T236" s="68">
        <v>0</v>
      </c>
      <c r="U236" s="44">
        <f t="shared" si="110"/>
        <v>845.39563076379829</v>
      </c>
      <c r="V236" s="44">
        <f t="shared" si="110"/>
        <v>845.39563076379829</v>
      </c>
      <c r="W236" s="80">
        <v>2023</v>
      </c>
      <c r="X236" s="29" t="e">
        <f>+#REF!-'[1]Приложение №1'!$P950</f>
        <v>#REF!</v>
      </c>
      <c r="Z236" s="31">
        <f t="shared" si="111"/>
        <v>19952132.223097902</v>
      </c>
      <c r="AA236" s="27">
        <v>6671503.605404323</v>
      </c>
      <c r="AB236" s="27">
        <v>2669237.7318017208</v>
      </c>
      <c r="AC236" s="27">
        <v>1971493.3699526463</v>
      </c>
      <c r="AD236" s="27">
        <v>1259874.6448121567</v>
      </c>
      <c r="AE236" s="27">
        <v>0</v>
      </c>
      <c r="AF236" s="27"/>
      <c r="AG236" s="27">
        <v>296405.59352053836</v>
      </c>
      <c r="AH236" s="27">
        <v>0</v>
      </c>
      <c r="AI236" s="27">
        <v>0</v>
      </c>
      <c r="AJ236" s="27">
        <v>4638772.6819478758</v>
      </c>
      <c r="AK236" s="27">
        <v>0</v>
      </c>
      <c r="AL236" s="27">
        <v>0</v>
      </c>
      <c r="AM236" s="27">
        <v>1862474.3512662044</v>
      </c>
      <c r="AN236" s="32">
        <v>199521.32223097901</v>
      </c>
      <c r="AO236" s="33">
        <v>382848.92216145538</v>
      </c>
      <c r="AP236" s="84">
        <f>+N236-'Приложение №2'!E236</f>
        <v>0</v>
      </c>
      <c r="AQ236" s="1">
        <f>1684481.19-1311639.03</f>
        <v>372842.15999999992</v>
      </c>
      <c r="AR236" s="1">
        <f t="shared" si="112"/>
        <v>384727.05779999995</v>
      </c>
      <c r="AS236" s="1">
        <f>+(K236*13.29+L236*22.52)*12*30-4612448.03</f>
        <v>8966154.0099999979</v>
      </c>
      <c r="AT236" s="29">
        <f t="shared" si="98"/>
        <v>-7369380.9356858954</v>
      </c>
      <c r="AU236" s="29">
        <f>+P236-'[6]Приложение №1'!$P236</f>
        <v>0</v>
      </c>
      <c r="AV236" s="29">
        <f>+Q236-'[6]Приложение №1'!$Q236</f>
        <v>0</v>
      </c>
      <c r="AW236" s="29">
        <f>+R236-'[6]Приложение №1'!$R236</f>
        <v>0</v>
      </c>
      <c r="AX236" s="29">
        <f>+S236-'[6]Приложение №1'!$S236</f>
        <v>0</v>
      </c>
      <c r="AY236" s="29">
        <f>+T236-'[6]Приложение №1'!$T236</f>
        <v>0</v>
      </c>
    </row>
    <row r="237" spans="1:51" x14ac:dyDescent="0.25">
      <c r="A237" s="135">
        <f t="shared" si="103"/>
        <v>220</v>
      </c>
      <c r="B237" s="134">
        <f t="shared" si="104"/>
        <v>32</v>
      </c>
      <c r="C237" s="77" t="s">
        <v>545</v>
      </c>
      <c r="D237" s="77" t="s">
        <v>296</v>
      </c>
      <c r="E237" s="78">
        <v>1995</v>
      </c>
      <c r="F237" s="78">
        <v>2010</v>
      </c>
      <c r="G237" s="78" t="s">
        <v>51</v>
      </c>
      <c r="H237" s="78">
        <v>9</v>
      </c>
      <c r="I237" s="78">
        <v>1</v>
      </c>
      <c r="J237" s="44">
        <v>2996.5</v>
      </c>
      <c r="K237" s="44">
        <v>2550.1</v>
      </c>
      <c r="L237" s="44">
        <v>76.599999999999994</v>
      </c>
      <c r="M237" s="79">
        <v>105</v>
      </c>
      <c r="N237" s="72">
        <f t="shared" si="100"/>
        <v>1852088.6992158722</v>
      </c>
      <c r="O237" s="44"/>
      <c r="P237" s="68"/>
      <c r="Q237" s="68"/>
      <c r="R237" s="68">
        <f>+AQ237+AR237</f>
        <v>1353266.2159999998</v>
      </c>
      <c r="S237" s="68">
        <f>+'Приложение №2'!E237-'Приложение №1'!R237</f>
        <v>498822.48321587243</v>
      </c>
      <c r="T237" s="68">
        <v>0</v>
      </c>
      <c r="U237" s="44">
        <f t="shared" si="110"/>
        <v>705.10096288722445</v>
      </c>
      <c r="V237" s="44">
        <f t="shared" si="110"/>
        <v>705.10096288722445</v>
      </c>
      <c r="W237" s="80">
        <v>2023</v>
      </c>
      <c r="X237" s="29" t="e">
        <f>+#REF!-'[1]Приложение №1'!$P958</f>
        <v>#REF!</v>
      </c>
      <c r="Z237" s="31">
        <f t="shared" si="111"/>
        <v>13446173.905525668</v>
      </c>
      <c r="AA237" s="27">
        <v>6133316.7977849664</v>
      </c>
      <c r="AB237" s="27">
        <v>2453911.6795918704</v>
      </c>
      <c r="AC237" s="27">
        <v>1812454.0010526525</v>
      </c>
      <c r="AD237" s="27">
        <v>1158241.1970624225</v>
      </c>
      <c r="AE237" s="27">
        <v>0</v>
      </c>
      <c r="AF237" s="27"/>
      <c r="AG237" s="27">
        <v>272494.70482550462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1222586.4968225325</v>
      </c>
      <c r="AN237" s="32">
        <v>134461.73905525671</v>
      </c>
      <c r="AO237" s="33">
        <v>258707.28933046467</v>
      </c>
      <c r="AP237" s="84">
        <f>+N237-'Приложение №2'!E237</f>
        <v>0</v>
      </c>
      <c r="AQ237" s="1">
        <f>1427710.38-437725.9462</f>
        <v>989984.43379999988</v>
      </c>
      <c r="AR237" s="1">
        <f t="shared" si="112"/>
        <v>363281.78219999996</v>
      </c>
      <c r="AS237" s="1">
        <f>+(K237*13.29+L237*22.52)*12*30-2628414.08</f>
        <v>10193295.879999997</v>
      </c>
      <c r="AT237" s="29">
        <f t="shared" si="98"/>
        <v>-9694473.3967841249</v>
      </c>
      <c r="AU237" s="29">
        <f>+P237-'[6]Приложение №1'!$P237</f>
        <v>0</v>
      </c>
      <c r="AV237" s="29">
        <f>+Q237-'[6]Приложение №1'!$Q237</f>
        <v>0</v>
      </c>
      <c r="AW237" s="29">
        <f>+R237-'[6]Приложение №1'!$R237</f>
        <v>0</v>
      </c>
      <c r="AX237" s="29">
        <f>+S237-'[6]Приложение №1'!$S237</f>
        <v>0</v>
      </c>
      <c r="AY237" s="29">
        <f>+T237-'[6]Приложение №1'!$T237</f>
        <v>0</v>
      </c>
    </row>
    <row r="238" spans="1:51" x14ac:dyDescent="0.25">
      <c r="A238" s="135">
        <f t="shared" si="103"/>
        <v>221</v>
      </c>
      <c r="B238" s="134">
        <f t="shared" si="104"/>
        <v>33</v>
      </c>
      <c r="C238" s="77" t="s">
        <v>545</v>
      </c>
      <c r="D238" s="77" t="s">
        <v>297</v>
      </c>
      <c r="E238" s="78">
        <v>1983</v>
      </c>
      <c r="F238" s="78">
        <v>2008</v>
      </c>
      <c r="G238" s="78" t="s">
        <v>547</v>
      </c>
      <c r="H238" s="78">
        <v>5</v>
      </c>
      <c r="I238" s="78">
        <v>3</v>
      </c>
      <c r="J238" s="44">
        <v>5132.1000000000004</v>
      </c>
      <c r="K238" s="44">
        <v>4364.6000000000004</v>
      </c>
      <c r="L238" s="44">
        <v>0</v>
      </c>
      <c r="M238" s="79">
        <v>197</v>
      </c>
      <c r="N238" s="72">
        <f t="shared" si="100"/>
        <v>3347402.022785434</v>
      </c>
      <c r="O238" s="44"/>
      <c r="P238" s="68">
        <v>822035.24829823943</v>
      </c>
      <c r="Q238" s="68"/>
      <c r="R238" s="68">
        <f>+AQ238+AR238</f>
        <v>0</v>
      </c>
      <c r="S238" s="68">
        <f>+'Приложение №2'!E238-'Приложение №1'!P238</f>
        <v>2525366.7744871946</v>
      </c>
      <c r="T238" s="68">
        <v>0</v>
      </c>
      <c r="U238" s="44">
        <f t="shared" si="110"/>
        <v>766.94359684402548</v>
      </c>
      <c r="V238" s="44">
        <f t="shared" si="110"/>
        <v>766.94359684402548</v>
      </c>
      <c r="W238" s="80">
        <v>2023</v>
      </c>
      <c r="X238" s="29" t="e">
        <f>+#REF!-'[1]Приложение №1'!$P1205</f>
        <v>#REF!</v>
      </c>
      <c r="Z238" s="31">
        <f t="shared" si="111"/>
        <v>38187844.389634863</v>
      </c>
      <c r="AA238" s="27">
        <v>8573356.2018279508</v>
      </c>
      <c r="AB238" s="27">
        <v>3669586.3729378125</v>
      </c>
      <c r="AC238" s="27">
        <v>3275767.6194978259</v>
      </c>
      <c r="AD238" s="27">
        <v>3459882.7712624557</v>
      </c>
      <c r="AE238" s="27">
        <v>0</v>
      </c>
      <c r="AF238" s="27"/>
      <c r="AG238" s="27">
        <v>355954.04522476508</v>
      </c>
      <c r="AH238" s="27">
        <v>0</v>
      </c>
      <c r="AI238" s="27">
        <v>14183322.770203391</v>
      </c>
      <c r="AJ238" s="27">
        <v>0</v>
      </c>
      <c r="AK238" s="27">
        <v>0</v>
      </c>
      <c r="AL238" s="27">
        <v>0</v>
      </c>
      <c r="AM238" s="27">
        <v>3555128.2378351944</v>
      </c>
      <c r="AN238" s="32">
        <v>381878.4438963487</v>
      </c>
      <c r="AO238" s="33">
        <v>732967.9269491313</v>
      </c>
      <c r="AP238" s="84">
        <f>+N238-'Приложение №2'!E238</f>
        <v>0</v>
      </c>
      <c r="AQ238" s="29">
        <f>2036649.87-R49</f>
        <v>-445189.20000000019</v>
      </c>
      <c r="AR238" s="1">
        <f>+(K238*10+L238*20)*12*0.85</f>
        <v>445189.2</v>
      </c>
      <c r="AS238" s="1">
        <f>+(K238*10+L238*20)*12*30-S49</f>
        <v>8115541.6481460277</v>
      </c>
      <c r="AT238" s="29">
        <f t="shared" si="98"/>
        <v>-5590174.8736588331</v>
      </c>
      <c r="AU238" s="29">
        <f>+P238-'[6]Приложение №1'!$P238</f>
        <v>0</v>
      </c>
      <c r="AV238" s="29">
        <f>+Q238-'[6]Приложение №1'!$Q238</f>
        <v>0</v>
      </c>
      <c r="AW238" s="29">
        <f>+R238-'[6]Приложение №1'!$R238</f>
        <v>0</v>
      </c>
      <c r="AX238" s="29">
        <f>+S238-'[6]Приложение №1'!$S238</f>
        <v>0</v>
      </c>
      <c r="AY238" s="29">
        <f>+T238-'[6]Приложение №1'!$T238</f>
        <v>0</v>
      </c>
    </row>
    <row r="239" spans="1:51" x14ac:dyDescent="0.25">
      <c r="A239" s="135">
        <f t="shared" si="103"/>
        <v>222</v>
      </c>
      <c r="B239" s="134">
        <f t="shared" si="104"/>
        <v>34</v>
      </c>
      <c r="C239" s="77" t="s">
        <v>545</v>
      </c>
      <c r="D239" s="77" t="s">
        <v>153</v>
      </c>
      <c r="E239" s="78">
        <v>1985</v>
      </c>
      <c r="F239" s="78">
        <v>2008</v>
      </c>
      <c r="G239" s="78" t="s">
        <v>547</v>
      </c>
      <c r="H239" s="78">
        <v>5</v>
      </c>
      <c r="I239" s="78">
        <v>5</v>
      </c>
      <c r="J239" s="44">
        <v>7124.7</v>
      </c>
      <c r="K239" s="44">
        <v>5794.3</v>
      </c>
      <c r="L239" s="44">
        <v>252.5</v>
      </c>
      <c r="M239" s="79">
        <v>248</v>
      </c>
      <c r="N239" s="72">
        <f t="shared" si="100"/>
        <v>5076500.6375817275</v>
      </c>
      <c r="O239" s="44"/>
      <c r="P239" s="68"/>
      <c r="Q239" s="68"/>
      <c r="R239" s="68">
        <f>+AQ239+AR239-2015660.67-496815.55</f>
        <v>1074489.9400000002</v>
      </c>
      <c r="S239" s="68">
        <f>+'Приложение №2'!E239-'Приложение №1'!R239</f>
        <v>4002010.6975817271</v>
      </c>
      <c r="T239" s="68">
        <v>2.3283064365386963E-10</v>
      </c>
      <c r="U239" s="44">
        <f t="shared" si="110"/>
        <v>839.53506608151872</v>
      </c>
      <c r="V239" s="44">
        <f t="shared" si="110"/>
        <v>839.53506608151872</v>
      </c>
      <c r="W239" s="80">
        <v>2023</v>
      </c>
      <c r="X239" s="29" t="e">
        <f>+#REF!-'[1]Приложение №1'!$P960</f>
        <v>#REF!</v>
      </c>
      <c r="Z239" s="31">
        <f t="shared" si="111"/>
        <v>30311487.044534598</v>
      </c>
      <c r="AA239" s="27">
        <v>11767409.930327574</v>
      </c>
      <c r="AB239" s="27">
        <v>5036712.1239983374</v>
      </c>
      <c r="AC239" s="27">
        <v>4496173.9029232748</v>
      </c>
      <c r="AD239" s="27">
        <v>4748882.2255679024</v>
      </c>
      <c r="AE239" s="27">
        <v>0</v>
      </c>
      <c r="AF239" s="27"/>
      <c r="AG239" s="27">
        <v>488566.79553627956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2890300.461077428</v>
      </c>
      <c r="AN239" s="32">
        <v>303114.87044534594</v>
      </c>
      <c r="AO239" s="33">
        <v>580326.73465845292</v>
      </c>
      <c r="AP239" s="84">
        <f>+N239-'Приложение №2'!E239</f>
        <v>0</v>
      </c>
      <c r="AQ239" s="1">
        <v>2944437.56</v>
      </c>
      <c r="AR239" s="1">
        <f>+(K239*10+L239*20)*12*0.85</f>
        <v>642528.6</v>
      </c>
      <c r="AS239" s="1">
        <f>+(K239*10+L239*20)*12*30-11358024</f>
        <v>11319456</v>
      </c>
      <c r="AT239" s="29">
        <f t="shared" si="98"/>
        <v>-7317445.3024182729</v>
      </c>
      <c r="AU239" s="29">
        <f>+P239-'[6]Приложение №1'!$P239</f>
        <v>0</v>
      </c>
      <c r="AV239" s="29">
        <f>+Q239-'[6]Приложение №1'!$Q239</f>
        <v>0</v>
      </c>
      <c r="AW239" s="29">
        <f>+R239-'[6]Приложение №1'!$R239</f>
        <v>0</v>
      </c>
      <c r="AX239" s="29">
        <f>+S239-'[6]Приложение №1'!$S239</f>
        <v>0</v>
      </c>
      <c r="AY239" s="29">
        <f>+T239-'[6]Приложение №1'!$T239</f>
        <v>0</v>
      </c>
    </row>
    <row r="240" spans="1:51" x14ac:dyDescent="0.25">
      <c r="A240" s="135">
        <f t="shared" si="103"/>
        <v>223</v>
      </c>
      <c r="B240" s="134">
        <f t="shared" si="104"/>
        <v>35</v>
      </c>
      <c r="C240" s="77" t="s">
        <v>545</v>
      </c>
      <c r="D240" s="77" t="s">
        <v>155</v>
      </c>
      <c r="E240" s="78">
        <v>1986</v>
      </c>
      <c r="F240" s="78">
        <v>2016</v>
      </c>
      <c r="G240" s="78" t="s">
        <v>547</v>
      </c>
      <c r="H240" s="78">
        <v>5</v>
      </c>
      <c r="I240" s="78">
        <v>4</v>
      </c>
      <c r="J240" s="44">
        <v>5735.9</v>
      </c>
      <c r="K240" s="44">
        <v>4570.5</v>
      </c>
      <c r="L240" s="44">
        <v>392.5</v>
      </c>
      <c r="M240" s="79">
        <v>186</v>
      </c>
      <c r="N240" s="72">
        <f t="shared" si="100"/>
        <v>3746079.1046375427</v>
      </c>
      <c r="O240" s="44"/>
      <c r="P240" s="68"/>
      <c r="Q240" s="68"/>
      <c r="R240" s="68">
        <f t="shared" ref="R240:R251" si="114">+AQ240+AR240</f>
        <v>2232501.41</v>
      </c>
      <c r="S240" s="68">
        <f>+'Приложение №2'!E240-'Приложение №1'!R240</f>
        <v>1513577.6946375426</v>
      </c>
      <c r="T240" s="68">
        <v>0</v>
      </c>
      <c r="U240" s="44">
        <f t="shared" si="110"/>
        <v>754.80135092434875</v>
      </c>
      <c r="V240" s="44">
        <f t="shared" si="110"/>
        <v>754.80135092434875</v>
      </c>
      <c r="W240" s="80">
        <v>2023</v>
      </c>
      <c r="X240" s="29" t="e">
        <f>+#REF!-'[1]Приложение №1'!$P961</f>
        <v>#REF!</v>
      </c>
      <c r="Z240" s="31">
        <f t="shared" si="111"/>
        <v>4209077.6456601601</v>
      </c>
      <c r="AA240" s="27">
        <v>0</v>
      </c>
      <c r="AB240" s="27">
        <v>0</v>
      </c>
      <c r="AC240" s="27">
        <v>3665913.0117982994</v>
      </c>
      <c r="AD240" s="27">
        <v>0</v>
      </c>
      <c r="AE240" s="27">
        <v>0</v>
      </c>
      <c r="AF240" s="27"/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420907.76456601603</v>
      </c>
      <c r="AN240" s="32">
        <v>42090.776456601605</v>
      </c>
      <c r="AO240" s="33">
        <v>80166.092839243414</v>
      </c>
      <c r="AP240" s="84">
        <f>+N240-'Приложение №2'!E240</f>
        <v>0</v>
      </c>
      <c r="AQ240" s="1">
        <f>2433536.43-747296.02</f>
        <v>1686240.4100000001</v>
      </c>
      <c r="AR240" s="1">
        <f>+(K240*10+L240*20)*12*0.85</f>
        <v>546261</v>
      </c>
      <c r="AS240" s="1">
        <f>+(K240*10+L240*20)*12*30-4108823.88</f>
        <v>15170976.120000001</v>
      </c>
      <c r="AT240" s="29">
        <f t="shared" si="98"/>
        <v>-13657398.425362458</v>
      </c>
      <c r="AU240" s="29">
        <f>+P240-'[6]Приложение №1'!$P240</f>
        <v>0</v>
      </c>
      <c r="AV240" s="29">
        <f>+Q240-'[6]Приложение №1'!$Q240</f>
        <v>0</v>
      </c>
      <c r="AW240" s="29">
        <f>+R240-'[6]Приложение №1'!$R240</f>
        <v>0</v>
      </c>
      <c r="AX240" s="29">
        <f>+S240-'[6]Приложение №1'!$S240</f>
        <v>0</v>
      </c>
      <c r="AY240" s="29">
        <f>+T240-'[6]Приложение №1'!$T240</f>
        <v>0</v>
      </c>
    </row>
    <row r="241" spans="1:51" x14ac:dyDescent="0.25">
      <c r="A241" s="135">
        <f t="shared" si="103"/>
        <v>224</v>
      </c>
      <c r="B241" s="134">
        <f t="shared" si="104"/>
        <v>36</v>
      </c>
      <c r="C241" s="77" t="s">
        <v>545</v>
      </c>
      <c r="D241" s="77" t="s">
        <v>163</v>
      </c>
      <c r="E241" s="78">
        <v>1992</v>
      </c>
      <c r="F241" s="78">
        <v>2001</v>
      </c>
      <c r="G241" s="78" t="s">
        <v>44</v>
      </c>
      <c r="H241" s="78">
        <v>3</v>
      </c>
      <c r="I241" s="78">
        <v>5</v>
      </c>
      <c r="J241" s="44">
        <v>2965.1</v>
      </c>
      <c r="K241" s="44">
        <v>2484</v>
      </c>
      <c r="L241" s="44">
        <v>87.5</v>
      </c>
      <c r="M241" s="79">
        <v>91</v>
      </c>
      <c r="N241" s="129">
        <f t="shared" si="100"/>
        <v>7991588.1893740799</v>
      </c>
      <c r="O241" s="44"/>
      <c r="P241" s="68"/>
      <c r="Q241" s="68"/>
      <c r="R241" s="68">
        <f>+AR241</f>
        <v>271218</v>
      </c>
      <c r="S241" s="68"/>
      <c r="T241" s="68">
        <f>+'Приложение №2'!E241-'Приложение №1'!P241-'Приложение №1'!R241-'Приложение №1'!S241</f>
        <v>7720370.1893740799</v>
      </c>
      <c r="U241" s="68">
        <f t="shared" si="110"/>
        <v>3107.7535249364496</v>
      </c>
      <c r="V241" s="68">
        <f t="shared" si="110"/>
        <v>3107.7535249364496</v>
      </c>
      <c r="W241" s="80">
        <v>2023</v>
      </c>
      <c r="X241" s="29" t="e">
        <f>+#REF!-'[1]Приложение №1'!$P1556</f>
        <v>#REF!</v>
      </c>
      <c r="Z241" s="31">
        <f t="shared" si="111"/>
        <v>25552155.489999998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/>
      <c r="AG241" s="27">
        <v>0</v>
      </c>
      <c r="AH241" s="27">
        <v>0</v>
      </c>
      <c r="AI241" s="27">
        <v>22504805.426262595</v>
      </c>
      <c r="AJ241" s="27">
        <v>0</v>
      </c>
      <c r="AK241" s="27">
        <v>0</v>
      </c>
      <c r="AL241" s="27">
        <v>0</v>
      </c>
      <c r="AM241" s="27">
        <v>2299693.9940999998</v>
      </c>
      <c r="AN241" s="32">
        <v>255521.55489999999</v>
      </c>
      <c r="AO241" s="33">
        <v>492134.51473739999</v>
      </c>
      <c r="AP241" s="84">
        <f>+N241-'Приложение №2'!E241</f>
        <v>0</v>
      </c>
      <c r="AQ241" s="29">
        <f>1173019.05-R50</f>
        <v>-13985.589374080999</v>
      </c>
      <c r="AR241" s="1">
        <f t="shared" ref="AR241" si="115">+(K241*10+L241*20)*12*0.85</f>
        <v>271218</v>
      </c>
      <c r="AS241" s="1">
        <f>+(K241*10+L241*20)*12*30-S50</f>
        <v>2035941.8399999999</v>
      </c>
      <c r="AT241" s="29">
        <f t="shared" si="98"/>
        <v>-2035941.8399999999</v>
      </c>
    </row>
    <row r="242" spans="1:51" x14ac:dyDescent="0.25">
      <c r="A242" s="135">
        <f t="shared" si="103"/>
        <v>225</v>
      </c>
      <c r="B242" s="134">
        <f t="shared" si="104"/>
        <v>37</v>
      </c>
      <c r="C242" s="77" t="s">
        <v>545</v>
      </c>
      <c r="D242" s="77" t="s">
        <v>300</v>
      </c>
      <c r="E242" s="78">
        <v>1987</v>
      </c>
      <c r="F242" s="78">
        <v>2017</v>
      </c>
      <c r="G242" s="78" t="s">
        <v>547</v>
      </c>
      <c r="H242" s="78">
        <v>9</v>
      </c>
      <c r="I242" s="78">
        <v>1</v>
      </c>
      <c r="J242" s="44">
        <v>2767.8</v>
      </c>
      <c r="K242" s="44">
        <v>2150.8000000000002</v>
      </c>
      <c r="L242" s="44">
        <v>66.8</v>
      </c>
      <c r="M242" s="79">
        <v>94</v>
      </c>
      <c r="N242" s="72">
        <f t="shared" si="100"/>
        <v>5935901.4009709377</v>
      </c>
      <c r="O242" s="44"/>
      <c r="P242" s="68"/>
      <c r="Q242" s="68"/>
      <c r="R242" s="68">
        <f t="shared" si="114"/>
        <v>1701231.8336</v>
      </c>
      <c r="S242" s="68">
        <f>+'Приложение №2'!E242-'Приложение №1'!R242</f>
        <v>4234669.5673709381</v>
      </c>
      <c r="T242" s="68">
        <v>2.3283064365386963E-10</v>
      </c>
      <c r="U242" s="44">
        <f t="shared" si="110"/>
        <v>2676.7232147235463</v>
      </c>
      <c r="V242" s="44">
        <f t="shared" si="110"/>
        <v>2676.7232147235463</v>
      </c>
      <c r="W242" s="80">
        <v>2023</v>
      </c>
      <c r="X242" s="29" t="e">
        <f>+#REF!-'[1]Приложение №1'!$P969</f>
        <v>#REF!</v>
      </c>
      <c r="Z242" s="31">
        <f t="shared" si="111"/>
        <v>24358296.106563497</v>
      </c>
      <c r="AA242" s="27">
        <v>5322442.2844350552</v>
      </c>
      <c r="AB242" s="27">
        <v>2129484.5377048999</v>
      </c>
      <c r="AC242" s="27">
        <v>0</v>
      </c>
      <c r="AD242" s="27">
        <v>0</v>
      </c>
      <c r="AE242" s="27">
        <v>0</v>
      </c>
      <c r="AF242" s="27"/>
      <c r="AG242" s="27">
        <v>236468.68196531132</v>
      </c>
      <c r="AH242" s="27">
        <v>0</v>
      </c>
      <c r="AI242" s="27">
        <v>0</v>
      </c>
      <c r="AJ242" s="27">
        <v>0</v>
      </c>
      <c r="AK242" s="27">
        <v>13665253.188203763</v>
      </c>
      <c r="AL242" s="27">
        <v>0</v>
      </c>
      <c r="AM242" s="27">
        <v>2294103.4047365393</v>
      </c>
      <c r="AN242" s="32">
        <v>243582.96106563497</v>
      </c>
      <c r="AO242" s="33">
        <v>466961.04845229239</v>
      </c>
      <c r="AP242" s="84">
        <f>+N242-'Приложение №2'!E242</f>
        <v>0</v>
      </c>
      <c r="AQ242" s="1">
        <v>1394329.46</v>
      </c>
      <c r="AR242" s="1">
        <f>+(K242*13.29+L242*22.52)*12*0.85</f>
        <v>306902.37360000005</v>
      </c>
      <c r="AS242" s="1">
        <f>+(K242*13.29+L242*22.52)*12*30</f>
        <v>10831848.48</v>
      </c>
      <c r="AT242" s="29">
        <f t="shared" si="98"/>
        <v>-6597178.9126290623</v>
      </c>
      <c r="AU242" s="29">
        <f>+P242-'[6]Приложение №1'!$P241</f>
        <v>0</v>
      </c>
      <c r="AV242" s="29">
        <f>+Q242-'[6]Приложение №1'!$Q241</f>
        <v>0</v>
      </c>
      <c r="AW242" s="29">
        <f>+R242-'[6]Приложение №1'!$R241</f>
        <v>0</v>
      </c>
      <c r="AX242" s="29">
        <f>+S242-'[6]Приложение №1'!$S241</f>
        <v>0</v>
      </c>
      <c r="AY242" s="29">
        <f>+T242-'[6]Приложение №1'!$T241</f>
        <v>0</v>
      </c>
    </row>
    <row r="243" spans="1:51" x14ac:dyDescent="0.25">
      <c r="A243" s="135">
        <f t="shared" si="103"/>
        <v>226</v>
      </c>
      <c r="B243" s="134">
        <f t="shared" si="104"/>
        <v>38</v>
      </c>
      <c r="C243" s="77" t="s">
        <v>545</v>
      </c>
      <c r="D243" s="77" t="s">
        <v>301</v>
      </c>
      <c r="E243" s="78">
        <v>1988</v>
      </c>
      <c r="F243" s="78">
        <v>2016</v>
      </c>
      <c r="G243" s="78" t="s">
        <v>547</v>
      </c>
      <c r="H243" s="78">
        <v>5</v>
      </c>
      <c r="I243" s="78">
        <v>4</v>
      </c>
      <c r="J243" s="44">
        <v>5772.8</v>
      </c>
      <c r="K243" s="44">
        <v>4849.63</v>
      </c>
      <c r="L243" s="44">
        <v>82.5</v>
      </c>
      <c r="M243" s="79">
        <v>180</v>
      </c>
      <c r="N243" s="72">
        <f t="shared" si="100"/>
        <v>41702387.5</v>
      </c>
      <c r="O243" s="44"/>
      <c r="P243" s="68">
        <v>10119409.619999997</v>
      </c>
      <c r="Q243" s="68"/>
      <c r="R243" s="68">
        <f t="shared" si="114"/>
        <v>2069358.8800000001</v>
      </c>
      <c r="S243" s="68">
        <f>+AS243</f>
        <v>18052668.000000004</v>
      </c>
      <c r="T243" s="68">
        <f>+'Приложение №2'!E243-'Приложение №1'!P243-'Приложение №1'!R243-'Приложение №1'!S243</f>
        <v>11460951</v>
      </c>
      <c r="U243" s="44">
        <f t="shared" si="110"/>
        <v>8455.2490506130216</v>
      </c>
      <c r="V243" s="44">
        <f t="shared" si="110"/>
        <v>8455.2490506130216</v>
      </c>
      <c r="W243" s="80">
        <v>2023</v>
      </c>
      <c r="X243" s="29" t="e">
        <f>+#REF!-'[1]Приложение №1'!$P972</f>
        <v>#REF!</v>
      </c>
      <c r="Z243" s="31">
        <f t="shared" si="111"/>
        <v>42112938.80402752</v>
      </c>
      <c r="AA243" s="27">
        <v>9562345.7271670904</v>
      </c>
      <c r="AB243" s="27">
        <v>4092895.7980599087</v>
      </c>
      <c r="AC243" s="27">
        <v>0</v>
      </c>
      <c r="AD243" s="27">
        <v>0</v>
      </c>
      <c r="AE243" s="27">
        <v>0</v>
      </c>
      <c r="AF243" s="27"/>
      <c r="AG243" s="27">
        <v>397015.54015650821</v>
      </c>
      <c r="AH243" s="27">
        <v>0</v>
      </c>
      <c r="AI243" s="27">
        <v>15819456.546057064</v>
      </c>
      <c r="AJ243" s="27">
        <v>7229112.6864668708</v>
      </c>
      <c r="AK243" s="27">
        <v>0</v>
      </c>
      <c r="AL243" s="27">
        <v>0</v>
      </c>
      <c r="AM243" s="27">
        <v>3779663.18881839</v>
      </c>
      <c r="AN243" s="32">
        <v>421129.3880402752</v>
      </c>
      <c r="AO243" s="33">
        <v>811319.92926141364</v>
      </c>
      <c r="AP243" s="84">
        <f>+N243-'Приложение №2'!E243</f>
        <v>0</v>
      </c>
      <c r="AQ243" s="1">
        <v>1557866.62</v>
      </c>
      <c r="AR243" s="1">
        <f t="shared" ref="AR243:AR249" si="116">+(K243*10+L243*20)*12*0.85</f>
        <v>511492.26000000007</v>
      </c>
      <c r="AS243" s="1">
        <f t="shared" ref="AS243:AS249" si="117">+(K243*10+L243*20)*12*30</f>
        <v>18052668.000000004</v>
      </c>
      <c r="AT243" s="29">
        <f t="shared" si="98"/>
        <v>0</v>
      </c>
      <c r="AU243" s="29">
        <f>+P243-'[6]Приложение №1'!$P242</f>
        <v>-10252841.310000002</v>
      </c>
      <c r="AV243" s="29">
        <f>+Q243-'[6]Приложение №1'!$Q242</f>
        <v>0</v>
      </c>
      <c r="AW243" s="29">
        <f>+R243-'[6]Приложение №1'!$R242</f>
        <v>0</v>
      </c>
      <c r="AX243" s="29">
        <f>+S243-'[6]Приложение №1'!$S242</f>
        <v>0</v>
      </c>
      <c r="AY243" s="29">
        <f>+T243-'[6]Приложение №1'!$T242</f>
        <v>10252841.310000002</v>
      </c>
    </row>
    <row r="244" spans="1:51" x14ac:dyDescent="0.25">
      <c r="A244" s="135">
        <f t="shared" si="103"/>
        <v>227</v>
      </c>
      <c r="B244" s="134">
        <f t="shared" si="104"/>
        <v>39</v>
      </c>
      <c r="C244" s="77" t="s">
        <v>545</v>
      </c>
      <c r="D244" s="77" t="s">
        <v>306</v>
      </c>
      <c r="E244" s="78">
        <v>1993</v>
      </c>
      <c r="F244" s="78">
        <v>1993</v>
      </c>
      <c r="G244" s="78" t="s">
        <v>547</v>
      </c>
      <c r="H244" s="78">
        <v>5</v>
      </c>
      <c r="I244" s="78">
        <v>3</v>
      </c>
      <c r="J244" s="44">
        <v>2627.7</v>
      </c>
      <c r="K244" s="44">
        <v>2328</v>
      </c>
      <c r="L244" s="44">
        <v>0</v>
      </c>
      <c r="M244" s="79">
        <v>101</v>
      </c>
      <c r="N244" s="129">
        <f t="shared" si="100"/>
        <v>4446855.6789088678</v>
      </c>
      <c r="O244" s="44"/>
      <c r="P244" s="68">
        <v>257830.72999999998</v>
      </c>
      <c r="Q244" s="68"/>
      <c r="R244" s="68">
        <f>+'Приложение №2'!E244-'Приложение №1'!P244</f>
        <v>4189024.9489088678</v>
      </c>
      <c r="S244" s="68"/>
      <c r="T244" s="44">
        <f>+'Приложение №2'!E244-'Приложение №1'!P244-'Приложение №1'!Q244-'Приложение №1'!R244-'Приложение №1'!S244</f>
        <v>0</v>
      </c>
      <c r="U244" s="68">
        <f>$N244/($K244+$L244)</f>
        <v>1910.1613741017472</v>
      </c>
      <c r="V244" s="68">
        <f>$N244/($K244+$L244)</f>
        <v>1910.1613741017472</v>
      </c>
      <c r="W244" s="80">
        <v>2023</v>
      </c>
      <c r="X244" s="29" t="e">
        <f>+#REF!-'[1]Приложение №1'!$P979</f>
        <v>#REF!</v>
      </c>
      <c r="Z244" s="31">
        <f>SUM(AA244:AO244)</f>
        <v>2025910.3767552001</v>
      </c>
      <c r="AA244" s="27">
        <v>0</v>
      </c>
      <c r="AB244" s="27">
        <v>0</v>
      </c>
      <c r="AC244" s="27">
        <v>1764474.7462764487</v>
      </c>
      <c r="AD244" s="27">
        <v>0</v>
      </c>
      <c r="AE244" s="27">
        <v>0</v>
      </c>
      <c r="AF244" s="27"/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202591.03767552003</v>
      </c>
      <c r="AN244" s="32">
        <v>20259.103767552002</v>
      </c>
      <c r="AO244" s="33">
        <v>38585.489035679544</v>
      </c>
      <c r="AP244" s="84">
        <f>+N244-'Приложение №2'!E244</f>
        <v>0</v>
      </c>
      <c r="AQ244" s="1">
        <v>1113195.26</v>
      </c>
      <c r="AR244" s="1">
        <f>+(K244*10+L244*20)*12*0.85</f>
        <v>237456</v>
      </c>
      <c r="AS244" s="1">
        <f>+(K244*10+L244*20)*12*30</f>
        <v>8380800</v>
      </c>
      <c r="AT244" s="29">
        <f>+S244-AS244</f>
        <v>-8380800</v>
      </c>
    </row>
    <row r="245" spans="1:51" x14ac:dyDescent="0.25">
      <c r="A245" s="135">
        <f t="shared" si="103"/>
        <v>228</v>
      </c>
      <c r="B245" s="134">
        <f t="shared" si="104"/>
        <v>40</v>
      </c>
      <c r="C245" s="77" t="s">
        <v>545</v>
      </c>
      <c r="D245" s="77" t="s">
        <v>302</v>
      </c>
      <c r="E245" s="78">
        <v>1987</v>
      </c>
      <c r="F245" s="78">
        <v>2013</v>
      </c>
      <c r="G245" s="78" t="s">
        <v>547</v>
      </c>
      <c r="H245" s="78">
        <v>5</v>
      </c>
      <c r="I245" s="78">
        <v>6</v>
      </c>
      <c r="J245" s="44">
        <v>5156.5</v>
      </c>
      <c r="K245" s="44">
        <v>4643.1499999999996</v>
      </c>
      <c r="L245" s="44">
        <v>0</v>
      </c>
      <c r="M245" s="79">
        <v>198</v>
      </c>
      <c r="N245" s="72">
        <f t="shared" si="100"/>
        <v>18498158.429174457</v>
      </c>
      <c r="O245" s="44"/>
      <c r="P245" s="68"/>
      <c r="Q245" s="68"/>
      <c r="R245" s="68">
        <f t="shared" si="114"/>
        <v>2589978.34</v>
      </c>
      <c r="S245" s="68">
        <f>+'Приложение №2'!E245-'Приложение №1'!R245</f>
        <v>15908180.089174457</v>
      </c>
      <c r="T245" s="68">
        <v>0</v>
      </c>
      <c r="U245" s="44">
        <f t="shared" si="110"/>
        <v>3983.9674421835302</v>
      </c>
      <c r="V245" s="44">
        <f t="shared" si="110"/>
        <v>3983.9674421835302</v>
      </c>
      <c r="W245" s="80">
        <v>2023</v>
      </c>
      <c r="X245" s="29" t="e">
        <f>+#REF!-'[1]Приложение №1'!$P973</f>
        <v>#REF!</v>
      </c>
      <c r="Z245" s="31">
        <f t="shared" si="111"/>
        <v>19097413.753508817</v>
      </c>
      <c r="AA245" s="27">
        <v>9161875.3142818157</v>
      </c>
      <c r="AB245" s="27">
        <v>0</v>
      </c>
      <c r="AC245" s="27">
        <v>3500633.098855949</v>
      </c>
      <c r="AD245" s="27">
        <v>3697386.8583204113</v>
      </c>
      <c r="AE245" s="27">
        <v>0</v>
      </c>
      <c r="AF245" s="27"/>
      <c r="AG245" s="27">
        <v>380388.55533241422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1800079.6866966058</v>
      </c>
      <c r="AN245" s="32">
        <v>190974.13753508814</v>
      </c>
      <c r="AO245" s="33">
        <v>366076.10248653049</v>
      </c>
      <c r="AP245" s="84">
        <f>+N245-'Приложение №2'!E245</f>
        <v>0</v>
      </c>
      <c r="AQ245" s="1">
        <v>2116377.04</v>
      </c>
      <c r="AR245" s="1">
        <f t="shared" si="116"/>
        <v>473601.3</v>
      </c>
      <c r="AS245" s="1">
        <f t="shared" si="117"/>
        <v>16715340</v>
      </c>
      <c r="AT245" s="29">
        <f t="shared" si="98"/>
        <v>-807159.91082554311</v>
      </c>
      <c r="AU245" s="29">
        <f>+P245-'[6]Приложение №1'!$P243</f>
        <v>0</v>
      </c>
      <c r="AV245" s="29">
        <f>+Q245-'[6]Приложение №1'!$Q243</f>
        <v>0</v>
      </c>
      <c r="AW245" s="29">
        <f>+R245-'[6]Приложение №1'!$R243</f>
        <v>0</v>
      </c>
      <c r="AX245" s="29">
        <f>+S245-'[6]Приложение №1'!$S243</f>
        <v>0</v>
      </c>
      <c r="AY245" s="29">
        <f>+T245-'[6]Приложение №1'!$T243</f>
        <v>0</v>
      </c>
    </row>
    <row r="246" spans="1:51" x14ac:dyDescent="0.25">
      <c r="A246" s="135">
        <f t="shared" si="103"/>
        <v>229</v>
      </c>
      <c r="B246" s="134">
        <f t="shared" si="104"/>
        <v>41</v>
      </c>
      <c r="C246" s="77" t="s">
        <v>545</v>
      </c>
      <c r="D246" s="77" t="s">
        <v>303</v>
      </c>
      <c r="E246" s="78">
        <v>1987</v>
      </c>
      <c r="F246" s="78">
        <v>2008</v>
      </c>
      <c r="G246" s="78" t="s">
        <v>547</v>
      </c>
      <c r="H246" s="78">
        <v>5</v>
      </c>
      <c r="I246" s="78">
        <v>6</v>
      </c>
      <c r="J246" s="44">
        <v>5142.3999999999996</v>
      </c>
      <c r="K246" s="44">
        <v>4585</v>
      </c>
      <c r="L246" s="44">
        <v>0</v>
      </c>
      <c r="M246" s="79">
        <v>184</v>
      </c>
      <c r="N246" s="72">
        <f t="shared" si="100"/>
        <v>18345600.889129095</v>
      </c>
      <c r="O246" s="44"/>
      <c r="P246" s="68"/>
      <c r="Q246" s="68"/>
      <c r="R246" s="68">
        <f t="shared" si="114"/>
        <v>2658490.19</v>
      </c>
      <c r="S246" s="68">
        <f>+'Приложение №2'!E246-'Приложение №1'!R246</f>
        <v>15687110.699129095</v>
      </c>
      <c r="T246" s="68">
        <v>0</v>
      </c>
      <c r="U246" s="44">
        <f t="shared" si="110"/>
        <v>4001.2215679670871</v>
      </c>
      <c r="V246" s="44">
        <f t="shared" si="110"/>
        <v>4001.2215679670871</v>
      </c>
      <c r="W246" s="80">
        <v>2023</v>
      </c>
      <c r="X246" s="29" t="e">
        <f>+#REF!-'[1]Приложение №1'!$P974</f>
        <v>#REF!</v>
      </c>
      <c r="Z246" s="31">
        <f t="shared" si="111"/>
        <v>18940870.804019675</v>
      </c>
      <c r="AA246" s="27">
        <v>9086774.7272043712</v>
      </c>
      <c r="AB246" s="27">
        <v>0</v>
      </c>
      <c r="AC246" s="27">
        <v>3471938.1437459388</v>
      </c>
      <c r="AD246" s="27">
        <v>3667079.0977160456</v>
      </c>
      <c r="AE246" s="27">
        <v>0</v>
      </c>
      <c r="AF246" s="27"/>
      <c r="AG246" s="27">
        <v>377270.48148366035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1785324.2969298</v>
      </c>
      <c r="AN246" s="32">
        <v>189408.70804019674</v>
      </c>
      <c r="AO246" s="33">
        <v>363075.34889966319</v>
      </c>
      <c r="AP246" s="84">
        <f>+N246-'Приложение №2'!E246</f>
        <v>0</v>
      </c>
      <c r="AQ246" s="1">
        <v>2190820.19</v>
      </c>
      <c r="AR246" s="1">
        <f t="shared" si="116"/>
        <v>467670</v>
      </c>
      <c r="AS246" s="1">
        <f t="shared" si="117"/>
        <v>16506000</v>
      </c>
      <c r="AT246" s="29">
        <f t="shared" si="98"/>
        <v>-818889.3008709047</v>
      </c>
      <c r="AU246" s="29">
        <f>+P246-'[6]Приложение №1'!$P244</f>
        <v>0</v>
      </c>
      <c r="AV246" s="29">
        <f>+Q246-'[6]Приложение №1'!$Q244</f>
        <v>0</v>
      </c>
      <c r="AW246" s="29">
        <f>+R246-'[6]Приложение №1'!$R244</f>
        <v>0</v>
      </c>
      <c r="AX246" s="29">
        <f>+S246-'[6]Приложение №1'!$S244</f>
        <v>0</v>
      </c>
      <c r="AY246" s="29">
        <f>+T246-'[6]Приложение №1'!$T244</f>
        <v>0</v>
      </c>
    </row>
    <row r="247" spans="1:51" x14ac:dyDescent="0.25">
      <c r="A247" s="135">
        <f t="shared" si="103"/>
        <v>230</v>
      </c>
      <c r="B247" s="134">
        <f t="shared" si="104"/>
        <v>42</v>
      </c>
      <c r="C247" s="77" t="s">
        <v>545</v>
      </c>
      <c r="D247" s="77" t="s">
        <v>304</v>
      </c>
      <c r="E247" s="78">
        <v>1988</v>
      </c>
      <c r="F247" s="78">
        <v>2008</v>
      </c>
      <c r="G247" s="78" t="s">
        <v>547</v>
      </c>
      <c r="H247" s="78">
        <v>5</v>
      </c>
      <c r="I247" s="78">
        <v>6</v>
      </c>
      <c r="J247" s="44">
        <v>5139.5</v>
      </c>
      <c r="K247" s="44">
        <v>4552.6000000000004</v>
      </c>
      <c r="L247" s="44">
        <v>68.400000000000006</v>
      </c>
      <c r="M247" s="79">
        <v>203</v>
      </c>
      <c r="N247" s="72">
        <f t="shared" si="100"/>
        <v>18417459.107653033</v>
      </c>
      <c r="O247" s="44"/>
      <c r="P247" s="68"/>
      <c r="Q247" s="68"/>
      <c r="R247" s="68">
        <f t="shared" si="114"/>
        <v>2658783.5799999996</v>
      </c>
      <c r="S247" s="68">
        <f>+'Приложение №2'!E247-'Приложение №1'!R247</f>
        <v>15758675.527653033</v>
      </c>
      <c r="T247" s="68">
        <v>0</v>
      </c>
      <c r="U247" s="44">
        <f t="shared" si="110"/>
        <v>3985.6003262612062</v>
      </c>
      <c r="V247" s="44">
        <f t="shared" si="110"/>
        <v>3985.6003262612062</v>
      </c>
      <c r="W247" s="80">
        <v>2023</v>
      </c>
      <c r="X247" s="29" t="e">
        <f>+#REF!-'[1]Приложение №1'!$P976</f>
        <v>#REF!</v>
      </c>
      <c r="Z247" s="31">
        <f t="shared" si="111"/>
        <v>19009395.423817348</v>
      </c>
      <c r="AA247" s="27">
        <v>9139483.8463669065</v>
      </c>
      <c r="AB247" s="27">
        <v>0</v>
      </c>
      <c r="AC247" s="27">
        <v>3475648.0455939346</v>
      </c>
      <c r="AD247" s="27">
        <v>3670997.5153139713</v>
      </c>
      <c r="AE247" s="27">
        <v>0</v>
      </c>
      <c r="AF247" s="27"/>
      <c r="AG247" s="27">
        <v>377673.60976489773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1791094.8304623633</v>
      </c>
      <c r="AN247" s="32">
        <v>190093.95423817349</v>
      </c>
      <c r="AO247" s="33">
        <v>364403.6220770998</v>
      </c>
      <c r="AP247" s="84">
        <f>+N247-'Приложение №2'!E247</f>
        <v>0</v>
      </c>
      <c r="AQ247" s="1">
        <v>2180464.7799999998</v>
      </c>
      <c r="AR247" s="1">
        <f t="shared" si="116"/>
        <v>478318.8</v>
      </c>
      <c r="AS247" s="1">
        <f t="shared" si="117"/>
        <v>16881840</v>
      </c>
      <c r="AT247" s="29">
        <f t="shared" si="98"/>
        <v>-1123164.4723469671</v>
      </c>
      <c r="AU247" s="29">
        <f>+P247-'[6]Приложение №1'!$P245</f>
        <v>0</v>
      </c>
      <c r="AV247" s="29">
        <f>+Q247-'[6]Приложение №1'!$Q245</f>
        <v>0</v>
      </c>
      <c r="AW247" s="29">
        <f>+R247-'[6]Приложение №1'!$R245</f>
        <v>0</v>
      </c>
      <c r="AX247" s="29">
        <f>+S247-'[6]Приложение №1'!$S245</f>
        <v>0</v>
      </c>
      <c r="AY247" s="29">
        <f>+T247-'[6]Приложение №1'!$T245</f>
        <v>0</v>
      </c>
    </row>
    <row r="248" spans="1:51" x14ac:dyDescent="0.25">
      <c r="A248" s="135">
        <f t="shared" si="103"/>
        <v>231</v>
      </c>
      <c r="B248" s="134">
        <f t="shared" si="104"/>
        <v>43</v>
      </c>
      <c r="C248" s="77" t="s">
        <v>545</v>
      </c>
      <c r="D248" s="77" t="s">
        <v>747</v>
      </c>
      <c r="E248" s="78" t="s">
        <v>586</v>
      </c>
      <c r="F248" s="78"/>
      <c r="G248" s="78" t="s">
        <v>570</v>
      </c>
      <c r="H248" s="78" t="s">
        <v>582</v>
      </c>
      <c r="I248" s="78" t="s">
        <v>579</v>
      </c>
      <c r="J248" s="44">
        <v>6626.4</v>
      </c>
      <c r="K248" s="44">
        <v>4862.3999999999996</v>
      </c>
      <c r="L248" s="44">
        <v>725.8</v>
      </c>
      <c r="M248" s="79">
        <v>218</v>
      </c>
      <c r="N248" s="72">
        <f t="shared" si="100"/>
        <v>10844684.448000001</v>
      </c>
      <c r="O248" s="44"/>
      <c r="P248" s="68"/>
      <c r="Q248" s="68"/>
      <c r="R248" s="68">
        <f t="shared" si="114"/>
        <v>4074235.28</v>
      </c>
      <c r="S248" s="68">
        <f>+'Приложение №2'!E248-'Приложение №1'!R248</f>
        <v>6770449.1680000015</v>
      </c>
      <c r="T248" s="68"/>
      <c r="U248" s="44"/>
      <c r="V248" s="44"/>
      <c r="W248" s="80">
        <v>2023</v>
      </c>
      <c r="X248" s="29"/>
      <c r="Z248" s="73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74"/>
      <c r="AO248" s="74"/>
      <c r="AP248" s="84">
        <f>+N248-'Приложение №2'!E248</f>
        <v>0</v>
      </c>
      <c r="AQ248" s="1">
        <v>3430207.28</v>
      </c>
      <c r="AR248" s="1">
        <f t="shared" si="116"/>
        <v>644028</v>
      </c>
      <c r="AS248" s="1">
        <f t="shared" si="117"/>
        <v>22730400</v>
      </c>
      <c r="AT248" s="29">
        <f t="shared" si="98"/>
        <v>-15959950.831999999</v>
      </c>
    </row>
    <row r="249" spans="1:51" x14ac:dyDescent="0.25">
      <c r="A249" s="135">
        <f t="shared" si="103"/>
        <v>232</v>
      </c>
      <c r="B249" s="134">
        <f t="shared" si="104"/>
        <v>44</v>
      </c>
      <c r="C249" s="77" t="s">
        <v>545</v>
      </c>
      <c r="D249" s="77" t="s">
        <v>748</v>
      </c>
      <c r="E249" s="78" t="s">
        <v>586</v>
      </c>
      <c r="F249" s="78"/>
      <c r="G249" s="78" t="s">
        <v>570</v>
      </c>
      <c r="H249" s="78" t="s">
        <v>582</v>
      </c>
      <c r="I249" s="78" t="s">
        <v>579</v>
      </c>
      <c r="J249" s="44">
        <v>6832.2</v>
      </c>
      <c r="K249" s="44">
        <v>5772.1</v>
      </c>
      <c r="L249" s="44">
        <v>17</v>
      </c>
      <c r="M249" s="79">
        <v>245</v>
      </c>
      <c r="N249" s="72">
        <f t="shared" si="100"/>
        <v>11234559.024000002</v>
      </c>
      <c r="O249" s="44"/>
      <c r="P249" s="68"/>
      <c r="Q249" s="68"/>
      <c r="R249" s="68">
        <f t="shared" si="114"/>
        <v>3768302.3099999996</v>
      </c>
      <c r="S249" s="68">
        <f>+'Приложение №2'!E249-'Приложение №1'!R249</f>
        <v>7466256.7140000025</v>
      </c>
      <c r="T249" s="68"/>
      <c r="U249" s="44"/>
      <c r="V249" s="44"/>
      <c r="W249" s="80">
        <v>2023</v>
      </c>
      <c r="X249" s="29"/>
      <c r="Z249" s="73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74"/>
      <c r="AO249" s="74"/>
      <c r="AP249" s="84">
        <f>+N249-'Приложение №2'!E249</f>
        <v>0</v>
      </c>
      <c r="AQ249" s="1">
        <v>3176080.11</v>
      </c>
      <c r="AR249" s="1">
        <f t="shared" si="116"/>
        <v>592222.19999999995</v>
      </c>
      <c r="AS249" s="1">
        <f t="shared" si="117"/>
        <v>20901960</v>
      </c>
      <c r="AT249" s="29">
        <f t="shared" si="98"/>
        <v>-13435703.285999998</v>
      </c>
    </row>
    <row r="250" spans="1:51" x14ac:dyDescent="0.25">
      <c r="A250" s="135">
        <f t="shared" si="103"/>
        <v>233</v>
      </c>
      <c r="B250" s="134">
        <f t="shared" si="104"/>
        <v>45</v>
      </c>
      <c r="C250" s="77" t="s">
        <v>545</v>
      </c>
      <c r="D250" s="77" t="s">
        <v>71</v>
      </c>
      <c r="E250" s="78">
        <v>1991</v>
      </c>
      <c r="F250" s="78">
        <v>2009</v>
      </c>
      <c r="G250" s="78" t="s">
        <v>547</v>
      </c>
      <c r="H250" s="78">
        <v>5</v>
      </c>
      <c r="I250" s="78">
        <v>2</v>
      </c>
      <c r="J250" s="44">
        <v>3315.2</v>
      </c>
      <c r="K250" s="44">
        <v>2614.6999999999998</v>
      </c>
      <c r="L250" s="44">
        <v>667.8</v>
      </c>
      <c r="M250" s="79">
        <v>88</v>
      </c>
      <c r="N250" s="129">
        <f t="shared" si="100"/>
        <v>3985720.2693774602</v>
      </c>
      <c r="O250" s="44"/>
      <c r="P250" s="68"/>
      <c r="Q250" s="68"/>
      <c r="R250" s="68">
        <f>+AQ250+AR250</f>
        <v>1774505.62</v>
      </c>
      <c r="S250" s="68">
        <f>+'Приложение №2'!E250-'Приложение №1'!R250</f>
        <v>2211214.6493774601</v>
      </c>
      <c r="T250" s="44">
        <f>+'Приложение №2'!E250-'Приложение №1'!P250-'Приложение №1'!Q250-'Приложение №1'!R250-'Приложение №1'!S250</f>
        <v>0</v>
      </c>
      <c r="U250" s="68">
        <f>$N250/($K250+$L250)</f>
        <v>1214.2331361393633</v>
      </c>
      <c r="V250" s="68">
        <f>$N250/($K250+$L250)</f>
        <v>1214.2331361393633</v>
      </c>
      <c r="W250" s="80">
        <v>2023</v>
      </c>
      <c r="X250" s="29" t="e">
        <f>+#REF!-'[1]Приложение №1'!$P982</f>
        <v>#REF!</v>
      </c>
      <c r="Z250" s="31">
        <f>SUM(AA250:AO250)</f>
        <v>5124059.0709295115</v>
      </c>
      <c r="AA250" s="27">
        <v>0</v>
      </c>
      <c r="AB250" s="27">
        <v>0</v>
      </c>
      <c r="AC250" s="27">
        <v>2132209.3029237217</v>
      </c>
      <c r="AD250" s="27">
        <v>2252050.5386283286</v>
      </c>
      <c r="AE250" s="27">
        <v>0</v>
      </c>
      <c r="AF250" s="27"/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592683.75556044606</v>
      </c>
      <c r="AN250" s="32">
        <v>51240.590709295109</v>
      </c>
      <c r="AO250" s="33">
        <v>95874.88310771907</v>
      </c>
      <c r="AP250" s="84">
        <f>+N250-'Приложение №2'!E250</f>
        <v>0</v>
      </c>
      <c r="AQ250" s="1">
        <v>1371575.02</v>
      </c>
      <c r="AR250" s="1">
        <f>+(K250*10+L250*20)*12*0.85</f>
        <v>402930.6</v>
      </c>
      <c r="AS250" s="1">
        <f>+(K250*10+L250*20)*12*30</f>
        <v>14221080</v>
      </c>
      <c r="AT250" s="29">
        <f>+S250-AS250</f>
        <v>-12009865.35062254</v>
      </c>
    </row>
    <row r="251" spans="1:51" s="35" customFormat="1" x14ac:dyDescent="0.25">
      <c r="A251" s="135">
        <f t="shared" si="103"/>
        <v>234</v>
      </c>
      <c r="B251" s="134">
        <f t="shared" si="104"/>
        <v>46</v>
      </c>
      <c r="C251" s="77" t="s">
        <v>545</v>
      </c>
      <c r="D251" s="77" t="s">
        <v>590</v>
      </c>
      <c r="E251" s="78" t="s">
        <v>578</v>
      </c>
      <c r="F251" s="78"/>
      <c r="G251" s="78" t="s">
        <v>573</v>
      </c>
      <c r="H251" s="78" t="s">
        <v>571</v>
      </c>
      <c r="I251" s="78" t="s">
        <v>576</v>
      </c>
      <c r="J251" s="44">
        <v>3182.4</v>
      </c>
      <c r="K251" s="44">
        <v>2718.2</v>
      </c>
      <c r="L251" s="44">
        <v>0</v>
      </c>
      <c r="M251" s="79">
        <v>99</v>
      </c>
      <c r="N251" s="72">
        <f t="shared" si="100"/>
        <v>11280046.000319112</v>
      </c>
      <c r="O251" s="44">
        <v>0</v>
      </c>
      <c r="P251" s="68"/>
      <c r="Q251" s="68">
        <v>0</v>
      </c>
      <c r="R251" s="68">
        <f t="shared" si="114"/>
        <v>2054828.4956</v>
      </c>
      <c r="S251" s="68">
        <f>+'Приложение №2'!E251-'Приложение №1'!R251</f>
        <v>9225217.5047191121</v>
      </c>
      <c r="T251" s="68">
        <v>2.3283064365386963E-10</v>
      </c>
      <c r="U251" s="44">
        <f t="shared" ref="U251:V271" si="118">$N251/($K251+$L251)</f>
        <v>4149.8219411077598</v>
      </c>
      <c r="V251" s="44">
        <f t="shared" si="118"/>
        <v>4149.8219411077598</v>
      </c>
      <c r="W251" s="80">
        <v>2023</v>
      </c>
      <c r="X251" s="35">
        <v>1300878.49</v>
      </c>
      <c r="Y251" s="35">
        <f>+(K251*12.08+L251*20.47)*12</f>
        <v>394030.272</v>
      </c>
      <c r="AA251" s="36">
        <f>+N251-'[5]Приложение № 2'!E232</f>
        <v>10891200.950319111</v>
      </c>
      <c r="AD251" s="36">
        <f>+N251-'[5]Приложение № 2'!E232</f>
        <v>10891200.950319111</v>
      </c>
      <c r="AP251" s="84">
        <f>+N251-'Приложение №2'!E251</f>
        <v>0</v>
      </c>
      <c r="AQ251" s="35">
        <v>1686354.74</v>
      </c>
      <c r="AR251" s="1">
        <f>+(K251*13.29+L251*22.52)*12*0.85</f>
        <v>368473.75559999997</v>
      </c>
      <c r="AS251" s="1">
        <f>+(K251*13.29+L251*22.52)*12*30</f>
        <v>13004956.079999998</v>
      </c>
      <c r="AT251" s="29">
        <f t="shared" si="98"/>
        <v>-3779738.5752808861</v>
      </c>
      <c r="AU251" s="29">
        <f>+P251-'[6]Приложение №1'!$P246</f>
        <v>0</v>
      </c>
      <c r="AV251" s="29">
        <f>+Q251-'[6]Приложение №1'!$Q246</f>
        <v>0</v>
      </c>
      <c r="AW251" s="29">
        <f>+R251-'[6]Приложение №1'!$R246</f>
        <v>0</v>
      </c>
      <c r="AX251" s="29">
        <f>+S251-'[6]Приложение №1'!$S246</f>
        <v>0</v>
      </c>
      <c r="AY251" s="29">
        <f>+T251-'[6]Приложение №1'!$T246</f>
        <v>0</v>
      </c>
    </row>
    <row r="252" spans="1:51" x14ac:dyDescent="0.25">
      <c r="A252" s="135">
        <f t="shared" si="103"/>
        <v>235</v>
      </c>
      <c r="B252" s="134">
        <f t="shared" si="104"/>
        <v>47</v>
      </c>
      <c r="C252" s="77" t="s">
        <v>545</v>
      </c>
      <c r="D252" s="77" t="s">
        <v>307</v>
      </c>
      <c r="E252" s="78">
        <v>1990</v>
      </c>
      <c r="F252" s="78">
        <v>2017</v>
      </c>
      <c r="G252" s="78" t="s">
        <v>547</v>
      </c>
      <c r="H252" s="78">
        <v>9</v>
      </c>
      <c r="I252" s="78">
        <v>1</v>
      </c>
      <c r="J252" s="44">
        <v>3220.3</v>
      </c>
      <c r="K252" s="44">
        <v>2758.2</v>
      </c>
      <c r="L252" s="44">
        <v>90</v>
      </c>
      <c r="M252" s="79">
        <v>102</v>
      </c>
      <c r="N252" s="72">
        <f t="shared" si="100"/>
        <v>11736958.542351823</v>
      </c>
      <c r="O252" s="44"/>
      <c r="P252" s="68"/>
      <c r="Q252" s="68"/>
      <c r="R252" s="68">
        <f>+AQ252+AR252-659229.88</f>
        <v>1373583.9356</v>
      </c>
      <c r="S252" s="68">
        <f>+'Приложение №2'!E252-'Приложение №1'!R252</f>
        <v>10363374.606751824</v>
      </c>
      <c r="T252" s="68">
        <v>0</v>
      </c>
      <c r="U252" s="44">
        <f t="shared" si="118"/>
        <v>4120.8336993019539</v>
      </c>
      <c r="V252" s="44">
        <f t="shared" si="118"/>
        <v>4120.8336993019539</v>
      </c>
      <c r="W252" s="80">
        <v>2023</v>
      </c>
      <c r="X252" s="29" t="e">
        <f>+#REF!-'[1]Приложение №1'!$P983</f>
        <v>#REF!</v>
      </c>
      <c r="Z252" s="31">
        <f t="shared" ref="Z252:Z280" si="119">SUM(AA252:AO252)</f>
        <v>10585519.119685274</v>
      </c>
      <c r="AA252" s="27">
        <v>6602013.7682673624</v>
      </c>
      <c r="AB252" s="27"/>
      <c r="AC252" s="27">
        <v>1950958.4558916504</v>
      </c>
      <c r="AD252" s="27"/>
      <c r="AE252" s="27">
        <v>0</v>
      </c>
      <c r="AF252" s="27"/>
      <c r="AG252" s="27">
        <v>293318.25704611279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1316014.3444465706</v>
      </c>
      <c r="AN252" s="32">
        <v>144737.06182413004</v>
      </c>
      <c r="AO252" s="33">
        <v>278477.23220944533</v>
      </c>
      <c r="AP252" s="84">
        <f>+N252-'Приложение №2'!E252</f>
        <v>0</v>
      </c>
      <c r="AQ252" s="1">
        <v>1638244.38</v>
      </c>
      <c r="AR252" s="1">
        <f>+(K252*13.29+L252*22.52)*12*0.85</f>
        <v>394569.43560000003</v>
      </c>
      <c r="AS252" s="1">
        <f>+(K252*13.29+L252*22.52)*12*30-'[9]КПКР 2021 оплата по источникам'!$BG$1185-'[9]КПКР 2021 оплата по источникам'!$BG$1187</f>
        <v>11927276.210000001</v>
      </c>
      <c r="AT252" s="29">
        <f t="shared" si="98"/>
        <v>-1563901.6032481771</v>
      </c>
      <c r="AU252" s="29">
        <f>+P252-'[6]Приложение №1'!$P247</f>
        <v>0</v>
      </c>
      <c r="AV252" s="29">
        <f>+Q252-'[6]Приложение №1'!$Q247</f>
        <v>0</v>
      </c>
      <c r="AW252" s="29">
        <f>+R252-'[6]Приложение №1'!$R247</f>
        <v>0</v>
      </c>
      <c r="AX252" s="29">
        <f>+S252-'[6]Приложение №1'!$S247</f>
        <v>0</v>
      </c>
      <c r="AY252" s="29">
        <f>+T252-'[6]Приложение №1'!$T247</f>
        <v>0</v>
      </c>
    </row>
    <row r="253" spans="1:51" x14ac:dyDescent="0.25">
      <c r="A253" s="135">
        <f t="shared" si="103"/>
        <v>236</v>
      </c>
      <c r="B253" s="134">
        <f t="shared" si="104"/>
        <v>48</v>
      </c>
      <c r="C253" s="77" t="s">
        <v>546</v>
      </c>
      <c r="D253" s="77" t="s">
        <v>678</v>
      </c>
      <c r="E253" s="78">
        <v>1995</v>
      </c>
      <c r="F253" s="78">
        <v>2007</v>
      </c>
      <c r="G253" s="78" t="s">
        <v>547</v>
      </c>
      <c r="H253" s="78">
        <v>9</v>
      </c>
      <c r="I253" s="78">
        <v>3</v>
      </c>
      <c r="J253" s="44">
        <v>8715.5</v>
      </c>
      <c r="K253" s="44">
        <v>7251.1</v>
      </c>
      <c r="L253" s="44">
        <v>660.9</v>
      </c>
      <c r="M253" s="79">
        <v>283</v>
      </c>
      <c r="N253" s="129">
        <f t="shared" si="100"/>
        <v>17694269.120000001</v>
      </c>
      <c r="O253" s="44"/>
      <c r="P253" s="131">
        <v>16600042.59</v>
      </c>
      <c r="Q253" s="131"/>
      <c r="R253" s="131">
        <v>1094226.53</v>
      </c>
      <c r="S253" s="68"/>
      <c r="T253" s="44"/>
      <c r="U253" s="68">
        <f t="shared" si="118"/>
        <v>2236.3838624873611</v>
      </c>
      <c r="V253" s="68">
        <f t="shared" si="118"/>
        <v>2236.3838624873611</v>
      </c>
      <c r="W253" s="80">
        <v>2023</v>
      </c>
      <c r="X253" s="29" t="e">
        <f>+#REF!-'[1]Приложение №1'!#REF!</f>
        <v>#REF!</v>
      </c>
      <c r="Z253" s="31">
        <f t="shared" si="119"/>
        <v>47583718.340731375</v>
      </c>
      <c r="AA253" s="27">
        <v>17694269.116222665</v>
      </c>
      <c r="AB253" s="27">
        <v>7079395.2241015183</v>
      </c>
      <c r="AC253" s="27">
        <v>5228826.4103661133</v>
      </c>
      <c r="AD253" s="27">
        <v>3341459.7872589645</v>
      </c>
      <c r="AE253" s="27">
        <v>0</v>
      </c>
      <c r="AF253" s="27"/>
      <c r="AG253" s="27">
        <v>786131.68027933023</v>
      </c>
      <c r="AH253" s="27">
        <v>0</v>
      </c>
      <c r="AI253" s="27">
        <v>7743707.0462670354</v>
      </c>
      <c r="AJ253" s="27">
        <v>0</v>
      </c>
      <c r="AK253" s="27">
        <v>0</v>
      </c>
      <c r="AL253" s="27">
        <v>0</v>
      </c>
      <c r="AM253" s="27">
        <v>4318396.9303716524</v>
      </c>
      <c r="AN253" s="32">
        <v>475837.18340731377</v>
      </c>
      <c r="AO253" s="33">
        <v>915694.96245678177</v>
      </c>
      <c r="AP253" s="84">
        <f>+N253-'Приложение №2'!E253</f>
        <v>0</v>
      </c>
      <c r="AR253" s="1">
        <f>+(K253*13.29+L253*22.52)*12*0.85</f>
        <v>1134755.9873999998</v>
      </c>
      <c r="AS253" s="1">
        <f>+(K253*13.29+L253*22.52)*12*30</f>
        <v>40050211.319999993</v>
      </c>
      <c r="AT253" s="29">
        <f t="shared" si="98"/>
        <v>-40050211.319999993</v>
      </c>
      <c r="AU253" s="29">
        <f>+P253-'[6]Приложение №1'!$P248</f>
        <v>0</v>
      </c>
      <c r="AV253" s="29">
        <f>+Q253-'[6]Приложение №1'!$Q248</f>
        <v>0</v>
      </c>
      <c r="AW253" s="29">
        <f>+R253-'[6]Приложение №1'!$R248</f>
        <v>0</v>
      </c>
      <c r="AX253" s="29">
        <f>+S253-'[6]Приложение №1'!$S248</f>
        <v>0</v>
      </c>
      <c r="AY253" s="29">
        <f>+T253-'[6]Приложение №1'!$T248</f>
        <v>0</v>
      </c>
    </row>
    <row r="254" spans="1:51" x14ac:dyDescent="0.25">
      <c r="A254" s="135">
        <f t="shared" si="103"/>
        <v>237</v>
      </c>
      <c r="B254" s="134">
        <f t="shared" si="104"/>
        <v>49</v>
      </c>
      <c r="C254" s="77" t="s">
        <v>275</v>
      </c>
      <c r="D254" s="77" t="s">
        <v>454</v>
      </c>
      <c r="E254" s="78">
        <v>1997</v>
      </c>
      <c r="F254" s="78">
        <v>2013</v>
      </c>
      <c r="G254" s="78" t="s">
        <v>44</v>
      </c>
      <c r="H254" s="78">
        <v>3</v>
      </c>
      <c r="I254" s="78">
        <v>2</v>
      </c>
      <c r="J254" s="44">
        <v>1304.7</v>
      </c>
      <c r="K254" s="44">
        <v>938.6</v>
      </c>
      <c r="L254" s="44">
        <v>0</v>
      </c>
      <c r="M254" s="79">
        <v>33</v>
      </c>
      <c r="N254" s="72">
        <f t="shared" si="100"/>
        <v>9483523.7207000013</v>
      </c>
      <c r="O254" s="44"/>
      <c r="P254" s="68">
        <v>2237553.186666667</v>
      </c>
      <c r="Q254" s="68"/>
      <c r="R254" s="68">
        <f>+AQ254+AR254</f>
        <v>561433.66999999993</v>
      </c>
      <c r="S254" s="68">
        <f>+AS254</f>
        <v>3378960</v>
      </c>
      <c r="T254" s="68">
        <f>+'Приложение №2'!E254-'Приложение №1'!P254-'Приложение №1'!R254-'Приложение №1'!S254</f>
        <v>3305576.864033334</v>
      </c>
      <c r="U254" s="44">
        <f t="shared" si="118"/>
        <v>10103.90338877051</v>
      </c>
      <c r="V254" s="44">
        <f t="shared" si="118"/>
        <v>10103.90338877051</v>
      </c>
      <c r="W254" s="80">
        <v>2023</v>
      </c>
      <c r="X254" s="29" t="e">
        <f>+#REF!-'[1]Приложение №1'!$P1314</f>
        <v>#REF!</v>
      </c>
      <c r="Z254" s="31">
        <f t="shared" si="119"/>
        <v>10655644.630000001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/>
      <c r="AG254" s="27">
        <v>0</v>
      </c>
      <c r="AH254" s="27">
        <v>0</v>
      </c>
      <c r="AI254" s="27">
        <v>0</v>
      </c>
      <c r="AJ254" s="27">
        <v>0</v>
      </c>
      <c r="AK254" s="27">
        <v>9280576.3130770214</v>
      </c>
      <c r="AL254" s="27">
        <v>0</v>
      </c>
      <c r="AM254" s="27">
        <v>1065564.4630000002</v>
      </c>
      <c r="AN254" s="32">
        <v>106556.44630000001</v>
      </c>
      <c r="AO254" s="33">
        <v>202947.40762298004</v>
      </c>
      <c r="AP254" s="84">
        <f>+N254-'Приложение №2'!E254</f>
        <v>0</v>
      </c>
      <c r="AQ254" s="1">
        <v>465696.47</v>
      </c>
      <c r="AR254" s="1">
        <f>+(K254*10+L254*20)*12*0.85</f>
        <v>95737.2</v>
      </c>
      <c r="AS254" s="1">
        <f>+(K254*10+L254*20)*12*30</f>
        <v>3378960</v>
      </c>
      <c r="AT254" s="29">
        <f t="shared" si="98"/>
        <v>0</v>
      </c>
      <c r="AU254" s="29">
        <f>+P254-'[6]Приложение №1'!$P249</f>
        <v>0</v>
      </c>
      <c r="AV254" s="29">
        <f>+Q254-'[6]Приложение №1'!$Q249</f>
        <v>0</v>
      </c>
      <c r="AW254" s="29">
        <f>+R254-'[6]Приложение №1'!$R249</f>
        <v>0</v>
      </c>
      <c r="AX254" s="29">
        <f>+S254-'[6]Приложение №1'!$S249</f>
        <v>0</v>
      </c>
      <c r="AY254" s="29">
        <f>+T254-'[6]Приложение №1'!$T249</f>
        <v>0</v>
      </c>
    </row>
    <row r="255" spans="1:51" x14ac:dyDescent="0.25">
      <c r="A255" s="135">
        <f t="shared" si="103"/>
        <v>238</v>
      </c>
      <c r="B255" s="134">
        <f t="shared" si="104"/>
        <v>50</v>
      </c>
      <c r="C255" s="77" t="s">
        <v>275</v>
      </c>
      <c r="D255" s="77" t="s">
        <v>276</v>
      </c>
      <c r="E255" s="78">
        <v>1995</v>
      </c>
      <c r="F255" s="78">
        <v>2013</v>
      </c>
      <c r="G255" s="78" t="s">
        <v>44</v>
      </c>
      <c r="H255" s="78">
        <v>3</v>
      </c>
      <c r="I255" s="78">
        <v>4</v>
      </c>
      <c r="J255" s="44">
        <v>2740.5</v>
      </c>
      <c r="K255" s="44">
        <v>1849.2</v>
      </c>
      <c r="L255" s="44">
        <v>0</v>
      </c>
      <c r="M255" s="79">
        <v>67</v>
      </c>
      <c r="N255" s="72">
        <f t="shared" si="100"/>
        <v>18608626.178600002</v>
      </c>
      <c r="O255" s="44"/>
      <c r="P255" s="68">
        <v>906857.51333330001</v>
      </c>
      <c r="Q255" s="68"/>
      <c r="R255" s="68">
        <f>+AR255</f>
        <v>188618.4</v>
      </c>
      <c r="S255" s="68">
        <f>+AS255</f>
        <v>1070733.2310399991</v>
      </c>
      <c r="T255" s="68">
        <f>+'Приложение №2'!E255-'Приложение №1'!P255-'Приложение №1'!R255-'Приложение №1'!S255</f>
        <v>16442417.034226703</v>
      </c>
      <c r="U255" s="44">
        <f t="shared" si="118"/>
        <v>10063.068450465067</v>
      </c>
      <c r="V255" s="44">
        <f t="shared" si="118"/>
        <v>10063.068450465067</v>
      </c>
      <c r="W255" s="80">
        <v>2023</v>
      </c>
      <c r="X255" s="29" t="e">
        <f>+#REF!-'[1]Приложение №1'!$P1315</f>
        <v>#REF!</v>
      </c>
      <c r="Z255" s="31">
        <f t="shared" si="119"/>
        <v>20908568.739999998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/>
      <c r="AG255" s="27">
        <v>0</v>
      </c>
      <c r="AH255" s="27">
        <v>0</v>
      </c>
      <c r="AI255" s="27">
        <v>0</v>
      </c>
      <c r="AJ255" s="27">
        <v>0</v>
      </c>
      <c r="AK255" s="27">
        <v>18210401.578377958</v>
      </c>
      <c r="AL255" s="27">
        <v>0</v>
      </c>
      <c r="AM255" s="27">
        <v>2090856.8739999998</v>
      </c>
      <c r="AN255" s="32">
        <v>209085.6874</v>
      </c>
      <c r="AO255" s="33">
        <v>398224.60022203997</v>
      </c>
      <c r="AP255" s="84">
        <f>+N255-'Приложение №2'!E255</f>
        <v>0</v>
      </c>
      <c r="AQ255" s="1">
        <v>908516.69</v>
      </c>
      <c r="AR255" s="1">
        <f>+(K255*10+L255*20)*12*0.85</f>
        <v>188618.4</v>
      </c>
      <c r="AS255" s="1">
        <f>+(K255*10+L255*20)*12*30-S20</f>
        <v>1070733.2310399991</v>
      </c>
      <c r="AT255" s="29">
        <f t="shared" si="98"/>
        <v>0</v>
      </c>
      <c r="AU255" s="29">
        <f>+P255-'[6]Приложение №1'!$P250</f>
        <v>0</v>
      </c>
      <c r="AV255" s="29">
        <f>+Q255-'[6]Приложение №1'!$Q250</f>
        <v>0</v>
      </c>
      <c r="AW255" s="29">
        <f>+R255-'[6]Приложение №1'!$R250</f>
        <v>0</v>
      </c>
      <c r="AX255" s="29">
        <f>+S255-'[6]Приложение №1'!$S250</f>
        <v>-1677153.8516666666</v>
      </c>
      <c r="AY255" s="29">
        <f>+T255-'[6]Приложение №1'!$T250</f>
        <v>1677153.8516666666</v>
      </c>
    </row>
    <row r="256" spans="1:51" x14ac:dyDescent="0.25">
      <c r="A256" s="135">
        <f t="shared" si="103"/>
        <v>239</v>
      </c>
      <c r="B256" s="134">
        <f t="shared" si="104"/>
        <v>51</v>
      </c>
      <c r="C256" s="77" t="s">
        <v>545</v>
      </c>
      <c r="D256" s="77" t="s">
        <v>126</v>
      </c>
      <c r="E256" s="78">
        <v>1996</v>
      </c>
      <c r="F256" s="78">
        <v>1996</v>
      </c>
      <c r="G256" s="78" t="s">
        <v>547</v>
      </c>
      <c r="H256" s="78">
        <v>9</v>
      </c>
      <c r="I256" s="78">
        <v>2</v>
      </c>
      <c r="J256" s="44">
        <v>5868.8</v>
      </c>
      <c r="K256" s="44">
        <v>4891.1000000000004</v>
      </c>
      <c r="L256" s="44">
        <v>103.4</v>
      </c>
      <c r="M256" s="79">
        <v>176</v>
      </c>
      <c r="N256" s="72">
        <f t="shared" si="100"/>
        <v>3609894.245787648</v>
      </c>
      <c r="O256" s="44"/>
      <c r="P256" s="68"/>
      <c r="Q256" s="68"/>
      <c r="R256" s="68">
        <v>0</v>
      </c>
      <c r="S256" s="68">
        <f>+'Приложение №2'!E256-'Приложение №1'!R256</f>
        <v>3609894.245787648</v>
      </c>
      <c r="T256" s="68">
        <v>0</v>
      </c>
      <c r="U256" s="44">
        <f t="shared" si="118"/>
        <v>722.77390044802246</v>
      </c>
      <c r="V256" s="44">
        <f t="shared" si="118"/>
        <v>722.77390044802246</v>
      </c>
      <c r="W256" s="80">
        <v>2023</v>
      </c>
      <c r="X256" s="29" t="e">
        <f>+#REF!-'[1]Приложение №1'!$P1445</f>
        <v>#REF!</v>
      </c>
      <c r="Z256" s="31">
        <f t="shared" si="119"/>
        <v>26916272.679462254</v>
      </c>
      <c r="AA256" s="27">
        <v>11954408.568709729</v>
      </c>
      <c r="AB256" s="27">
        <v>4782903.5702124871</v>
      </c>
      <c r="AC256" s="27">
        <v>3532642.5089277923</v>
      </c>
      <c r="AD256" s="27">
        <v>2257520.5141524919</v>
      </c>
      <c r="AE256" s="27">
        <v>0</v>
      </c>
      <c r="AF256" s="27"/>
      <c r="AG256" s="27">
        <v>531117.68749178003</v>
      </c>
      <c r="AH256" s="27">
        <v>0</v>
      </c>
      <c r="AI256" s="27"/>
      <c r="AJ256" s="27">
        <v>0</v>
      </c>
      <c r="AK256" s="27">
        <v>0</v>
      </c>
      <c r="AL256" s="27">
        <v>0</v>
      </c>
      <c r="AM256" s="27">
        <v>2917548.1015033424</v>
      </c>
      <c r="AN256" s="32">
        <v>321479.91337035975</v>
      </c>
      <c r="AO256" s="33">
        <v>618651.81509427261</v>
      </c>
      <c r="AP256" s="84">
        <f>+N256-'Приложение №2'!E256</f>
        <v>0</v>
      </c>
      <c r="AQ256" s="29">
        <f>3041149.84-R27</f>
        <v>125049.93999999994</v>
      </c>
      <c r="AR256" s="1">
        <f>+(K256*13.29+L256*22.52)*12*0.85</f>
        <v>686779.12739999988</v>
      </c>
      <c r="AS256" s="1">
        <f>+(K256*13.29+L256*22.52)*12*30-2665031.47-S27</f>
        <v>18333982.144178148</v>
      </c>
      <c r="AT256" s="29">
        <f t="shared" si="98"/>
        <v>-14724087.8983905</v>
      </c>
      <c r="AU256" s="29">
        <f>+P256-'[6]Приложение №1'!$P251</f>
        <v>0</v>
      </c>
      <c r="AV256" s="29">
        <f>+Q256-'[6]Приложение №1'!$Q251</f>
        <v>0</v>
      </c>
      <c r="AW256" s="29">
        <f>+R256-'[6]Приложение №1'!$R251</f>
        <v>0</v>
      </c>
      <c r="AX256" s="29">
        <f>+S256-'[6]Приложение №1'!$S251</f>
        <v>0</v>
      </c>
      <c r="AY256" s="29">
        <f>+T256-'[6]Приложение №1'!$T251</f>
        <v>0</v>
      </c>
    </row>
    <row r="257" spans="1:51" x14ac:dyDescent="0.25">
      <c r="A257" s="135">
        <f t="shared" si="103"/>
        <v>240</v>
      </c>
      <c r="B257" s="134">
        <f t="shared" si="104"/>
        <v>52</v>
      </c>
      <c r="C257" s="77" t="s">
        <v>545</v>
      </c>
      <c r="D257" s="77" t="s">
        <v>139</v>
      </c>
      <c r="E257" s="78">
        <v>1991</v>
      </c>
      <c r="F257" s="78">
        <v>2011</v>
      </c>
      <c r="G257" s="78" t="s">
        <v>547</v>
      </c>
      <c r="H257" s="78">
        <v>9</v>
      </c>
      <c r="I257" s="78">
        <v>1</v>
      </c>
      <c r="J257" s="44">
        <v>2848.2</v>
      </c>
      <c r="K257" s="44">
        <v>2372.6999999999998</v>
      </c>
      <c r="L257" s="44">
        <v>100.6</v>
      </c>
      <c r="M257" s="79">
        <v>61</v>
      </c>
      <c r="N257" s="72">
        <f t="shared" si="100"/>
        <v>2085412.7608436176</v>
      </c>
      <c r="O257" s="44"/>
      <c r="P257" s="68"/>
      <c r="Q257" s="68"/>
      <c r="R257" s="68">
        <f t="shared" ref="R257:R265" si="120">+AQ257+AR257</f>
        <v>734493.91899999999</v>
      </c>
      <c r="S257" s="68">
        <f>+'Приложение №2'!E257-'Приложение №1'!R257</f>
        <v>1350918.8418436176</v>
      </c>
      <c r="T257" s="68">
        <v>0</v>
      </c>
      <c r="U257" s="44">
        <f t="shared" si="118"/>
        <v>843.17016166401891</v>
      </c>
      <c r="V257" s="44">
        <f t="shared" si="118"/>
        <v>843.17016166401891</v>
      </c>
      <c r="W257" s="80">
        <v>2023</v>
      </c>
      <c r="X257" s="29" t="e">
        <f>+#REF!-'[1]Приложение №1'!$P1335</f>
        <v>#REF!</v>
      </c>
      <c r="Z257" s="31">
        <f t="shared" si="119"/>
        <v>9685484.1454348229</v>
      </c>
      <c r="AA257" s="27">
        <v>6420381.7111990321</v>
      </c>
      <c r="AB257" s="27">
        <v>0</v>
      </c>
      <c r="AC257" s="27">
        <v>1897284.4391391145</v>
      </c>
      <c r="AD257" s="27">
        <v>0</v>
      </c>
      <c r="AE257" s="27">
        <v>0</v>
      </c>
      <c r="AF257" s="27"/>
      <c r="AG257" s="27">
        <v>285248.59826123505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797586.23367659084</v>
      </c>
      <c r="AN257" s="32">
        <v>96854.841454348236</v>
      </c>
      <c r="AO257" s="33">
        <v>188128.32170450315</v>
      </c>
      <c r="AP257" s="84">
        <f>+N257-'Приложение №2'!E257</f>
        <v>0</v>
      </c>
      <c r="AQ257" s="1">
        <f>1575336.79-1185589.56</f>
        <v>389747.23</v>
      </c>
      <c r="AR257" s="1">
        <f>+(K257*13.29+L257*22.52)*12*0.85</f>
        <v>344746.68899999995</v>
      </c>
      <c r="AS257" s="1">
        <f>+(K257*13.29+L257*22.52)*12*30</f>
        <v>12167530.199999999</v>
      </c>
      <c r="AT257" s="29">
        <f t="shared" si="98"/>
        <v>-10816611.358156381</v>
      </c>
      <c r="AU257" s="29">
        <f>+P257-'[6]Приложение №1'!$P252</f>
        <v>0</v>
      </c>
      <c r="AV257" s="29">
        <f>+Q257-'[6]Приложение №1'!$Q252</f>
        <v>0</v>
      </c>
      <c r="AW257" s="29">
        <f>+R257-'[6]Приложение №1'!$R252</f>
        <v>0</v>
      </c>
      <c r="AX257" s="29">
        <f>+S257-'[6]Приложение №1'!$S252</f>
        <v>0</v>
      </c>
      <c r="AY257" s="29">
        <f>+T257-'[6]Приложение №1'!$T252</f>
        <v>0</v>
      </c>
    </row>
    <row r="258" spans="1:51" x14ac:dyDescent="0.25">
      <c r="A258" s="135">
        <f t="shared" si="103"/>
        <v>241</v>
      </c>
      <c r="B258" s="134">
        <f t="shared" si="104"/>
        <v>53</v>
      </c>
      <c r="C258" s="77" t="s">
        <v>545</v>
      </c>
      <c r="D258" s="77" t="s">
        <v>144</v>
      </c>
      <c r="E258" s="78">
        <v>1995</v>
      </c>
      <c r="F258" s="78">
        <v>1995</v>
      </c>
      <c r="G258" s="78" t="s">
        <v>547</v>
      </c>
      <c r="H258" s="78">
        <v>10</v>
      </c>
      <c r="I258" s="78">
        <v>1</v>
      </c>
      <c r="J258" s="44">
        <v>3279.6</v>
      </c>
      <c r="K258" s="44">
        <v>2806.4</v>
      </c>
      <c r="L258" s="44">
        <v>0</v>
      </c>
      <c r="M258" s="79">
        <v>105</v>
      </c>
      <c r="N258" s="72">
        <f t="shared" si="100"/>
        <v>19703004.987476178</v>
      </c>
      <c r="O258" s="44"/>
      <c r="P258" s="68">
        <v>3772182.5490253926</v>
      </c>
      <c r="Q258" s="68"/>
      <c r="R258" s="68">
        <f t="shared" si="120"/>
        <v>1023686.0467999999</v>
      </c>
      <c r="S258" s="68">
        <f>+AS258</f>
        <v>7481735.5199999977</v>
      </c>
      <c r="T258" s="68">
        <f>+'Приложение №2'!E258-'Приложение №1'!P258-'Приложение №1'!R258-'Приложение №1'!S258</f>
        <v>7425400.8716507871</v>
      </c>
      <c r="U258" s="44">
        <f t="shared" si="118"/>
        <v>7020.7400896081017</v>
      </c>
      <c r="V258" s="44">
        <f t="shared" si="118"/>
        <v>7020.7400896081017</v>
      </c>
      <c r="W258" s="80">
        <v>2023</v>
      </c>
      <c r="X258" s="29" t="e">
        <f>+#REF!-'[1]Приложение №1'!$P1340</f>
        <v>#REF!</v>
      </c>
      <c r="Z258" s="31">
        <f t="shared" si="119"/>
        <v>19818033.247476179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/>
      <c r="AG258" s="27">
        <v>0</v>
      </c>
      <c r="AH258" s="27">
        <v>0</v>
      </c>
      <c r="AI258" s="27">
        <v>0</v>
      </c>
      <c r="AJ258" s="27">
        <v>0</v>
      </c>
      <c r="AK258" s="27">
        <v>19266518.528552189</v>
      </c>
      <c r="AL258" s="27">
        <v>0</v>
      </c>
      <c r="AM258" s="27">
        <v>106194.98</v>
      </c>
      <c r="AN258" s="27">
        <v>24000</v>
      </c>
      <c r="AO258" s="33">
        <v>421319.73892399028</v>
      </c>
      <c r="AP258" s="84">
        <f>+N258-'Приложение №2'!E258</f>
        <v>0</v>
      </c>
      <c r="AQ258" s="1">
        <f>1651544.69-504144.3-504144.3144</f>
        <v>643256.07559999987</v>
      </c>
      <c r="AR258" s="1">
        <f>+(K258*13.29+L258*22.52)*12*0.85</f>
        <v>380429.97119999997</v>
      </c>
      <c r="AS258" s="1">
        <f>+(K258*13.29+L258*22.52)*12*30-3285777.08-2659427.56</f>
        <v>7481735.5199999977</v>
      </c>
      <c r="AT258" s="29">
        <f t="shared" si="98"/>
        <v>0</v>
      </c>
      <c r="AU258" s="29">
        <f>+P258-'[6]Приложение №1'!$P253</f>
        <v>0</v>
      </c>
      <c r="AV258" s="29">
        <f>+Q258-'[6]Приложение №1'!$Q253</f>
        <v>0</v>
      </c>
      <c r="AW258" s="29">
        <f>+R258-'[6]Приложение №1'!$R253</f>
        <v>0</v>
      </c>
      <c r="AX258" s="29">
        <f>+S258-'[6]Приложение №1'!$S253</f>
        <v>0</v>
      </c>
      <c r="AY258" s="29">
        <f>+T258-'[6]Приложение №1'!$T253</f>
        <v>0</v>
      </c>
    </row>
    <row r="259" spans="1:51" x14ac:dyDescent="0.25">
      <c r="A259" s="135">
        <f t="shared" si="103"/>
        <v>242</v>
      </c>
      <c r="B259" s="134">
        <f t="shared" si="104"/>
        <v>54</v>
      </c>
      <c r="C259" s="77" t="s">
        <v>545</v>
      </c>
      <c r="D259" s="77" t="s">
        <v>149</v>
      </c>
      <c r="E259" s="78">
        <v>1986</v>
      </c>
      <c r="F259" s="78">
        <v>2013</v>
      </c>
      <c r="G259" s="78" t="s">
        <v>547</v>
      </c>
      <c r="H259" s="78">
        <v>5</v>
      </c>
      <c r="I259" s="78">
        <v>3</v>
      </c>
      <c r="J259" s="44">
        <v>4428.3999999999996</v>
      </c>
      <c r="K259" s="44">
        <v>3725.8</v>
      </c>
      <c r="L259" s="44">
        <v>0</v>
      </c>
      <c r="M259" s="79">
        <v>153</v>
      </c>
      <c r="N259" s="129">
        <f t="shared" si="100"/>
        <v>1521914.1614287239</v>
      </c>
      <c r="O259" s="44"/>
      <c r="P259" s="68"/>
      <c r="Q259" s="68"/>
      <c r="R259" s="68"/>
      <c r="S259" s="68">
        <f>+'Приложение №2'!E259-'Приложение №1'!P259-'Приложение №1'!R259</f>
        <v>1521914.1614287239</v>
      </c>
      <c r="T259" s="44">
        <f>+'Приложение №2'!E259-'Приложение №1'!P259-'Приложение №1'!Q259-'Приложение №1'!R259-'Приложение №1'!S259</f>
        <v>0</v>
      </c>
      <c r="U259" s="68">
        <f t="shared" si="118"/>
        <v>408.47983290265819</v>
      </c>
      <c r="V259" s="68">
        <f t="shared" si="118"/>
        <v>408.47983290265819</v>
      </c>
      <c r="W259" s="80">
        <v>2023</v>
      </c>
      <c r="X259" s="29" t="e">
        <f>+#REF!-'[1]Приложение №1'!$P1564</f>
        <v>#REF!</v>
      </c>
      <c r="Z259" s="31">
        <f t="shared" ref="Z259" si="121">SUM(AA259:AO259)</f>
        <v>12150273.237424361</v>
      </c>
      <c r="AA259" s="27">
        <v>7382843.4652546057</v>
      </c>
      <c r="AB259" s="27">
        <v>0</v>
      </c>
      <c r="AC259" s="27">
        <v>0</v>
      </c>
      <c r="AD259" s="27">
        <v>2979436.7931330968</v>
      </c>
      <c r="AE259" s="27">
        <v>0</v>
      </c>
      <c r="AF259" s="27"/>
      <c r="AG259" s="27">
        <v>306525.58168040245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1126659.4892437549</v>
      </c>
      <c r="AN259" s="32">
        <v>121502.73237424361</v>
      </c>
      <c r="AO259" s="33">
        <v>233305.17573825616</v>
      </c>
      <c r="AP259" s="84">
        <f>+N259-'Приложение №2'!E259</f>
        <v>0</v>
      </c>
      <c r="AQ259" s="29">
        <f>1864228.53-R44</f>
        <v>-380031.59999999986</v>
      </c>
      <c r="AR259" s="1">
        <f t="shared" ref="AR259" si="122">+(K259*10+L259*20)*12*0.85</f>
        <v>380031.6</v>
      </c>
      <c r="AS259" s="1">
        <f>+(K259*10+L259*20)*12*30-S44</f>
        <v>10354704.498571277</v>
      </c>
      <c r="AT259" s="29">
        <f t="shared" si="98"/>
        <v>-8832790.3371425532</v>
      </c>
    </row>
    <row r="260" spans="1:51" x14ac:dyDescent="0.25">
      <c r="A260" s="135">
        <f t="shared" si="103"/>
        <v>243</v>
      </c>
      <c r="B260" s="134">
        <f t="shared" si="104"/>
        <v>55</v>
      </c>
      <c r="C260" s="77" t="s">
        <v>545</v>
      </c>
      <c r="D260" s="77" t="s">
        <v>150</v>
      </c>
      <c r="E260" s="78">
        <v>1995</v>
      </c>
      <c r="F260" s="78">
        <v>2002</v>
      </c>
      <c r="G260" s="78" t="s">
        <v>547</v>
      </c>
      <c r="H260" s="78">
        <v>10</v>
      </c>
      <c r="I260" s="78">
        <v>1</v>
      </c>
      <c r="J260" s="44">
        <v>3274.9</v>
      </c>
      <c r="K260" s="44">
        <v>3274.9</v>
      </c>
      <c r="L260" s="44">
        <v>0</v>
      </c>
      <c r="M260" s="79">
        <v>107</v>
      </c>
      <c r="N260" s="72">
        <f t="shared" si="100"/>
        <v>7890001.6978085171</v>
      </c>
      <c r="O260" s="44"/>
      <c r="P260" s="68"/>
      <c r="Q260" s="68"/>
      <c r="R260" s="68">
        <f t="shared" si="120"/>
        <v>1883122.0537999999</v>
      </c>
      <c r="S260" s="68">
        <f>+'Приложение №2'!E260-'Приложение №1'!R260</f>
        <v>6006879.6440085173</v>
      </c>
      <c r="T260" s="68">
        <v>0</v>
      </c>
      <c r="U260" s="44">
        <f t="shared" si="118"/>
        <v>2409.234388167125</v>
      </c>
      <c r="V260" s="44">
        <f t="shared" si="118"/>
        <v>2409.234388167125</v>
      </c>
      <c r="W260" s="80">
        <v>2023</v>
      </c>
      <c r="X260" s="29" t="e">
        <f>+#REF!-'[1]Приложение №1'!$P1348</f>
        <v>#REF!</v>
      </c>
      <c r="Z260" s="31">
        <f t="shared" si="119"/>
        <v>13763058.555082263</v>
      </c>
      <c r="AA260" s="27">
        <v>6414391.2079975698</v>
      </c>
      <c r="AB260" s="27">
        <v>0</v>
      </c>
      <c r="AC260" s="27">
        <v>0</v>
      </c>
      <c r="AD260" s="27">
        <v>1211320.4642977021</v>
      </c>
      <c r="AE260" s="27">
        <v>0</v>
      </c>
      <c r="AF260" s="27"/>
      <c r="AG260" s="27">
        <v>0</v>
      </c>
      <c r="AH260" s="27">
        <v>0</v>
      </c>
      <c r="AI260" s="27">
        <v>0</v>
      </c>
      <c r="AJ260" s="27">
        <v>4459999.4943992067</v>
      </c>
      <c r="AK260" s="27">
        <v>0</v>
      </c>
      <c r="AL260" s="27">
        <v>0</v>
      </c>
      <c r="AM260" s="27">
        <v>1275426.7773237173</v>
      </c>
      <c r="AN260" s="32">
        <v>137630.58555082261</v>
      </c>
      <c r="AO260" s="33">
        <v>264290.02551324526</v>
      </c>
      <c r="AP260" s="84">
        <f>+N260-'Приложение №2'!E260</f>
        <v>0</v>
      </c>
      <c r="AQ260" s="1">
        <f>2154157.37-126729.3148-588244.8956</f>
        <v>1439183.1595999999</v>
      </c>
      <c r="AR260" s="1">
        <f>+(K260*13.29+L260*22.52)*12*0.85</f>
        <v>443938.89419999992</v>
      </c>
      <c r="AS260" s="1">
        <f>+(K260*13.29+L260*22.52)*12*30-1139379.7452-2540032.37</f>
        <v>11989019.444799997</v>
      </c>
      <c r="AT260" s="29">
        <f t="shared" si="98"/>
        <v>-5982139.8007914796</v>
      </c>
      <c r="AU260" s="29">
        <f>+P260-'[6]Приложение №1'!$P254</f>
        <v>0</v>
      </c>
      <c r="AV260" s="29">
        <f>+Q260-'[6]Приложение №1'!$Q254</f>
        <v>0</v>
      </c>
      <c r="AW260" s="29">
        <f>+R260-'[6]Приложение №1'!$R254</f>
        <v>0</v>
      </c>
      <c r="AX260" s="29">
        <f>+S260-'[6]Приложение №1'!$S254</f>
        <v>0</v>
      </c>
      <c r="AY260" s="29">
        <f>+T260-'[6]Приложение №1'!$T254</f>
        <v>0</v>
      </c>
    </row>
    <row r="261" spans="1:51" x14ac:dyDescent="0.25">
      <c r="A261" s="135">
        <f t="shared" si="103"/>
        <v>244</v>
      </c>
      <c r="B261" s="134">
        <f t="shared" si="104"/>
        <v>56</v>
      </c>
      <c r="C261" s="77" t="s">
        <v>545</v>
      </c>
      <c r="D261" s="77" t="s">
        <v>65</v>
      </c>
      <c r="E261" s="78">
        <v>1983</v>
      </c>
      <c r="F261" s="78">
        <v>2015</v>
      </c>
      <c r="G261" s="78" t="s">
        <v>547</v>
      </c>
      <c r="H261" s="78">
        <v>5</v>
      </c>
      <c r="I261" s="78">
        <v>4</v>
      </c>
      <c r="J261" s="44">
        <v>4471.8999999999996</v>
      </c>
      <c r="K261" s="44">
        <v>3791</v>
      </c>
      <c r="L261" s="44">
        <v>256.8</v>
      </c>
      <c r="M261" s="79">
        <v>156</v>
      </c>
      <c r="N261" s="72">
        <f t="shared" si="100"/>
        <v>11172353.687432691</v>
      </c>
      <c r="O261" s="44"/>
      <c r="P261" s="68"/>
      <c r="Q261" s="68"/>
      <c r="R261" s="68">
        <f t="shared" si="120"/>
        <v>2235221.37</v>
      </c>
      <c r="S261" s="68">
        <f>+'Приложение №2'!E261-'Приложение №1'!R261</f>
        <v>8937132.3174326904</v>
      </c>
      <c r="T261" s="68">
        <v>9.3132257461547852E-10</v>
      </c>
      <c r="U261" s="44">
        <f t="shared" si="118"/>
        <v>2760.1051651348116</v>
      </c>
      <c r="V261" s="44">
        <f t="shared" si="118"/>
        <v>2760.1051651348116</v>
      </c>
      <c r="W261" s="80">
        <v>2023</v>
      </c>
      <c r="X261" s="29" t="e">
        <f>+#REF!-'[1]Приложение №1'!$P1349</f>
        <v>#REF!</v>
      </c>
      <c r="Z261" s="31">
        <f t="shared" si="119"/>
        <v>12482547.809364174</v>
      </c>
      <c r="AA261" s="27">
        <v>7789654.8248060504</v>
      </c>
      <c r="AB261" s="27">
        <v>0</v>
      </c>
      <c r="AC261" s="27">
        <v>0</v>
      </c>
      <c r="AD261" s="27">
        <v>3143610.4937155819</v>
      </c>
      <c r="AE261" s="27">
        <v>0</v>
      </c>
      <c r="AF261" s="27"/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1185368.6438378405</v>
      </c>
      <c r="AN261" s="32">
        <v>124825.47809364174</v>
      </c>
      <c r="AO261" s="33">
        <v>239088.3689110596</v>
      </c>
      <c r="AP261" s="84">
        <f>+N261-'Приложение №2'!E261</f>
        <v>0</v>
      </c>
      <c r="AQ261" s="1">
        <v>1796152.17</v>
      </c>
      <c r="AR261" s="1">
        <f t="shared" ref="AR261:AR273" si="123">+(K261*10+L261*20)*12*0.85</f>
        <v>439069.2</v>
      </c>
      <c r="AS261" s="1">
        <f>+(K261*10+L261*20)*12*30</f>
        <v>15496560</v>
      </c>
      <c r="AT261" s="29">
        <f t="shared" si="98"/>
        <v>-6559427.6825673096</v>
      </c>
      <c r="AU261" s="29">
        <f>+P261-'[6]Приложение №1'!$P255</f>
        <v>0</v>
      </c>
      <c r="AV261" s="29">
        <f>+Q261-'[6]Приложение №1'!$Q255</f>
        <v>0</v>
      </c>
      <c r="AW261" s="29">
        <f>+R261-'[6]Приложение №1'!$R255</f>
        <v>0</v>
      </c>
      <c r="AX261" s="29">
        <f>+S261-'[6]Приложение №1'!$S255</f>
        <v>0</v>
      </c>
      <c r="AY261" s="29">
        <f>+T261-'[6]Приложение №1'!$T255</f>
        <v>0</v>
      </c>
    </row>
    <row r="262" spans="1:51" x14ac:dyDescent="0.25">
      <c r="A262" s="135">
        <f t="shared" si="103"/>
        <v>245</v>
      </c>
      <c r="B262" s="134">
        <f t="shared" si="104"/>
        <v>57</v>
      </c>
      <c r="C262" s="77" t="s">
        <v>545</v>
      </c>
      <c r="D262" s="77" t="s">
        <v>158</v>
      </c>
      <c r="E262" s="78">
        <v>1983</v>
      </c>
      <c r="F262" s="78">
        <v>2015</v>
      </c>
      <c r="G262" s="78" t="s">
        <v>547</v>
      </c>
      <c r="H262" s="78">
        <v>5</v>
      </c>
      <c r="I262" s="78">
        <v>3</v>
      </c>
      <c r="J262" s="44">
        <v>5101.8</v>
      </c>
      <c r="K262" s="44">
        <v>4226.1000000000004</v>
      </c>
      <c r="L262" s="44">
        <v>155.6</v>
      </c>
      <c r="M262" s="79">
        <v>188</v>
      </c>
      <c r="N262" s="72">
        <f t="shared" si="100"/>
        <v>12298370.967827702</v>
      </c>
      <c r="O262" s="44"/>
      <c r="P262" s="68"/>
      <c r="Q262" s="68"/>
      <c r="R262" s="68">
        <f t="shared" si="120"/>
        <v>2554358.16</v>
      </c>
      <c r="S262" s="68">
        <f>+'Приложение №2'!E262-'Приложение №1'!R262</f>
        <v>9744012.8078277018</v>
      </c>
      <c r="T262" s="68">
        <v>0</v>
      </c>
      <c r="U262" s="44">
        <f t="shared" si="118"/>
        <v>2806.7578720194674</v>
      </c>
      <c r="V262" s="44">
        <f t="shared" si="118"/>
        <v>2806.7578720194674</v>
      </c>
      <c r="W262" s="80">
        <v>2023</v>
      </c>
      <c r="X262" s="29" t="e">
        <f>+#REF!-'[1]Приложение №1'!$P1350</f>
        <v>#REF!</v>
      </c>
      <c r="Z262" s="31">
        <f t="shared" si="119"/>
        <v>13740614.36632535</v>
      </c>
      <c r="AA262" s="27">
        <v>8574743.2839111742</v>
      </c>
      <c r="AB262" s="27">
        <v>0</v>
      </c>
      <c r="AC262" s="27">
        <v>0</v>
      </c>
      <c r="AD262" s="27">
        <v>3460442.5452050162</v>
      </c>
      <c r="AE262" s="27">
        <v>0</v>
      </c>
      <c r="AF262" s="27"/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1304837.2548343944</v>
      </c>
      <c r="AN262" s="32">
        <v>137406.14366325352</v>
      </c>
      <c r="AO262" s="33">
        <v>263185.13871151285</v>
      </c>
      <c r="AP262" s="84">
        <f>+N262-'Приложение №2'!E262</f>
        <v>0</v>
      </c>
      <c r="AQ262" s="1">
        <v>2091553.56</v>
      </c>
      <c r="AR262" s="1">
        <f t="shared" si="123"/>
        <v>462804.6</v>
      </c>
      <c r="AS262" s="1">
        <f>+(K262*10+L262*20)*12*30</f>
        <v>16334280</v>
      </c>
      <c r="AT262" s="29">
        <f t="shared" si="98"/>
        <v>-6590267.1921722982</v>
      </c>
      <c r="AU262" s="29">
        <f>+P262-'[6]Приложение №1'!$P256</f>
        <v>0</v>
      </c>
      <c r="AV262" s="29">
        <f>+Q262-'[6]Приложение №1'!$Q256</f>
        <v>0</v>
      </c>
      <c r="AW262" s="29">
        <f>+R262-'[6]Приложение №1'!$R256</f>
        <v>0</v>
      </c>
      <c r="AX262" s="29">
        <f>+S262-'[6]Приложение №1'!$S256</f>
        <v>0</v>
      </c>
      <c r="AY262" s="29">
        <f>+T262-'[6]Приложение №1'!$T256</f>
        <v>0</v>
      </c>
    </row>
    <row r="263" spans="1:51" x14ac:dyDescent="0.25">
      <c r="A263" s="135">
        <f t="shared" si="103"/>
        <v>246</v>
      </c>
      <c r="B263" s="134">
        <f t="shared" si="104"/>
        <v>58</v>
      </c>
      <c r="C263" s="77" t="s">
        <v>545</v>
      </c>
      <c r="D263" s="77" t="s">
        <v>156</v>
      </c>
      <c r="E263" s="78">
        <v>1982</v>
      </c>
      <c r="F263" s="78">
        <v>2008</v>
      </c>
      <c r="G263" s="78" t="s">
        <v>547</v>
      </c>
      <c r="H263" s="78">
        <v>5</v>
      </c>
      <c r="I263" s="78">
        <v>7</v>
      </c>
      <c r="J263" s="44">
        <v>6399.1</v>
      </c>
      <c r="K263" s="44">
        <v>4849.8999999999996</v>
      </c>
      <c r="L263" s="44">
        <v>814.5</v>
      </c>
      <c r="M263" s="79">
        <v>218</v>
      </c>
      <c r="N263" s="72">
        <f t="shared" si="100"/>
        <v>15830114.837610561</v>
      </c>
      <c r="O263" s="44"/>
      <c r="P263" s="68"/>
      <c r="Q263" s="68"/>
      <c r="R263" s="68">
        <f t="shared" si="120"/>
        <v>2890759.6999999997</v>
      </c>
      <c r="S263" s="68">
        <f>+'Приложение №2'!E263-'Приложение №1'!R263</f>
        <v>12939355.137610562</v>
      </c>
      <c r="T263" s="68">
        <v>0</v>
      </c>
      <c r="U263" s="44">
        <f t="shared" si="118"/>
        <v>2794.6675442430906</v>
      </c>
      <c r="V263" s="44">
        <f t="shared" si="118"/>
        <v>2794.6675442430906</v>
      </c>
      <c r="W263" s="80">
        <v>2023</v>
      </c>
      <c r="X263" s="29" t="e">
        <f>+#REF!-'[1]Приложение №1'!$P1355</f>
        <v>#REF!</v>
      </c>
      <c r="Z263" s="31">
        <f t="shared" si="119"/>
        <v>16411893.353984796</v>
      </c>
      <c r="AA263" s="27">
        <v>10225965.426698405</v>
      </c>
      <c r="AB263" s="27">
        <v>0</v>
      </c>
      <c r="AC263" s="27">
        <v>3907208.0564832622</v>
      </c>
      <c r="AD263" s="27">
        <v>0</v>
      </c>
      <c r="AE263" s="27">
        <v>0</v>
      </c>
      <c r="AF263" s="27"/>
      <c r="AG263" s="27">
        <v>424568.12411291135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1371684.4886090811</v>
      </c>
      <c r="AN263" s="32">
        <v>164118.93353984796</v>
      </c>
      <c r="AO263" s="33">
        <v>318348.32454128755</v>
      </c>
      <c r="AP263" s="84">
        <f>+N263-'Приложение №2'!E263</f>
        <v>0</v>
      </c>
      <c r="AQ263" s="1">
        <v>2229911.9</v>
      </c>
      <c r="AR263" s="1">
        <f t="shared" si="123"/>
        <v>660847.79999999993</v>
      </c>
      <c r="AS263" s="1">
        <f>+(K263*10+L263*20)*12*30</f>
        <v>23324040</v>
      </c>
      <c r="AT263" s="29">
        <f t="shared" si="98"/>
        <v>-10384684.862389438</v>
      </c>
      <c r="AU263" s="29">
        <f>+P263-'[6]Приложение №1'!$P257</f>
        <v>0</v>
      </c>
      <c r="AV263" s="29">
        <f>+Q263-'[6]Приложение №1'!$Q257</f>
        <v>0</v>
      </c>
      <c r="AW263" s="29">
        <f>+R263-'[6]Приложение №1'!$R257</f>
        <v>0</v>
      </c>
      <c r="AX263" s="29">
        <f>+S263-'[6]Приложение №1'!$S257</f>
        <v>0</v>
      </c>
      <c r="AY263" s="29">
        <f>+T263-'[6]Приложение №1'!$T257</f>
        <v>0</v>
      </c>
    </row>
    <row r="264" spans="1:51" x14ac:dyDescent="0.25">
      <c r="A264" s="135">
        <f t="shared" si="103"/>
        <v>247</v>
      </c>
      <c r="B264" s="134">
        <f t="shared" si="104"/>
        <v>59</v>
      </c>
      <c r="C264" s="77" t="s">
        <v>72</v>
      </c>
      <c r="D264" s="77" t="s">
        <v>73</v>
      </c>
      <c r="E264" s="78">
        <v>1979</v>
      </c>
      <c r="F264" s="78">
        <v>2013</v>
      </c>
      <c r="G264" s="78" t="s">
        <v>44</v>
      </c>
      <c r="H264" s="78">
        <v>5</v>
      </c>
      <c r="I264" s="78">
        <v>4</v>
      </c>
      <c r="J264" s="44">
        <v>2793.1</v>
      </c>
      <c r="K264" s="44">
        <v>2468.5</v>
      </c>
      <c r="L264" s="44">
        <v>86.9</v>
      </c>
      <c r="M264" s="79">
        <v>97</v>
      </c>
      <c r="N264" s="72">
        <f t="shared" si="100"/>
        <v>2251512.1387999998</v>
      </c>
      <c r="O264" s="44"/>
      <c r="P264" s="68"/>
      <c r="Q264" s="68"/>
      <c r="R264" s="68">
        <f t="shared" si="120"/>
        <v>1302890.54</v>
      </c>
      <c r="S264" s="68">
        <f>+'Приложение №2'!E264-'Приложение №1'!R264</f>
        <v>948621.5987999998</v>
      </c>
      <c r="T264" s="68">
        <v>0</v>
      </c>
      <c r="U264" s="44">
        <f t="shared" si="118"/>
        <v>881.08012005948183</v>
      </c>
      <c r="V264" s="44">
        <f t="shared" si="118"/>
        <v>881.08012005948183</v>
      </c>
      <c r="W264" s="80">
        <v>2023</v>
      </c>
      <c r="X264" s="29" t="e">
        <f>+#REF!-'[1]Приложение №1'!$P617</f>
        <v>#REF!</v>
      </c>
      <c r="Z264" s="31">
        <f t="shared" si="119"/>
        <v>2529788.92</v>
      </c>
      <c r="AA264" s="27">
        <v>0</v>
      </c>
      <c r="AB264" s="27">
        <v>0</v>
      </c>
      <c r="AC264" s="27">
        <v>2203329.77902968</v>
      </c>
      <c r="AD264" s="27">
        <v>0</v>
      </c>
      <c r="AE264" s="27">
        <v>0</v>
      </c>
      <c r="AF264" s="27"/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252978.89199999999</v>
      </c>
      <c r="AN264" s="32">
        <v>25297.889200000001</v>
      </c>
      <c r="AO264" s="33">
        <v>48182.359770319999</v>
      </c>
      <c r="AP264" s="84">
        <f>+N264-'Приложение №2'!E264</f>
        <v>0</v>
      </c>
      <c r="AQ264" s="1">
        <v>1033375.94</v>
      </c>
      <c r="AR264" s="1">
        <f t="shared" si="123"/>
        <v>269514.59999999998</v>
      </c>
      <c r="AS264" s="1">
        <f>+(K264*10+L264*20)*12*30</f>
        <v>9512280</v>
      </c>
      <c r="AT264" s="29">
        <f t="shared" si="98"/>
        <v>-8563658.4012000002</v>
      </c>
      <c r="AU264" s="29">
        <f>+P264-'[6]Приложение №1'!$P258</f>
        <v>0</v>
      </c>
      <c r="AV264" s="29">
        <f>+Q264-'[6]Приложение №1'!$Q258</f>
        <v>0</v>
      </c>
      <c r="AW264" s="29">
        <f>+R264-'[6]Приложение №1'!$R258</f>
        <v>0</v>
      </c>
      <c r="AX264" s="29">
        <f>+S264-'[6]Приложение №1'!$S258</f>
        <v>0</v>
      </c>
      <c r="AY264" s="29">
        <f>+T264-'[6]Приложение №1'!$T258</f>
        <v>0</v>
      </c>
    </row>
    <row r="265" spans="1:51" x14ac:dyDescent="0.25">
      <c r="A265" s="135">
        <f t="shared" si="103"/>
        <v>248</v>
      </c>
      <c r="B265" s="134">
        <f t="shared" si="104"/>
        <v>60</v>
      </c>
      <c r="C265" s="77" t="s">
        <v>72</v>
      </c>
      <c r="D265" s="77" t="s">
        <v>170</v>
      </c>
      <c r="E265" s="78">
        <v>1991</v>
      </c>
      <c r="F265" s="78">
        <v>2016</v>
      </c>
      <c r="G265" s="78" t="s">
        <v>51</v>
      </c>
      <c r="H265" s="78">
        <v>5</v>
      </c>
      <c r="I265" s="78">
        <v>4</v>
      </c>
      <c r="J265" s="44">
        <v>4887.3</v>
      </c>
      <c r="K265" s="44">
        <v>4825.5</v>
      </c>
      <c r="L265" s="44">
        <v>0</v>
      </c>
      <c r="M265" s="79">
        <v>240</v>
      </c>
      <c r="N265" s="72">
        <f t="shared" si="100"/>
        <v>3102944.9011479998</v>
      </c>
      <c r="O265" s="44"/>
      <c r="P265" s="68"/>
      <c r="Q265" s="68"/>
      <c r="R265" s="68">
        <f t="shared" si="120"/>
        <v>2337821.67</v>
      </c>
      <c r="S265" s="68">
        <f>+'Приложение №2'!E265-'Приложение №1'!R265</f>
        <v>765123.23114799988</v>
      </c>
      <c r="T265" s="68">
        <f>+'Приложение №2'!E265-'Приложение №1'!P265-'Приложение №1'!Q265-'Приложение №1'!R265-'Приложение №1'!S265</f>
        <v>0</v>
      </c>
      <c r="U265" s="44">
        <f t="shared" si="118"/>
        <v>643.03075352771725</v>
      </c>
      <c r="V265" s="44">
        <f t="shared" si="118"/>
        <v>643.03075352771725</v>
      </c>
      <c r="W265" s="80">
        <v>2023</v>
      </c>
      <c r="X265" s="29" t="e">
        <f>+#REF!-'[1]Приложение №1'!$P1182</f>
        <v>#REF!</v>
      </c>
      <c r="Z265" s="31">
        <f t="shared" si="119"/>
        <v>16330841.699999999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/>
      <c r="AG265" s="27">
        <v>0</v>
      </c>
      <c r="AH265" s="27">
        <v>0</v>
      </c>
      <c r="AI265" s="27">
        <v>15836071.998851998</v>
      </c>
      <c r="AJ265" s="27">
        <v>0</v>
      </c>
      <c r="AK265" s="27">
        <v>0</v>
      </c>
      <c r="AL265" s="27">
        <v>0</v>
      </c>
      <c r="AM265" s="27">
        <v>101648.88</v>
      </c>
      <c r="AN265" s="27">
        <v>46818</v>
      </c>
      <c r="AO265" s="33">
        <v>346302.82114799996</v>
      </c>
      <c r="AP265" s="84">
        <f>+N265-'Приложение №2'!E265</f>
        <v>0</v>
      </c>
      <c r="AQ265" s="1">
        <v>1845620.67</v>
      </c>
      <c r="AR265" s="1">
        <f t="shared" si="123"/>
        <v>492201</v>
      </c>
      <c r="AS265" s="1">
        <f>+(K265*10+L265*20)*12*30</f>
        <v>17371800</v>
      </c>
      <c r="AT265" s="29">
        <f t="shared" si="98"/>
        <v>-16606676.768851999</v>
      </c>
      <c r="AU265" s="29">
        <f>+P265-'[6]Приложение №1'!$P259</f>
        <v>0</v>
      </c>
      <c r="AV265" s="29">
        <f>+Q265-'[6]Приложение №1'!$Q259</f>
        <v>0</v>
      </c>
      <c r="AW265" s="29">
        <f>+R265-'[6]Приложение №1'!$R259</f>
        <v>0</v>
      </c>
      <c r="AX265" s="29">
        <f>+S265-'[6]Приложение №1'!$S259</f>
        <v>0</v>
      </c>
      <c r="AY265" s="29">
        <f>+T265-'[6]Приложение №1'!$T259</f>
        <v>0</v>
      </c>
    </row>
    <row r="266" spans="1:51" x14ac:dyDescent="0.25">
      <c r="A266" s="135">
        <f t="shared" si="103"/>
        <v>249</v>
      </c>
      <c r="B266" s="134">
        <f t="shared" si="104"/>
        <v>61</v>
      </c>
      <c r="C266" s="77" t="s">
        <v>72</v>
      </c>
      <c r="D266" s="77" t="s">
        <v>309</v>
      </c>
      <c r="E266" s="78">
        <v>1999</v>
      </c>
      <c r="F266" s="78">
        <v>2011</v>
      </c>
      <c r="G266" s="78" t="s">
        <v>44</v>
      </c>
      <c r="H266" s="78">
        <v>4</v>
      </c>
      <c r="I266" s="78">
        <v>3</v>
      </c>
      <c r="J266" s="44">
        <v>1789.4</v>
      </c>
      <c r="K266" s="44">
        <v>1789.4</v>
      </c>
      <c r="L266" s="44">
        <v>0</v>
      </c>
      <c r="M266" s="79">
        <v>56</v>
      </c>
      <c r="N266" s="72">
        <f t="shared" si="100"/>
        <v>1283744.6199999999</v>
      </c>
      <c r="O266" s="44"/>
      <c r="P266" s="68"/>
      <c r="Q266" s="68"/>
      <c r="R266" s="68">
        <f>+AR266</f>
        <v>182518.8</v>
      </c>
      <c r="S266" s="68">
        <f>+AS266</f>
        <v>0</v>
      </c>
      <c r="T266" s="68">
        <f>+'Приложение №2'!E266-'Приложение №1'!P266-'Приложение №1'!Q266-'Приложение №1'!R266-'Приложение №1'!S266</f>
        <v>1101225.8199999998</v>
      </c>
      <c r="U266" s="44">
        <f t="shared" si="118"/>
        <v>717.41624008047381</v>
      </c>
      <c r="V266" s="44">
        <f t="shared" si="118"/>
        <v>717.41624008047381</v>
      </c>
      <c r="W266" s="80">
        <v>2023</v>
      </c>
      <c r="X266" s="29" t="e">
        <f>+#REF!-'[1]Приложение №1'!$P1233</f>
        <v>#REF!</v>
      </c>
      <c r="Z266" s="31">
        <f t="shared" si="119"/>
        <v>15155840.090000002</v>
      </c>
      <c r="AA266" s="27">
        <v>3843679.5940452004</v>
      </c>
      <c r="AB266" s="27">
        <v>0</v>
      </c>
      <c r="AC266" s="27">
        <v>1430991.0437205599</v>
      </c>
      <c r="AD266" s="27">
        <v>895890.8758312799</v>
      </c>
      <c r="AE266" s="27">
        <v>0</v>
      </c>
      <c r="AF266" s="27"/>
      <c r="AG266" s="27">
        <v>147492.512475</v>
      </c>
      <c r="AH266" s="27">
        <v>0</v>
      </c>
      <c r="AI266" s="27">
        <v>7026831.1230768003</v>
      </c>
      <c r="AJ266" s="27">
        <v>0</v>
      </c>
      <c r="AK266" s="27">
        <v>0</v>
      </c>
      <c r="AL266" s="27">
        <v>0</v>
      </c>
      <c r="AM266" s="27">
        <v>1367570.9297000002</v>
      </c>
      <c r="AN266" s="32">
        <v>151558.40090000001</v>
      </c>
      <c r="AO266" s="33">
        <v>291825.61025115999</v>
      </c>
      <c r="AP266" s="84">
        <f>+N266-'Приложение №2'!E266</f>
        <v>0</v>
      </c>
      <c r="AQ266" s="29">
        <f>725047.53-R55</f>
        <v>-164367.46999999997</v>
      </c>
      <c r="AR266" s="1">
        <f t="shared" si="123"/>
        <v>182518.8</v>
      </c>
      <c r="AS266" s="1">
        <f>+(K266*10+L266*20)*12*30-S55</f>
        <v>0</v>
      </c>
      <c r="AT266" s="29">
        <f t="shared" si="98"/>
        <v>0</v>
      </c>
      <c r="AU266" s="29">
        <f>+P266-'[6]Приложение №1'!$P260</f>
        <v>0</v>
      </c>
      <c r="AV266" s="29">
        <f>+Q266-'[6]Приложение №1'!$Q260</f>
        <v>0</v>
      </c>
      <c r="AW266" s="29">
        <f>+R266-'[6]Приложение №1'!$R260</f>
        <v>0</v>
      </c>
      <c r="AX266" s="29">
        <f>+S266-'[6]Приложение №1'!$S260</f>
        <v>-238135.03436800186</v>
      </c>
      <c r="AY266" s="29">
        <f>+T266-'[6]Приложение №1'!$T260</f>
        <v>238135.03436800186</v>
      </c>
    </row>
    <row r="267" spans="1:51" x14ac:dyDescent="0.25">
      <c r="A267" s="135">
        <f t="shared" si="103"/>
        <v>250</v>
      </c>
      <c r="B267" s="134">
        <f t="shared" si="104"/>
        <v>62</v>
      </c>
      <c r="C267" s="77" t="s">
        <v>72</v>
      </c>
      <c r="D267" s="77" t="s">
        <v>310</v>
      </c>
      <c r="E267" s="78">
        <v>1986</v>
      </c>
      <c r="F267" s="78">
        <v>2013</v>
      </c>
      <c r="G267" s="78" t="s">
        <v>51</v>
      </c>
      <c r="H267" s="78">
        <v>4</v>
      </c>
      <c r="I267" s="78">
        <v>2</v>
      </c>
      <c r="J267" s="44">
        <v>3830.7</v>
      </c>
      <c r="K267" s="44">
        <v>3476.2</v>
      </c>
      <c r="L267" s="44">
        <v>0</v>
      </c>
      <c r="M267" s="79">
        <v>146</v>
      </c>
      <c r="N267" s="72">
        <f t="shared" si="100"/>
        <v>5063521.8790189996</v>
      </c>
      <c r="O267" s="44"/>
      <c r="P267" s="68">
        <v>2840886.23</v>
      </c>
      <c r="Q267" s="68"/>
      <c r="R267" s="68">
        <v>101111.17</v>
      </c>
      <c r="S267" s="68"/>
      <c r="T267" s="44">
        <f>+'Приложение №2'!E267-'Приложение №1'!P267-'Приложение №1'!Q267-'Приложение №1'!R267-'Приложение №1'!S267</f>
        <v>2121524.4790189997</v>
      </c>
      <c r="U267" s="68">
        <f t="shared" si="118"/>
        <v>1456.6255908805592</v>
      </c>
      <c r="V267" s="68">
        <f t="shared" si="118"/>
        <v>1456.6255908805592</v>
      </c>
      <c r="W267" s="80">
        <v>2023</v>
      </c>
      <c r="X267" s="29" t="e">
        <f>+#REF!-'[1]Приложение №1'!$P1017</f>
        <v>#REF!</v>
      </c>
      <c r="Z267" s="31">
        <f t="shared" si="119"/>
        <v>63545858.419999994</v>
      </c>
      <c r="AA267" s="27">
        <v>5818965.56459946</v>
      </c>
      <c r="AB267" s="27">
        <v>3365266.8627295201</v>
      </c>
      <c r="AC267" s="27">
        <v>3557336.2493503802</v>
      </c>
      <c r="AD267" s="27">
        <v>2712499.1287925998</v>
      </c>
      <c r="AE267" s="27">
        <v>1083587.8791200402</v>
      </c>
      <c r="AF267" s="27"/>
      <c r="AG267" s="27">
        <v>289142.86613099999</v>
      </c>
      <c r="AH267" s="27">
        <v>0</v>
      </c>
      <c r="AI267" s="27">
        <v>10358644.6581282</v>
      </c>
      <c r="AJ267" s="27">
        <v>0</v>
      </c>
      <c r="AK267" s="27">
        <v>20111367.36101808</v>
      </c>
      <c r="AL267" s="27">
        <v>7909542.8401185004</v>
      </c>
      <c r="AM267" s="27">
        <v>6496795.2884999998</v>
      </c>
      <c r="AN267" s="32">
        <v>635458.58420000004</v>
      </c>
      <c r="AO267" s="33">
        <v>1207251.1373122202</v>
      </c>
      <c r="AP267" s="84">
        <f>+N267-'Приложение №2'!E267</f>
        <v>0</v>
      </c>
      <c r="AQ267" s="29">
        <f>1393126.98-102965.87-R59</f>
        <v>-448445.6100000001</v>
      </c>
      <c r="AR267" s="1">
        <f t="shared" si="123"/>
        <v>354572.39999999997</v>
      </c>
      <c r="AS267" s="1">
        <f>+(K267*10+L267*20)*12*30-S59</f>
        <v>0</v>
      </c>
      <c r="AT267" s="29">
        <f t="shared" si="98"/>
        <v>0</v>
      </c>
      <c r="AU267" s="29">
        <f>+P267-'[6]Приложение №1'!$P261</f>
        <v>-6272272.6190189999</v>
      </c>
      <c r="AV267" s="29">
        <f>+Q267-'[6]Приложение №1'!$Q261</f>
        <v>0</v>
      </c>
      <c r="AW267" s="29">
        <f>+R267-'[6]Приложение №1'!$R261</f>
        <v>-171768.78000000003</v>
      </c>
      <c r="AX267" s="29">
        <f>+S267-'[6]Приложение №1'!$S261</f>
        <v>-2039289.68</v>
      </c>
      <c r="AY267" s="29">
        <f>+T267-'[6]Приложение №1'!$T261</f>
        <v>2121524.4790189997</v>
      </c>
    </row>
    <row r="268" spans="1:51" x14ac:dyDescent="0.25">
      <c r="A268" s="135">
        <f t="shared" si="103"/>
        <v>251</v>
      </c>
      <c r="B268" s="134">
        <f t="shared" si="104"/>
        <v>63</v>
      </c>
      <c r="C268" s="77" t="s">
        <v>72</v>
      </c>
      <c r="D268" s="77" t="s">
        <v>311</v>
      </c>
      <c r="E268" s="78">
        <v>1995</v>
      </c>
      <c r="F268" s="78">
        <v>2013</v>
      </c>
      <c r="G268" s="78" t="s">
        <v>51</v>
      </c>
      <c r="H268" s="78">
        <v>5</v>
      </c>
      <c r="I268" s="78">
        <v>4</v>
      </c>
      <c r="J268" s="44">
        <v>4929.5</v>
      </c>
      <c r="K268" s="44">
        <v>4328.8999999999996</v>
      </c>
      <c r="L268" s="44">
        <v>0</v>
      </c>
      <c r="M268" s="79">
        <v>159</v>
      </c>
      <c r="N268" s="72">
        <f t="shared" si="100"/>
        <v>4526101.9687000001</v>
      </c>
      <c r="O268" s="44"/>
      <c r="P268" s="68"/>
      <c r="Q268" s="68"/>
      <c r="R268" s="68">
        <f>+AQ268+AR268</f>
        <v>1488007.09</v>
      </c>
      <c r="S268" s="68">
        <f>+'Приложение №2'!E268-'Приложение №1'!R268</f>
        <v>3038094.8787000002</v>
      </c>
      <c r="T268" s="68">
        <v>0</v>
      </c>
      <c r="U268" s="44">
        <f t="shared" si="118"/>
        <v>1045.5547526392388</v>
      </c>
      <c r="V268" s="44">
        <f t="shared" si="118"/>
        <v>1045.5547526392388</v>
      </c>
      <c r="W268" s="80">
        <v>2023</v>
      </c>
      <c r="X268" s="29" t="e">
        <f>+#REF!-'[1]Приложение №1'!$P1236</f>
        <v>#REF!</v>
      </c>
      <c r="Z268" s="31">
        <f t="shared" si="119"/>
        <v>77122932.980000004</v>
      </c>
      <c r="AA268" s="27">
        <v>7245200.61515796</v>
      </c>
      <c r="AB268" s="27">
        <v>4190097.5862702606</v>
      </c>
      <c r="AC268" s="27">
        <v>4429243.3865698203</v>
      </c>
      <c r="AD268" s="27">
        <v>3377335.7392437602</v>
      </c>
      <c r="AE268" s="27">
        <v>0</v>
      </c>
      <c r="AF268" s="27"/>
      <c r="AG268" s="27">
        <v>360012.11029559997</v>
      </c>
      <c r="AH268" s="27">
        <v>0</v>
      </c>
      <c r="AI268" s="27">
        <v>12897560.1974562</v>
      </c>
      <c r="AJ268" s="27">
        <v>0</v>
      </c>
      <c r="AK268" s="27">
        <v>25040686.283834342</v>
      </c>
      <c r="AL268" s="27">
        <v>9848180.7538505998</v>
      </c>
      <c r="AM268" s="27">
        <v>7489740.9763000011</v>
      </c>
      <c r="AN268" s="32">
        <v>771229.32980000007</v>
      </c>
      <c r="AO268" s="33">
        <v>1473646.0012214603</v>
      </c>
      <c r="AP268" s="84">
        <f>+N268-'Приложение №2'!E268</f>
        <v>0</v>
      </c>
      <c r="AQ268" s="29">
        <f>1948762.98-R56</f>
        <v>1046459.29</v>
      </c>
      <c r="AR268" s="1">
        <f t="shared" si="123"/>
        <v>441547.8</v>
      </c>
      <c r="AS268" s="1">
        <f>+(K268*10+L268*20)*12*30-S56</f>
        <v>8602058.2485374007</v>
      </c>
      <c r="AT268" s="29">
        <f t="shared" si="98"/>
        <v>-5563963.3698374005</v>
      </c>
      <c r="AU268" s="29">
        <f>+P268-'[6]Приложение №1'!$P262</f>
        <v>0</v>
      </c>
      <c r="AV268" s="29">
        <f>+Q268-'[6]Приложение №1'!$Q262</f>
        <v>0</v>
      </c>
      <c r="AW268" s="29">
        <f>+R268-'[6]Приложение №1'!$R262</f>
        <v>0</v>
      </c>
      <c r="AX268" s="29">
        <f>+S268-'[6]Приложение №1'!$S262</f>
        <v>0</v>
      </c>
      <c r="AY268" s="29">
        <f>+T268-'[6]Приложение №1'!$T262</f>
        <v>0</v>
      </c>
    </row>
    <row r="269" spans="1:51" x14ac:dyDescent="0.25">
      <c r="A269" s="135">
        <f t="shared" si="103"/>
        <v>252</v>
      </c>
      <c r="B269" s="134">
        <f t="shared" si="104"/>
        <v>64</v>
      </c>
      <c r="C269" s="77" t="s">
        <v>72</v>
      </c>
      <c r="D269" s="77" t="s">
        <v>463</v>
      </c>
      <c r="E269" s="78">
        <v>1954</v>
      </c>
      <c r="F269" s="78">
        <v>2005</v>
      </c>
      <c r="G269" s="78" t="s">
        <v>44</v>
      </c>
      <c r="H269" s="78">
        <v>3</v>
      </c>
      <c r="I269" s="78">
        <v>3</v>
      </c>
      <c r="J269" s="44">
        <v>1802.3</v>
      </c>
      <c r="K269" s="44">
        <v>1033</v>
      </c>
      <c r="L269" s="44">
        <v>769.3</v>
      </c>
      <c r="M269" s="79">
        <v>35</v>
      </c>
      <c r="N269" s="72">
        <f t="shared" ref="N269:N332" si="124">+P269+Q269+R269+S269+T269</f>
        <v>3657664.2127659051</v>
      </c>
      <c r="O269" s="44"/>
      <c r="P269" s="68"/>
      <c r="Q269" s="68"/>
      <c r="R269" s="68">
        <f>+AQ269+AR269</f>
        <v>1158057.5900000001</v>
      </c>
      <c r="S269" s="68">
        <f>+'Приложение №2'!E269-'Приложение №1'!P269-'Приложение №1'!Q269-'Приложение №1'!R269</f>
        <v>2499606.6227659052</v>
      </c>
      <c r="T269" s="68">
        <f>+'Приложение №2'!E269-'Приложение №1'!P269-'Приложение №1'!Q269-'Приложение №1'!R269-'Приложение №1'!S269</f>
        <v>0</v>
      </c>
      <c r="U269" s="44">
        <f t="shared" si="118"/>
        <v>2029.4424972345921</v>
      </c>
      <c r="V269" s="44">
        <f t="shared" si="118"/>
        <v>2029.4424972345921</v>
      </c>
      <c r="W269" s="80">
        <v>2023</v>
      </c>
      <c r="X269" s="29" t="e">
        <f>+#REF!-'[1]Приложение №1'!$P1598</f>
        <v>#REF!</v>
      </c>
      <c r="Z269" s="31">
        <f t="shared" si="119"/>
        <v>16373215.82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/>
      <c r="AG269" s="27">
        <v>0</v>
      </c>
      <c r="AH269" s="27">
        <v>0</v>
      </c>
      <c r="AI269" s="27">
        <v>15841009.187234094</v>
      </c>
      <c r="AJ269" s="27">
        <v>0</v>
      </c>
      <c r="AK269" s="27">
        <v>0</v>
      </c>
      <c r="AL269" s="27">
        <v>0</v>
      </c>
      <c r="AM269" s="27">
        <v>144246.84530748578</v>
      </c>
      <c r="AN269" s="27">
        <v>41549</v>
      </c>
      <c r="AO269" s="33">
        <v>346410.7874584198</v>
      </c>
      <c r="AP269" s="84">
        <f>+N269-'Приложение №2'!E269</f>
        <v>0</v>
      </c>
      <c r="AQ269" s="1">
        <v>895754.39</v>
      </c>
      <c r="AR269" s="1">
        <f t="shared" si="123"/>
        <v>262303.2</v>
      </c>
      <c r="AS269" s="1">
        <f>+(K269*10+L269*20)*12*30</f>
        <v>9257760</v>
      </c>
      <c r="AT269" s="29">
        <f t="shared" si="98"/>
        <v>-6758153.3772340948</v>
      </c>
      <c r="AU269" s="29">
        <f>+P269-'[6]Приложение №1'!$P263</f>
        <v>0</v>
      </c>
      <c r="AV269" s="29">
        <f>+Q269-'[6]Приложение №1'!$Q263</f>
        <v>0</v>
      </c>
      <c r="AW269" s="29">
        <f>+R269-'[6]Приложение №1'!$R263</f>
        <v>0</v>
      </c>
      <c r="AX269" s="29">
        <f>+S269-'[6]Приложение №1'!$S263</f>
        <v>0</v>
      </c>
      <c r="AY269" s="29">
        <f>+T269-'[6]Приложение №1'!$T263</f>
        <v>0</v>
      </c>
    </row>
    <row r="270" spans="1:51" s="35" customFormat="1" x14ac:dyDescent="0.25">
      <c r="A270" s="135">
        <f t="shared" si="103"/>
        <v>253</v>
      </c>
      <c r="B270" s="134">
        <f t="shared" si="104"/>
        <v>65</v>
      </c>
      <c r="C270" s="77" t="s">
        <v>72</v>
      </c>
      <c r="D270" s="77" t="s">
        <v>728</v>
      </c>
      <c r="E270" s="78">
        <v>1959</v>
      </c>
      <c r="F270" s="78"/>
      <c r="G270" s="78" t="s">
        <v>44</v>
      </c>
      <c r="H270" s="78">
        <v>4</v>
      </c>
      <c r="I270" s="78">
        <v>3</v>
      </c>
      <c r="J270" s="44">
        <v>2378.1999999999998</v>
      </c>
      <c r="K270" s="44">
        <v>1790.7</v>
      </c>
      <c r="L270" s="44">
        <v>587.5</v>
      </c>
      <c r="M270" s="79">
        <v>74</v>
      </c>
      <c r="N270" s="129">
        <f t="shared" si="124"/>
        <v>4171485.37</v>
      </c>
      <c r="O270" s="44"/>
      <c r="P270" s="68">
        <f>+'[7]Приложение №2'!E70-'[7]Приложение №1'!R70-'[7]Приложение №1'!S70</f>
        <v>0</v>
      </c>
      <c r="Q270" s="68"/>
      <c r="R270" s="68">
        <f>+AQ270+AR270</f>
        <v>1241498.4906000001</v>
      </c>
      <c r="S270" s="68">
        <f>+'Приложение №2'!E270-'Приложение №1'!R270</f>
        <v>2929986.8794</v>
      </c>
      <c r="T270" s="44">
        <f>+'[7]Приложение №2'!E70-'[7]Приложение №1'!P70-'[7]Приложение №1'!Q70-'[7]Приложение №1'!R70-'[7]Приложение №1'!S70</f>
        <v>0</v>
      </c>
      <c r="U270" s="68">
        <f>N270/K270</f>
        <v>2329.5277656782264</v>
      </c>
      <c r="V270" s="68">
        <v>1173.2830200640001</v>
      </c>
      <c r="W270" s="80">
        <v>2023</v>
      </c>
      <c r="AA270" s="36"/>
      <c r="AD270" s="36"/>
      <c r="AP270" s="84">
        <f>+N270-'Приложение №2'!E270</f>
        <v>0</v>
      </c>
      <c r="AQ270" s="24">
        <v>863803.68</v>
      </c>
      <c r="AR270" s="1">
        <f>+(K270*13.29+L270*22.52)*12*0.85</f>
        <v>377694.81060000003</v>
      </c>
      <c r="AS270" s="1">
        <f>+(K270*10+L270*20)*12*30</f>
        <v>10676520</v>
      </c>
      <c r="AT270" s="29">
        <f>+S270-AS270</f>
        <v>-7746533.1206</v>
      </c>
    </row>
    <row r="271" spans="1:51" x14ac:dyDescent="0.25">
      <c r="A271" s="135">
        <f t="shared" si="103"/>
        <v>254</v>
      </c>
      <c r="B271" s="134">
        <f t="shared" si="104"/>
        <v>66</v>
      </c>
      <c r="C271" s="77" t="s">
        <v>72</v>
      </c>
      <c r="D271" s="77" t="s">
        <v>465</v>
      </c>
      <c r="E271" s="78">
        <v>1965</v>
      </c>
      <c r="F271" s="78">
        <v>2005</v>
      </c>
      <c r="G271" s="78" t="s">
        <v>44</v>
      </c>
      <c r="H271" s="78">
        <v>4</v>
      </c>
      <c r="I271" s="78">
        <v>2</v>
      </c>
      <c r="J271" s="44">
        <v>1948.5</v>
      </c>
      <c r="K271" s="44">
        <v>1410</v>
      </c>
      <c r="L271" s="44">
        <v>537.70000000000005</v>
      </c>
      <c r="M271" s="79">
        <v>38</v>
      </c>
      <c r="N271" s="72">
        <f t="shared" si="124"/>
        <v>6118734.1876640003</v>
      </c>
      <c r="O271" s="44"/>
      <c r="P271" s="68"/>
      <c r="Q271" s="68"/>
      <c r="R271" s="68">
        <f>+AQ271+AR271</f>
        <v>414061.25585124007</v>
      </c>
      <c r="S271" s="68">
        <f>+'Приложение №2'!E271-R271</f>
        <v>5704672.9318127604</v>
      </c>
      <c r="T271" s="68">
        <v>0</v>
      </c>
      <c r="U271" s="44">
        <f t="shared" si="118"/>
        <v>3141.5177838804743</v>
      </c>
      <c r="V271" s="44">
        <f t="shared" si="118"/>
        <v>3141.5177838804743</v>
      </c>
      <c r="W271" s="80">
        <v>2023</v>
      </c>
      <c r="X271" s="29" t="e">
        <f>+#REF!-'[1]Приложение №1'!$P1526</f>
        <v>#REF!</v>
      </c>
      <c r="Z271" s="31">
        <f t="shared" si="119"/>
        <v>10380935.740000002</v>
      </c>
      <c r="AA271" s="27">
        <v>4172919.5503249806</v>
      </c>
      <c r="AB271" s="27">
        <v>1486982.7864103799</v>
      </c>
      <c r="AC271" s="27">
        <v>1553566.1571465</v>
      </c>
      <c r="AD271" s="27">
        <v>972630.6372728399</v>
      </c>
      <c r="AE271" s="27">
        <v>595090.92894678004</v>
      </c>
      <c r="AF271" s="27"/>
      <c r="AG271" s="27">
        <v>160126.34455524001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1140281.4974</v>
      </c>
      <c r="AN271" s="32">
        <v>103809.35740000001</v>
      </c>
      <c r="AO271" s="33">
        <v>195528.48054327999</v>
      </c>
      <c r="AP271" s="84">
        <f>+N271-'Приложение №2'!E271</f>
        <v>0</v>
      </c>
      <c r="AQ271" s="29">
        <f>945052.78-R69</f>
        <v>160550.45585124008</v>
      </c>
      <c r="AR271" s="1">
        <f t="shared" si="123"/>
        <v>253510.8</v>
      </c>
      <c r="AS271" s="1">
        <f>+(K271*10+L271*20)*12*30-S69</f>
        <v>8947440</v>
      </c>
      <c r="AT271" s="29">
        <f t="shared" si="98"/>
        <v>-3242767.0681872396</v>
      </c>
      <c r="AU271" s="29">
        <f>+P271-'[6]Приложение №1'!$P265</f>
        <v>0</v>
      </c>
      <c r="AV271" s="29">
        <f>+Q271-'[6]Приложение №1'!$Q265</f>
        <v>0</v>
      </c>
      <c r="AW271" s="29">
        <f>+R271-'[6]Приложение №1'!$R265</f>
        <v>414061.25585124007</v>
      </c>
      <c r="AX271" s="29">
        <f>+S271-'[6]Приложение №1'!$S265</f>
        <v>217515.79414875992</v>
      </c>
      <c r="AY271" s="29">
        <f>+T271-'[6]Приложение №1'!$T265</f>
        <v>0</v>
      </c>
    </row>
    <row r="272" spans="1:51" x14ac:dyDescent="0.25">
      <c r="A272" s="135">
        <f t="shared" si="103"/>
        <v>255</v>
      </c>
      <c r="B272" s="134">
        <f t="shared" si="104"/>
        <v>67</v>
      </c>
      <c r="C272" s="77" t="s">
        <v>72</v>
      </c>
      <c r="D272" s="77" t="s">
        <v>466</v>
      </c>
      <c r="E272" s="78">
        <v>1963</v>
      </c>
      <c r="F272" s="78">
        <v>2013</v>
      </c>
      <c r="G272" s="78" t="s">
        <v>44</v>
      </c>
      <c r="H272" s="78">
        <v>4</v>
      </c>
      <c r="I272" s="78">
        <v>3</v>
      </c>
      <c r="J272" s="44">
        <v>2328.4</v>
      </c>
      <c r="K272" s="44">
        <v>1950.9</v>
      </c>
      <c r="L272" s="44">
        <v>377.5</v>
      </c>
      <c r="M272" s="79">
        <v>49</v>
      </c>
      <c r="N272" s="129">
        <f t="shared" si="124"/>
        <v>1103844.6695074399</v>
      </c>
      <c r="O272" s="44"/>
      <c r="P272" s="68"/>
      <c r="Q272" s="68"/>
      <c r="R272" s="68">
        <f>+AR272</f>
        <v>276001.8</v>
      </c>
      <c r="S272" s="68">
        <f>+'Приложение №2'!E272-'Приложение №1'!R272</f>
        <v>827842.8695074399</v>
      </c>
      <c r="T272" s="44"/>
      <c r="U272" s="68">
        <f t="shared" ref="U272:V272" si="125">$N272/($K272+$L272)</f>
        <v>474.07862459518981</v>
      </c>
      <c r="V272" s="68">
        <f t="shared" si="125"/>
        <v>474.07862459518981</v>
      </c>
      <c r="W272" s="80">
        <v>2023</v>
      </c>
      <c r="X272" s="29" t="e">
        <f>+#REF!-'[1]Приложение №1'!$P1615</f>
        <v>#REF!</v>
      </c>
      <c r="Z272" s="31">
        <f t="shared" si="119"/>
        <v>11906775.319999998</v>
      </c>
      <c r="AA272" s="27">
        <v>4786275.2192018395</v>
      </c>
      <c r="AB272" s="27">
        <v>1705546.6285494</v>
      </c>
      <c r="AC272" s="27">
        <v>1781916.7351927198</v>
      </c>
      <c r="AD272" s="27">
        <v>1115592.5413768801</v>
      </c>
      <c r="AE272" s="27">
        <v>682560.24163362011</v>
      </c>
      <c r="AF272" s="27"/>
      <c r="AG272" s="27">
        <v>183662.48366172001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1307885.5255</v>
      </c>
      <c r="AN272" s="32">
        <v>119067.75319999999</v>
      </c>
      <c r="AO272" s="33">
        <v>224268.19168382001</v>
      </c>
      <c r="AP272" s="84">
        <f>+N272-'Приложение №2'!E272</f>
        <v>0</v>
      </c>
      <c r="AQ272" s="29">
        <f>1234380.76-R70</f>
        <v>473105.86838256032</v>
      </c>
      <c r="AR272" s="1">
        <f>+(K272*10+L272*20)*12*0.85</f>
        <v>276001.8</v>
      </c>
      <c r="AS272" s="1">
        <f>+(K272*10+L272*20)*12*30-S70</f>
        <v>5910049.0099999998</v>
      </c>
      <c r="AT272" s="29">
        <f t="shared" si="98"/>
        <v>-5082206.1404925603</v>
      </c>
    </row>
    <row r="273" spans="1:51" x14ac:dyDescent="0.25">
      <c r="A273" s="135">
        <f t="shared" si="103"/>
        <v>256</v>
      </c>
      <c r="B273" s="134">
        <f t="shared" si="104"/>
        <v>68</v>
      </c>
      <c r="C273" s="77" t="s">
        <v>72</v>
      </c>
      <c r="D273" s="77" t="s">
        <v>316</v>
      </c>
      <c r="E273" s="78">
        <v>1963</v>
      </c>
      <c r="F273" s="78">
        <v>2013</v>
      </c>
      <c r="G273" s="78" t="s">
        <v>44</v>
      </c>
      <c r="H273" s="78">
        <v>4</v>
      </c>
      <c r="I273" s="78">
        <v>4</v>
      </c>
      <c r="J273" s="44">
        <v>5268.75</v>
      </c>
      <c r="K273" s="44">
        <v>3170.15</v>
      </c>
      <c r="L273" s="44">
        <v>2098.6</v>
      </c>
      <c r="M273" s="79">
        <v>92</v>
      </c>
      <c r="N273" s="72">
        <f t="shared" si="124"/>
        <v>4832684.6545059998</v>
      </c>
      <c r="O273" s="44"/>
      <c r="P273" s="68">
        <v>2983667.61</v>
      </c>
      <c r="Q273" s="68"/>
      <c r="R273" s="68">
        <f>+AQ273+AR273</f>
        <v>0</v>
      </c>
      <c r="S273" s="68">
        <f>+'Приложение №2'!E273-'Приложение №1'!R273-P273</f>
        <v>1849017.0445059999</v>
      </c>
      <c r="T273" s="44">
        <f>+'Приложение №2'!E273-'Приложение №1'!P273-'Приложение №1'!Q273-'Приложение №1'!R273-'Приложение №1'!S273</f>
        <v>0</v>
      </c>
      <c r="U273" s="68">
        <f t="shared" ref="U273:V296" si="126">$N273/($K273+$L273)</f>
        <v>917.23552161442467</v>
      </c>
      <c r="V273" s="68">
        <f t="shared" si="126"/>
        <v>917.23552161442467</v>
      </c>
      <c r="W273" s="80">
        <v>2023</v>
      </c>
      <c r="X273" s="29" t="e">
        <f>+#REF!-'[1]Приложение №1'!$P1206</f>
        <v>#REF!</v>
      </c>
      <c r="Z273" s="31">
        <f t="shared" si="119"/>
        <v>55905524.456026562</v>
      </c>
      <c r="AA273" s="27">
        <v>8910375.1309635937</v>
      </c>
      <c r="AB273" s="27">
        <v>3183729.7650160287</v>
      </c>
      <c r="AC273" s="27">
        <v>3374754.2381990571</v>
      </c>
      <c r="AD273" s="27">
        <v>2149419.7980030486</v>
      </c>
      <c r="AE273" s="27">
        <v>1581654.1276199999</v>
      </c>
      <c r="AF273" s="27"/>
      <c r="AG273" s="27">
        <v>320562.32128199999</v>
      </c>
      <c r="AH273" s="27">
        <v>0</v>
      </c>
      <c r="AI273" s="27">
        <v>16307858.936562859</v>
      </c>
      <c r="AJ273" s="27">
        <v>0</v>
      </c>
      <c r="AK273" s="27">
        <v>8424086.4921022002</v>
      </c>
      <c r="AL273" s="27">
        <v>9161049.1317717694</v>
      </c>
      <c r="AM273" s="27">
        <v>1263665.5900000001</v>
      </c>
      <c r="AN273" s="27">
        <v>60324.08</v>
      </c>
      <c r="AO273" s="33">
        <v>1168044.8445060002</v>
      </c>
      <c r="AP273" s="84">
        <f>+N273-'Приложение №2'!E273</f>
        <v>0</v>
      </c>
      <c r="AQ273" s="29">
        <f>3051973.41-R64</f>
        <v>-751469.70000000019</v>
      </c>
      <c r="AR273" s="1">
        <f t="shared" si="123"/>
        <v>751469.7</v>
      </c>
      <c r="AS273" s="1">
        <f>+(K273*10+L273*20)*12*30-S64</f>
        <v>14009140.319692016</v>
      </c>
      <c r="AT273" s="29">
        <f t="shared" si="98"/>
        <v>-12160123.275186015</v>
      </c>
      <c r="AU273" s="29">
        <f>+P273-'[6]Приложение №1'!$P266</f>
        <v>0</v>
      </c>
      <c r="AV273" s="29">
        <f>+Q273-'[6]Приложение №1'!$Q266</f>
        <v>0</v>
      </c>
      <c r="AW273" s="29">
        <f>+R273-'[6]Приложение №1'!$R266</f>
        <v>0</v>
      </c>
      <c r="AX273" s="29">
        <f>+S273-'[6]Приложение №1'!$S266</f>
        <v>297592.56999999937</v>
      </c>
      <c r="AY273" s="29">
        <f>+T273-'[6]Приложение №1'!$T266</f>
        <v>0</v>
      </c>
    </row>
    <row r="274" spans="1:51" x14ac:dyDescent="0.25">
      <c r="A274" s="135">
        <f t="shared" si="103"/>
        <v>257</v>
      </c>
      <c r="B274" s="134">
        <f t="shared" si="104"/>
        <v>69</v>
      </c>
      <c r="C274" s="77" t="s">
        <v>72</v>
      </c>
      <c r="D274" s="77" t="s">
        <v>319</v>
      </c>
      <c r="E274" s="78">
        <v>1989</v>
      </c>
      <c r="F274" s="78">
        <v>2017</v>
      </c>
      <c r="G274" s="78" t="s">
        <v>51</v>
      </c>
      <c r="H274" s="78">
        <v>9</v>
      </c>
      <c r="I274" s="78">
        <v>3</v>
      </c>
      <c r="J274" s="44">
        <v>7106.9</v>
      </c>
      <c r="K274" s="44">
        <v>6247.4</v>
      </c>
      <c r="L274" s="44">
        <v>0</v>
      </c>
      <c r="M274" s="79">
        <v>249</v>
      </c>
      <c r="N274" s="72">
        <f t="shared" si="124"/>
        <v>12736306.474216621</v>
      </c>
      <c r="O274" s="44"/>
      <c r="P274" s="68">
        <v>2760799.8602499994</v>
      </c>
      <c r="Q274" s="68"/>
      <c r="R274" s="68">
        <f>+AQ274+AR274-67931.3</f>
        <v>3566852.3591999998</v>
      </c>
      <c r="S274" s="68">
        <f>+'Приложение №2'!E274-'Приложение №1'!P274-'Приложение №1'!Q274-'Приложение №1'!R274</f>
        <v>6408654.2547666216</v>
      </c>
      <c r="T274" s="68">
        <f>+'Приложение №2'!E274-'Приложение №1'!P274-'Приложение №1'!Q274-'Приложение №1'!R274-'Приложение №1'!S274</f>
        <v>0</v>
      </c>
      <c r="U274" s="44">
        <f t="shared" si="126"/>
        <v>2038.6571172354295</v>
      </c>
      <c r="V274" s="44">
        <f t="shared" si="126"/>
        <v>2038.6571172354295</v>
      </c>
      <c r="W274" s="80">
        <v>2023</v>
      </c>
      <c r="X274" s="29" t="e">
        <f>+#REF!-'[1]Приложение №1'!$P538</f>
        <v>#REF!</v>
      </c>
      <c r="Z274" s="31">
        <f t="shared" si="119"/>
        <v>25881031.239999995</v>
      </c>
      <c r="AA274" s="27"/>
      <c r="AB274" s="27"/>
      <c r="AC274" s="27"/>
      <c r="AD274" s="27"/>
      <c r="AE274" s="27">
        <v>0</v>
      </c>
      <c r="AF274" s="27"/>
      <c r="AG274" s="27"/>
      <c r="AH274" s="27">
        <v>0</v>
      </c>
      <c r="AI274" s="27"/>
      <c r="AJ274" s="27">
        <v>0</v>
      </c>
      <c r="AK274" s="27">
        <v>25881031.239999995</v>
      </c>
      <c r="AL274" s="27">
        <v>0</v>
      </c>
      <c r="AM274" s="27"/>
      <c r="AN274" s="32"/>
      <c r="AO274" s="33"/>
      <c r="AP274" s="84">
        <f>+N274-'Приложение №2'!E274</f>
        <v>0</v>
      </c>
      <c r="AQ274" s="1">
        <v>2787898.61</v>
      </c>
      <c r="AR274" s="1">
        <f>+(K274*13.29+L274*22.52)*12*0.85</f>
        <v>846885.04919999989</v>
      </c>
      <c r="AS274" s="1">
        <f>+(K274*13.29+L274*22.52)*12*30-131853.4</f>
        <v>29758207.16</v>
      </c>
      <c r="AT274" s="29">
        <f t="shared" ref="AT274:AT338" si="127">+S274-AS274</f>
        <v>-23349552.905233379</v>
      </c>
      <c r="AU274" s="29">
        <f>+P274-'[6]Приложение №1'!$P267</f>
        <v>0</v>
      </c>
      <c r="AV274" s="29">
        <f>+Q274-'[6]Приложение №1'!$Q267</f>
        <v>0</v>
      </c>
      <c r="AW274" s="29">
        <f>+R274-'[6]Приложение №1'!$R267</f>
        <v>0</v>
      </c>
      <c r="AX274" s="29">
        <f>+S274-'[6]Приложение №1'!$S267</f>
        <v>0</v>
      </c>
      <c r="AY274" s="29">
        <f>+T274-'[6]Приложение №1'!$T267</f>
        <v>0</v>
      </c>
    </row>
    <row r="275" spans="1:51" x14ac:dyDescent="0.25">
      <c r="A275" s="135">
        <f t="shared" si="103"/>
        <v>258</v>
      </c>
      <c r="B275" s="134">
        <f t="shared" si="104"/>
        <v>70</v>
      </c>
      <c r="C275" s="77" t="s">
        <v>72</v>
      </c>
      <c r="D275" s="77" t="s">
        <v>320</v>
      </c>
      <c r="E275" s="78">
        <v>1989</v>
      </c>
      <c r="F275" s="78">
        <v>2017</v>
      </c>
      <c r="G275" s="78" t="s">
        <v>51</v>
      </c>
      <c r="H275" s="78">
        <v>9</v>
      </c>
      <c r="I275" s="78">
        <v>3</v>
      </c>
      <c r="J275" s="44">
        <v>8049.4</v>
      </c>
      <c r="K275" s="44">
        <v>6639.6</v>
      </c>
      <c r="L275" s="44">
        <v>0</v>
      </c>
      <c r="M275" s="79">
        <v>258</v>
      </c>
      <c r="N275" s="72">
        <f t="shared" si="124"/>
        <v>10182899.69749306</v>
      </c>
      <c r="O275" s="44"/>
      <c r="P275" s="81"/>
      <c r="Q275" s="68"/>
      <c r="R275" s="68">
        <f>5204490.44-2689128.01</f>
        <v>2515362.4300000006</v>
      </c>
      <c r="S275" s="68">
        <f>+'Приложение №2'!E275-'Приложение №1'!P275-'Приложение №1'!Q275-'Приложение №1'!R275</f>
        <v>7667537.2674930589</v>
      </c>
      <c r="T275" s="44"/>
      <c r="U275" s="68">
        <f t="shared" si="126"/>
        <v>1533.6616208044247</v>
      </c>
      <c r="V275" s="68">
        <f t="shared" si="126"/>
        <v>1533.6616208044247</v>
      </c>
      <c r="W275" s="80">
        <v>2023</v>
      </c>
      <c r="X275" s="29" t="e">
        <f>+#REF!-'[1]Приложение №1'!$P1217</f>
        <v>#REF!</v>
      </c>
      <c r="Z275" s="31">
        <f t="shared" si="119"/>
        <v>34535107.586130939</v>
      </c>
      <c r="AA275" s="27">
        <v>9503098.7698319387</v>
      </c>
      <c r="AB275" s="27">
        <v>0</v>
      </c>
      <c r="AC275" s="27">
        <v>6138860.8976629199</v>
      </c>
      <c r="AD275" s="27">
        <v>2958309.3156556799</v>
      </c>
      <c r="AE275" s="27">
        <v>0</v>
      </c>
      <c r="AF275" s="27"/>
      <c r="AG275" s="27">
        <v>715245.76767839992</v>
      </c>
      <c r="AH275" s="27">
        <v>0</v>
      </c>
      <c r="AI275" s="27">
        <v>5352142.2195780007</v>
      </c>
      <c r="AJ275" s="27">
        <v>0</v>
      </c>
      <c r="AK275" s="27"/>
      <c r="AL275" s="27">
        <v>0</v>
      </c>
      <c r="AM275" s="27">
        <v>7589459.6136000007</v>
      </c>
      <c r="AN275" s="32">
        <v>782532.36640000006</v>
      </c>
      <c r="AO275" s="33">
        <v>1495458.6357239999</v>
      </c>
      <c r="AP275" s="84">
        <f>+N275-'Приложение №2'!E275</f>
        <v>0</v>
      </c>
      <c r="AQ275" s="29">
        <f>4261157.78-R72</f>
        <v>4261157.78</v>
      </c>
      <c r="AR275" s="1">
        <f>+(K275*13.29+L275*22.52)*12*0.85</f>
        <v>900050.89679999999</v>
      </c>
      <c r="AS275" s="1">
        <f>+(K275*13.29+L275*22.52)*12*30-14694406.85-S72</f>
        <v>13686757.412506942</v>
      </c>
      <c r="AT275" s="29">
        <f t="shared" si="127"/>
        <v>-6019220.1450138828</v>
      </c>
    </row>
    <row r="276" spans="1:51" x14ac:dyDescent="0.25">
      <c r="A276" s="135">
        <f t="shared" si="103"/>
        <v>259</v>
      </c>
      <c r="B276" s="134">
        <f t="shared" si="104"/>
        <v>71</v>
      </c>
      <c r="C276" s="77" t="s">
        <v>72</v>
      </c>
      <c r="D276" s="77" t="s">
        <v>321</v>
      </c>
      <c r="E276" s="78">
        <v>1994</v>
      </c>
      <c r="F276" s="78">
        <v>2013</v>
      </c>
      <c r="G276" s="78" t="s">
        <v>51</v>
      </c>
      <c r="H276" s="78">
        <v>9</v>
      </c>
      <c r="I276" s="78">
        <v>3</v>
      </c>
      <c r="J276" s="44">
        <v>7891.7</v>
      </c>
      <c r="K276" s="44">
        <v>6600.8</v>
      </c>
      <c r="L276" s="44">
        <v>0</v>
      </c>
      <c r="M276" s="79">
        <v>291</v>
      </c>
      <c r="N276" s="72">
        <f t="shared" si="124"/>
        <v>12718244.725879181</v>
      </c>
      <c r="O276" s="44"/>
      <c r="P276" s="68">
        <v>1020018.4912000014</v>
      </c>
      <c r="Q276" s="68"/>
      <c r="R276" s="68"/>
      <c r="S276" s="68">
        <f>+'Приложение №2'!E276-'Приложение №1'!P276-'Приложение №1'!Q276-'Приложение №1'!R276</f>
        <v>11698226.234679179</v>
      </c>
      <c r="T276" s="68">
        <f>+'Приложение №2'!E276-'Приложение №1'!P276-'Приложение №1'!Q276-'Приложение №1'!R276-'Приложение №1'!S276</f>
        <v>0</v>
      </c>
      <c r="U276" s="44">
        <f t="shared" si="126"/>
        <v>1926.7732283782543</v>
      </c>
      <c r="V276" s="44">
        <f t="shared" si="126"/>
        <v>1926.7732283782543</v>
      </c>
      <c r="W276" s="80">
        <v>2023</v>
      </c>
      <c r="Z276" s="31">
        <f t="shared" si="119"/>
        <v>8703397.3200000003</v>
      </c>
      <c r="AA276" s="27"/>
      <c r="AB276" s="32"/>
      <c r="AC276" s="27"/>
      <c r="AD276" s="27"/>
      <c r="AE276" s="32">
        <v>0</v>
      </c>
      <c r="AF276" s="32">
        <v>0</v>
      </c>
      <c r="AG276" s="32"/>
      <c r="AH276" s="32">
        <v>8628684.8600000013</v>
      </c>
      <c r="AI276" s="27"/>
      <c r="AJ276" s="32">
        <v>0</v>
      </c>
      <c r="AK276" s="27"/>
      <c r="AL276" s="32">
        <v>0</v>
      </c>
      <c r="AM276" s="27">
        <v>55020.369999999995</v>
      </c>
      <c r="AN276" s="27">
        <v>19692.09</v>
      </c>
      <c r="AO276" s="30"/>
      <c r="AP276" s="84">
        <f>+N276-'Приложение №2'!E276</f>
        <v>0</v>
      </c>
      <c r="AQ276" s="29">
        <f>4161512.94-301266.52-3086934.55-S73</f>
        <v>-3941022.5194791807</v>
      </c>
      <c r="AR276" s="1">
        <f>+(K276*13.29+L276*22.52)*12*0.85</f>
        <v>894791.24639999995</v>
      </c>
      <c r="AS276" s="1">
        <f>+(K276*13.29+L276*22.52)*12*30-1198680.53-8354818.57-S73</f>
        <v>17313034.030520819</v>
      </c>
      <c r="AT276" s="29">
        <f t="shared" si="127"/>
        <v>-5614807.7958416399</v>
      </c>
      <c r="AU276" s="29">
        <f>+P276-'[6]Приложение №1'!$P268</f>
        <v>0</v>
      </c>
      <c r="AV276" s="29">
        <f>+Q276-'[6]Приложение №1'!$Q268</f>
        <v>0</v>
      </c>
      <c r="AW276" s="29">
        <f>+R276-'[6]Приложение №1'!$R268</f>
        <v>-1668103.1164000002</v>
      </c>
      <c r="AX276" s="29">
        <f>+S276-'[6]Приложение №1'!$S268</f>
        <v>6355227.6963999998</v>
      </c>
      <c r="AY276" s="29">
        <f>+T276-'[6]Приложение №1'!$T268</f>
        <v>0</v>
      </c>
    </row>
    <row r="277" spans="1:51" x14ac:dyDescent="0.25">
      <c r="A277" s="135">
        <f t="shared" si="103"/>
        <v>260</v>
      </c>
      <c r="B277" s="134">
        <f t="shared" si="104"/>
        <v>72</v>
      </c>
      <c r="C277" s="77" t="s">
        <v>72</v>
      </c>
      <c r="D277" s="77" t="s">
        <v>176</v>
      </c>
      <c r="E277" s="78">
        <v>1987</v>
      </c>
      <c r="F277" s="78">
        <v>2013</v>
      </c>
      <c r="G277" s="78" t="s">
        <v>44</v>
      </c>
      <c r="H277" s="78">
        <v>3</v>
      </c>
      <c r="I277" s="78">
        <v>3</v>
      </c>
      <c r="J277" s="44">
        <v>1395.8</v>
      </c>
      <c r="K277" s="44">
        <v>1268</v>
      </c>
      <c r="L277" s="44">
        <v>0</v>
      </c>
      <c r="M277" s="79">
        <v>63</v>
      </c>
      <c r="N277" s="72">
        <f t="shared" si="124"/>
        <v>7108581.8518827204</v>
      </c>
      <c r="O277" s="44"/>
      <c r="P277" s="68">
        <f>+'Приложение №2'!E277-'Приложение №1'!R277-'Приложение №1'!S277</f>
        <v>6889278.41188272</v>
      </c>
      <c r="Q277" s="68"/>
      <c r="R277" s="68">
        <f>+AQ277+AR277</f>
        <v>219303.44</v>
      </c>
      <c r="S277" s="68">
        <v>0</v>
      </c>
      <c r="T277" s="44"/>
      <c r="U277" s="44">
        <f t="shared" si="126"/>
        <v>5606.1371071630283</v>
      </c>
      <c r="V277" s="44">
        <f t="shared" si="126"/>
        <v>5606.1371071630283</v>
      </c>
      <c r="W277" s="80">
        <v>2023</v>
      </c>
      <c r="X277" s="29" t="e">
        <f>+#REF!-'[1]Приложение №1'!$P656</f>
        <v>#REF!</v>
      </c>
      <c r="Z277" s="31">
        <f t="shared" si="119"/>
        <v>20424271.119999997</v>
      </c>
      <c r="AA277" s="27">
        <v>3880461.3812546395</v>
      </c>
      <c r="AB277" s="27">
        <v>2361201.0958737601</v>
      </c>
      <c r="AC277" s="27">
        <v>1112617.8937948202</v>
      </c>
      <c r="AD277" s="27">
        <v>948184.97499599995</v>
      </c>
      <c r="AE277" s="27">
        <v>0</v>
      </c>
      <c r="AF277" s="27"/>
      <c r="AG277" s="27">
        <v>395993.45985528</v>
      </c>
      <c r="AH277" s="27">
        <v>0</v>
      </c>
      <c r="AI277" s="27">
        <v>0</v>
      </c>
      <c r="AJ277" s="27">
        <v>0</v>
      </c>
      <c r="AK277" s="27">
        <v>9178717.215051299</v>
      </c>
      <c r="AL277" s="27">
        <v>0</v>
      </c>
      <c r="AM277" s="27">
        <v>1951914.7557999999</v>
      </c>
      <c r="AN277" s="32">
        <v>204242.71119999999</v>
      </c>
      <c r="AO277" s="33">
        <v>390937.63217419997</v>
      </c>
      <c r="AP277" s="84">
        <f>+N277-'Приложение №2'!E277</f>
        <v>0</v>
      </c>
      <c r="AQ277" s="29">
        <f>502354.09-R74</f>
        <v>89967.44</v>
      </c>
      <c r="AR277" s="1">
        <f t="shared" ref="AR277" si="128">+(K277*10+L277*20)*12*0.85</f>
        <v>129336</v>
      </c>
      <c r="AS277" s="1">
        <f>+(K277*10+L277*20)*12*30-S74</f>
        <v>-1097293.7818827191</v>
      </c>
      <c r="AT277" s="29">
        <f t="shared" si="127"/>
        <v>1097293.7818827191</v>
      </c>
    </row>
    <row r="278" spans="1:51" x14ac:dyDescent="0.25">
      <c r="A278" s="135">
        <f t="shared" si="103"/>
        <v>261</v>
      </c>
      <c r="B278" s="134">
        <f t="shared" si="104"/>
        <v>73</v>
      </c>
      <c r="C278" s="77" t="s">
        <v>72</v>
      </c>
      <c r="D278" s="77" t="s">
        <v>177</v>
      </c>
      <c r="E278" s="78">
        <v>1984</v>
      </c>
      <c r="F278" s="78">
        <v>2016</v>
      </c>
      <c r="G278" s="78" t="s">
        <v>51</v>
      </c>
      <c r="H278" s="78">
        <v>9</v>
      </c>
      <c r="I278" s="78">
        <v>1</v>
      </c>
      <c r="J278" s="44">
        <v>7939.1</v>
      </c>
      <c r="K278" s="44">
        <v>4311.8999999999996</v>
      </c>
      <c r="L278" s="44">
        <v>91.2</v>
      </c>
      <c r="M278" s="79">
        <v>226</v>
      </c>
      <c r="N278" s="72">
        <f t="shared" si="124"/>
        <v>1069515.91491576</v>
      </c>
      <c r="O278" s="44"/>
      <c r="P278" s="68"/>
      <c r="Q278" s="68"/>
      <c r="R278" s="68">
        <f>+'Приложение №2'!E278</f>
        <v>1069515.91491576</v>
      </c>
      <c r="S278" s="68">
        <f>+'Приложение №2'!E278-'Приложение №1'!R278</f>
        <v>0</v>
      </c>
      <c r="T278" s="68">
        <v>0</v>
      </c>
      <c r="U278" s="44">
        <f t="shared" si="126"/>
        <v>242.9006642855625</v>
      </c>
      <c r="V278" s="44">
        <f t="shared" si="126"/>
        <v>242.9006642855625</v>
      </c>
      <c r="W278" s="80">
        <v>2023</v>
      </c>
      <c r="X278" s="29" t="e">
        <f>+#REF!-'[1]Приложение №1'!$P648</f>
        <v>#REF!</v>
      </c>
      <c r="Z278" s="31">
        <f t="shared" si="119"/>
        <v>1735600.36</v>
      </c>
      <c r="AA278" s="27">
        <v>0</v>
      </c>
      <c r="AB278" s="27">
        <v>0</v>
      </c>
      <c r="AC278" s="27">
        <v>0</v>
      </c>
      <c r="AD278" s="27">
        <v>0</v>
      </c>
      <c r="AE278" s="27">
        <v>1171936.3734842401</v>
      </c>
      <c r="AF278" s="27"/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520680.10800000001</v>
      </c>
      <c r="AN278" s="32">
        <v>17356.0036</v>
      </c>
      <c r="AO278" s="33">
        <v>25627.874915760007</v>
      </c>
      <c r="AP278" s="84">
        <f>+N278-'Приложение №2'!E278</f>
        <v>0</v>
      </c>
      <c r="AQ278" s="1">
        <v>2426110.94</v>
      </c>
      <c r="AR278" s="1">
        <f>+(K278*13.29+L278*22.52)*12*0.85</f>
        <v>605461.54499999993</v>
      </c>
      <c r="AS278" s="1">
        <f>+(K278*13.29+L278*22.52)*12*30</f>
        <v>21369231</v>
      </c>
      <c r="AT278" s="29">
        <f t="shared" si="127"/>
        <v>-21369231</v>
      </c>
      <c r="AU278" s="29">
        <f>+P278-'[6]Приложение №1'!$P269</f>
        <v>0</v>
      </c>
      <c r="AV278" s="29">
        <f>+Q278-'[6]Приложение №1'!$Q269</f>
        <v>0</v>
      </c>
      <c r="AW278" s="29">
        <f>+R278-'[6]Приложение №1'!$R269</f>
        <v>0</v>
      </c>
      <c r="AX278" s="29">
        <f>+S278-'[6]Приложение №1'!$S269</f>
        <v>0</v>
      </c>
      <c r="AY278" s="29">
        <f>+T278-'[6]Приложение №1'!$T269</f>
        <v>0</v>
      </c>
    </row>
    <row r="279" spans="1:51" x14ac:dyDescent="0.25">
      <c r="A279" s="135">
        <f t="shared" si="103"/>
        <v>262</v>
      </c>
      <c r="B279" s="134">
        <f t="shared" si="104"/>
        <v>74</v>
      </c>
      <c r="C279" s="77" t="s">
        <v>72</v>
      </c>
      <c r="D279" s="77" t="s">
        <v>178</v>
      </c>
      <c r="E279" s="78">
        <v>1982</v>
      </c>
      <c r="F279" s="78">
        <v>2016</v>
      </c>
      <c r="G279" s="78" t="s">
        <v>51</v>
      </c>
      <c r="H279" s="78">
        <v>9</v>
      </c>
      <c r="I279" s="78">
        <v>1</v>
      </c>
      <c r="J279" s="44">
        <v>7939.1</v>
      </c>
      <c r="K279" s="44">
        <v>4285</v>
      </c>
      <c r="L279" s="44">
        <v>172.8</v>
      </c>
      <c r="M279" s="79">
        <v>234</v>
      </c>
      <c r="N279" s="72">
        <f t="shared" si="124"/>
        <v>1137882.68042862</v>
      </c>
      <c r="O279" s="44"/>
      <c r="P279" s="68"/>
      <c r="Q279" s="68"/>
      <c r="R279" s="68">
        <f>+'Приложение №2'!E279</f>
        <v>1137882.68042862</v>
      </c>
      <c r="S279" s="68">
        <f>+'Приложение №2'!E279-'Приложение №1'!R279</f>
        <v>0</v>
      </c>
      <c r="T279" s="68">
        <v>0</v>
      </c>
      <c r="U279" s="44">
        <f t="shared" si="126"/>
        <v>255.25655714222708</v>
      </c>
      <c r="V279" s="44">
        <f t="shared" si="126"/>
        <v>255.25655714222708</v>
      </c>
      <c r="W279" s="80">
        <v>2023</v>
      </c>
      <c r="X279" s="29" t="e">
        <f>+#REF!-'[1]Приложение №1'!$P650</f>
        <v>#REF!</v>
      </c>
      <c r="Z279" s="31">
        <f t="shared" si="119"/>
        <v>1718282.57</v>
      </c>
      <c r="AA279" s="27">
        <v>0</v>
      </c>
      <c r="AB279" s="27">
        <v>0</v>
      </c>
      <c r="AC279" s="27">
        <v>0</v>
      </c>
      <c r="AD279" s="27">
        <v>0</v>
      </c>
      <c r="AE279" s="27">
        <v>1160242.8128713802</v>
      </c>
      <c r="AF279" s="27"/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515484.77100000001</v>
      </c>
      <c r="AN279" s="32">
        <v>17182.825700000001</v>
      </c>
      <c r="AO279" s="33">
        <v>25372.160428620005</v>
      </c>
      <c r="AP279" s="84">
        <f>+N279-'Приложение №2'!E279</f>
        <v>0</v>
      </c>
      <c r="AQ279" s="1">
        <v>2596440.5499999998</v>
      </c>
      <c r="AR279" s="1">
        <f>+(K279*13.29+L279*22.52)*12*0.85</f>
        <v>620558.88119999983</v>
      </c>
      <c r="AS279" s="1">
        <f>+(K279*13.29+L279*22.52)*12*30</f>
        <v>21902078.159999996</v>
      </c>
      <c r="AT279" s="29">
        <f t="shared" si="127"/>
        <v>-21902078.159999996</v>
      </c>
      <c r="AU279" s="29">
        <f>+P279-'[6]Приложение №1'!$P270</f>
        <v>0</v>
      </c>
      <c r="AV279" s="29">
        <f>+Q279-'[6]Приложение №1'!$Q270</f>
        <v>0</v>
      </c>
      <c r="AW279" s="29">
        <f>+R279-'[6]Приложение №1'!$R270</f>
        <v>0</v>
      </c>
      <c r="AX279" s="29">
        <f>+S279-'[6]Приложение №1'!$S270</f>
        <v>0</v>
      </c>
      <c r="AY279" s="29">
        <f>+T279-'[6]Приложение №1'!$T270</f>
        <v>0</v>
      </c>
    </row>
    <row r="280" spans="1:51" x14ac:dyDescent="0.25">
      <c r="A280" s="135">
        <f t="shared" ref="A280:B295" si="129">+A279+1</f>
        <v>263</v>
      </c>
      <c r="B280" s="134">
        <f t="shared" si="129"/>
        <v>75</v>
      </c>
      <c r="C280" s="77" t="s">
        <v>72</v>
      </c>
      <c r="D280" s="77" t="s">
        <v>180</v>
      </c>
      <c r="E280" s="78">
        <v>1974</v>
      </c>
      <c r="F280" s="78">
        <v>2013</v>
      </c>
      <c r="G280" s="78" t="s">
        <v>51</v>
      </c>
      <c r="H280" s="78">
        <v>4</v>
      </c>
      <c r="I280" s="78">
        <v>4</v>
      </c>
      <c r="J280" s="44">
        <v>4783.3599999999997</v>
      </c>
      <c r="K280" s="44">
        <v>3510.2</v>
      </c>
      <c r="L280" s="44">
        <v>0</v>
      </c>
      <c r="M280" s="79">
        <v>164</v>
      </c>
      <c r="N280" s="72">
        <f t="shared" si="124"/>
        <v>1319013.2964199998</v>
      </c>
      <c r="O280" s="44"/>
      <c r="P280" s="68"/>
      <c r="Q280" s="68"/>
      <c r="R280" s="68">
        <f>+AQ280+AR280</f>
        <v>909628.81999999983</v>
      </c>
      <c r="S280" s="68">
        <f>+'Приложение №2'!E280-'Приложение №1'!R280</f>
        <v>409384.47641999996</v>
      </c>
      <c r="T280" s="68">
        <v>0</v>
      </c>
      <c r="U280" s="44">
        <f t="shared" si="126"/>
        <v>375.76585277761944</v>
      </c>
      <c r="V280" s="44">
        <f t="shared" si="126"/>
        <v>375.76585277761944</v>
      </c>
      <c r="W280" s="80">
        <v>2023</v>
      </c>
      <c r="X280" s="29" t="e">
        <f>+#REF!-'[1]Приложение №1'!$P652</f>
        <v>#REF!</v>
      </c>
      <c r="Z280" s="31">
        <f t="shared" si="119"/>
        <v>10786909.546420002</v>
      </c>
      <c r="AA280" s="27">
        <v>0</v>
      </c>
      <c r="AB280" s="27">
        <v>0</v>
      </c>
      <c r="AC280" s="27">
        <v>0</v>
      </c>
      <c r="AD280" s="27">
        <v>0</v>
      </c>
      <c r="AE280" s="27">
        <v>1314097.3999999999</v>
      </c>
      <c r="AF280" s="27"/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8060676.2652087007</v>
      </c>
      <c r="AM280" s="27">
        <v>1135899.3550000002</v>
      </c>
      <c r="AN280" s="32">
        <v>95049.965500000006</v>
      </c>
      <c r="AO280" s="33">
        <v>181186.5607113</v>
      </c>
      <c r="AP280" s="84">
        <f>+N280-'Приложение №2'!E280</f>
        <v>0</v>
      </c>
      <c r="AQ280" s="1">
        <f>1511669.96-960081.54</f>
        <v>551588.41999999993</v>
      </c>
      <c r="AR280" s="1">
        <f t="shared" ref="AR280:AR294" si="130">+(K280*10+L280*20)*12*0.85</f>
        <v>358040.39999999997</v>
      </c>
      <c r="AS280" s="1">
        <f>+(K280*10+L280*20)*12*30-10097.67</f>
        <v>12626622.33</v>
      </c>
      <c r="AT280" s="29">
        <f t="shared" si="127"/>
        <v>-12217237.85358</v>
      </c>
      <c r="AU280" s="29">
        <f>+P280-'[6]Приложение №1'!$P271</f>
        <v>0</v>
      </c>
      <c r="AV280" s="29">
        <f>+Q280-'[6]Приложение №1'!$Q271</f>
        <v>0</v>
      </c>
      <c r="AW280" s="29">
        <f>+R280-'[6]Приложение №1'!$R271</f>
        <v>0</v>
      </c>
      <c r="AX280" s="29">
        <f>+S280-'[6]Приложение №1'!$S271</f>
        <v>0</v>
      </c>
      <c r="AY280" s="29">
        <f>+T280-'[6]Приложение №1'!$T271</f>
        <v>0</v>
      </c>
    </row>
    <row r="281" spans="1:51" s="35" customFormat="1" x14ac:dyDescent="0.25">
      <c r="A281" s="135">
        <f t="shared" si="129"/>
        <v>264</v>
      </c>
      <c r="B281" s="134">
        <f t="shared" si="129"/>
        <v>76</v>
      </c>
      <c r="C281" s="77" t="s">
        <v>72</v>
      </c>
      <c r="D281" s="77" t="s">
        <v>649</v>
      </c>
      <c r="E281" s="78" t="s">
        <v>593</v>
      </c>
      <c r="F281" s="78"/>
      <c r="G281" s="78" t="s">
        <v>573</v>
      </c>
      <c r="H281" s="78" t="s">
        <v>579</v>
      </c>
      <c r="I281" s="78" t="s">
        <v>583</v>
      </c>
      <c r="J281" s="44">
        <v>5658.4</v>
      </c>
      <c r="K281" s="44">
        <v>4959.8999999999996</v>
      </c>
      <c r="L281" s="44">
        <v>0</v>
      </c>
      <c r="M281" s="79">
        <v>203</v>
      </c>
      <c r="N281" s="72">
        <f t="shared" si="124"/>
        <v>5459436.29</v>
      </c>
      <c r="O281" s="44">
        <v>0</v>
      </c>
      <c r="P281" s="68"/>
      <c r="Q281" s="68">
        <v>0</v>
      </c>
      <c r="R281" s="68">
        <f>+AQ281+AR281</f>
        <v>2621887.21</v>
      </c>
      <c r="S281" s="68">
        <f>+'Приложение №2'!E281-'Приложение №1'!R281</f>
        <v>2837549.08</v>
      </c>
      <c r="T281" s="68">
        <v>0</v>
      </c>
      <c r="U281" s="44">
        <f t="shared" si="126"/>
        <v>1100.7149922377469</v>
      </c>
      <c r="V281" s="44">
        <f t="shared" si="126"/>
        <v>1100.7149922377469</v>
      </c>
      <c r="W281" s="80">
        <v>2023</v>
      </c>
      <c r="X281" s="35">
        <v>1826494.26</v>
      </c>
      <c r="Y281" s="35">
        <f>+(K281*9.1+L281*18.19)*12</f>
        <v>541621.07999999996</v>
      </c>
      <c r="AA281" s="36">
        <f>+N281-'[5]Приложение № 2'!E260</f>
        <v>3749161.0999999996</v>
      </c>
      <c r="AD281" s="36">
        <f>+N281-'[5]Приложение № 2'!E260</f>
        <v>3749161.0999999996</v>
      </c>
      <c r="AP281" s="84">
        <f>+N281-'Приложение №2'!E281</f>
        <v>0</v>
      </c>
      <c r="AQ281" s="35">
        <f>2320931.87-204954.46</f>
        <v>2115977.41</v>
      </c>
      <c r="AR281" s="1">
        <f t="shared" si="130"/>
        <v>505909.8</v>
      </c>
      <c r="AS281" s="1">
        <f>+(K281*10+L281*20)*12*30-70591.75</f>
        <v>17785048.25</v>
      </c>
      <c r="AT281" s="29">
        <f t="shared" si="127"/>
        <v>-14947499.17</v>
      </c>
      <c r="AU281" s="29">
        <f>+P281-'[6]Приложение №1'!$P272</f>
        <v>0</v>
      </c>
      <c r="AV281" s="29">
        <f>+Q281-'[6]Приложение №1'!$Q272</f>
        <v>0</v>
      </c>
      <c r="AW281" s="29">
        <f>+R281-'[6]Приложение №1'!$R272</f>
        <v>0</v>
      </c>
      <c r="AX281" s="29">
        <f>+S281-'[6]Приложение №1'!$S272</f>
        <v>0</v>
      </c>
      <c r="AY281" s="29">
        <f>+T281-'[6]Приложение №1'!$T272</f>
        <v>0</v>
      </c>
    </row>
    <row r="282" spans="1:51" s="35" customFormat="1" x14ac:dyDescent="0.25">
      <c r="A282" s="135">
        <f t="shared" si="129"/>
        <v>265</v>
      </c>
      <c r="B282" s="134">
        <f t="shared" si="129"/>
        <v>77</v>
      </c>
      <c r="C282" s="77" t="s">
        <v>72</v>
      </c>
      <c r="D282" s="77" t="s">
        <v>650</v>
      </c>
      <c r="E282" s="78" t="s">
        <v>594</v>
      </c>
      <c r="F282" s="78"/>
      <c r="G282" s="78" t="s">
        <v>573</v>
      </c>
      <c r="H282" s="78" t="s">
        <v>579</v>
      </c>
      <c r="I282" s="78" t="s">
        <v>579</v>
      </c>
      <c r="J282" s="44">
        <v>4040.3</v>
      </c>
      <c r="K282" s="44">
        <v>3442.7</v>
      </c>
      <c r="L282" s="44">
        <v>0</v>
      </c>
      <c r="M282" s="79">
        <v>150</v>
      </c>
      <c r="N282" s="72">
        <f t="shared" si="124"/>
        <v>3841382.1100000003</v>
      </c>
      <c r="O282" s="44">
        <v>0</v>
      </c>
      <c r="P282" s="68"/>
      <c r="Q282" s="68">
        <v>0</v>
      </c>
      <c r="R282" s="68">
        <f>+AQ282+AR282</f>
        <v>1965896.65</v>
      </c>
      <c r="S282" s="68">
        <f>+'Приложение №2'!E282-'Приложение №1'!R282</f>
        <v>1875485.4600000004</v>
      </c>
      <c r="T282" s="68">
        <v>0</v>
      </c>
      <c r="U282" s="44">
        <f t="shared" si="126"/>
        <v>1115.8050686960817</v>
      </c>
      <c r="V282" s="44">
        <f t="shared" si="126"/>
        <v>1115.8050686960817</v>
      </c>
      <c r="W282" s="80">
        <v>2023</v>
      </c>
      <c r="X282" s="35">
        <v>1285748.18</v>
      </c>
      <c r="Y282" s="35">
        <f>+(K282*9.1+L282*18.19)*12</f>
        <v>375942.83999999997</v>
      </c>
      <c r="AA282" s="36">
        <f>+N282-'[5]Приложение № 2'!E261</f>
        <v>2023581.9600000004</v>
      </c>
      <c r="AD282" s="36">
        <f>+N282-'[5]Приложение № 2'!E261</f>
        <v>2023581.9600000004</v>
      </c>
      <c r="AP282" s="84">
        <f>+N282-'Приложение №2'!E282</f>
        <v>0</v>
      </c>
      <c r="AQ282" s="35">
        <v>1614741.25</v>
      </c>
      <c r="AR282" s="1">
        <f t="shared" si="130"/>
        <v>351155.39999999997</v>
      </c>
      <c r="AS282" s="1">
        <f>+(K282*10+L282*20)*12*30</f>
        <v>12393720</v>
      </c>
      <c r="AT282" s="29">
        <f t="shared" si="127"/>
        <v>-10518234.539999999</v>
      </c>
      <c r="AU282" s="29">
        <f>+P282-'[6]Приложение №1'!$P273</f>
        <v>0</v>
      </c>
      <c r="AV282" s="29">
        <f>+Q282-'[6]Приложение №1'!$Q273</f>
        <v>0</v>
      </c>
      <c r="AW282" s="29">
        <f>+R282-'[6]Приложение №1'!$R273</f>
        <v>0</v>
      </c>
      <c r="AX282" s="29">
        <f>+S282-'[6]Приложение №1'!$S273</f>
        <v>0</v>
      </c>
      <c r="AY282" s="29">
        <f>+T282-'[6]Приложение №1'!$T273</f>
        <v>0</v>
      </c>
    </row>
    <row r="283" spans="1:51" x14ac:dyDescent="0.25">
      <c r="A283" s="135">
        <f t="shared" si="129"/>
        <v>266</v>
      </c>
      <c r="B283" s="134">
        <f t="shared" si="129"/>
        <v>78</v>
      </c>
      <c r="C283" s="77" t="s">
        <v>72</v>
      </c>
      <c r="D283" s="77" t="s">
        <v>181</v>
      </c>
      <c r="E283" s="78">
        <v>1973</v>
      </c>
      <c r="F283" s="78">
        <v>2013</v>
      </c>
      <c r="G283" s="78" t="s">
        <v>44</v>
      </c>
      <c r="H283" s="78">
        <v>5</v>
      </c>
      <c r="I283" s="78">
        <v>6</v>
      </c>
      <c r="J283" s="44">
        <v>5136.8500000000004</v>
      </c>
      <c r="K283" s="44">
        <v>4692.05</v>
      </c>
      <c r="L283" s="44">
        <v>0</v>
      </c>
      <c r="M283" s="79">
        <v>215</v>
      </c>
      <c r="N283" s="72">
        <f t="shared" si="124"/>
        <v>1998837.3649560001</v>
      </c>
      <c r="O283" s="44"/>
      <c r="P283" s="68"/>
      <c r="Q283" s="68"/>
      <c r="R283" s="68">
        <f>+'Приложение №2'!E283</f>
        <v>1998837.3649560001</v>
      </c>
      <c r="S283" s="68">
        <f>+'Приложение №2'!E283-'Приложение №1'!R283</f>
        <v>0</v>
      </c>
      <c r="T283" s="68">
        <v>0</v>
      </c>
      <c r="U283" s="44">
        <f t="shared" si="126"/>
        <v>426.00512887884827</v>
      </c>
      <c r="V283" s="44">
        <f t="shared" si="126"/>
        <v>426.00512887884827</v>
      </c>
      <c r="W283" s="80">
        <v>2023</v>
      </c>
      <c r="X283" s="29" t="e">
        <f>+#REF!-'[1]Приложение №1'!$P653</f>
        <v>#REF!</v>
      </c>
      <c r="Z283" s="31">
        <f t="shared" ref="Z283:Z294" si="131">SUM(AA283:AO283)</f>
        <v>27853394.144955996</v>
      </c>
      <c r="AA283" s="27">
        <v>0</v>
      </c>
      <c r="AB283" s="27">
        <v>0</v>
      </c>
      <c r="AC283" s="27">
        <v>0</v>
      </c>
      <c r="AD283" s="27">
        <v>0</v>
      </c>
      <c r="AE283" s="27">
        <v>1990543.04</v>
      </c>
      <c r="AF283" s="27"/>
      <c r="AG283" s="27">
        <v>0</v>
      </c>
      <c r="AH283" s="27">
        <v>0</v>
      </c>
      <c r="AI283" s="27">
        <v>0</v>
      </c>
      <c r="AJ283" s="27">
        <v>0</v>
      </c>
      <c r="AK283" s="27">
        <v>10718809.191245399</v>
      </c>
      <c r="AL283" s="27">
        <v>11561490.38701188</v>
      </c>
      <c r="AM283" s="27">
        <v>2826217.2920000004</v>
      </c>
      <c r="AN283" s="32">
        <v>260814.88320000001</v>
      </c>
      <c r="AO283" s="33">
        <v>495519.35149872006</v>
      </c>
      <c r="AP283" s="84">
        <f>+N283-'Приложение №2'!E283</f>
        <v>0</v>
      </c>
      <c r="AQ283" s="1">
        <v>2285167.23</v>
      </c>
      <c r="AR283" s="1">
        <f t="shared" si="130"/>
        <v>478589.1</v>
      </c>
      <c r="AS283" s="1">
        <f>+(K283*10+L283*20)*12*30</f>
        <v>16891380</v>
      </c>
      <c r="AT283" s="29">
        <f t="shared" si="127"/>
        <v>-16891380</v>
      </c>
      <c r="AU283" s="29">
        <f>+P283-'[6]Приложение №1'!$P274</f>
        <v>0</v>
      </c>
      <c r="AV283" s="29">
        <f>+Q283-'[6]Приложение №1'!$Q274</f>
        <v>0</v>
      </c>
      <c r="AW283" s="29">
        <f>+R283-'[6]Приложение №1'!$R274</f>
        <v>0</v>
      </c>
      <c r="AX283" s="29">
        <f>+S283-'[6]Приложение №1'!$S274</f>
        <v>0</v>
      </c>
      <c r="AY283" s="29">
        <f>+T283-'[6]Приложение №1'!$T274</f>
        <v>0</v>
      </c>
    </row>
    <row r="284" spans="1:51" x14ac:dyDescent="0.25">
      <c r="A284" s="135">
        <f t="shared" si="129"/>
        <v>267</v>
      </c>
      <c r="B284" s="134">
        <f t="shared" si="129"/>
        <v>79</v>
      </c>
      <c r="C284" s="77" t="s">
        <v>72</v>
      </c>
      <c r="D284" s="77" t="s">
        <v>182</v>
      </c>
      <c r="E284" s="78">
        <v>1975</v>
      </c>
      <c r="F284" s="78">
        <v>2013</v>
      </c>
      <c r="G284" s="78" t="s">
        <v>44</v>
      </c>
      <c r="H284" s="78">
        <v>4</v>
      </c>
      <c r="I284" s="78">
        <v>6</v>
      </c>
      <c r="J284" s="44">
        <v>4262.6000000000004</v>
      </c>
      <c r="K284" s="44">
        <v>3725.7</v>
      </c>
      <c r="L284" s="44">
        <v>243.2</v>
      </c>
      <c r="M284" s="79">
        <v>159</v>
      </c>
      <c r="N284" s="72">
        <f t="shared" si="124"/>
        <v>9874517.7376999985</v>
      </c>
      <c r="O284" s="44"/>
      <c r="P284" s="68">
        <v>2143246.1167999995</v>
      </c>
      <c r="Q284" s="68"/>
      <c r="R284" s="68">
        <f>+AQ284+AR284</f>
        <v>775614.69559999998</v>
      </c>
      <c r="S284" s="68">
        <f>+AS284</f>
        <v>4780661.1140000001</v>
      </c>
      <c r="T284" s="68">
        <f>+'Приложение №2'!E284-'Приложение №1'!P284-'Приложение №1'!R284-'Приложение №1'!S284</f>
        <v>2174995.8112999992</v>
      </c>
      <c r="U284" s="44">
        <f t="shared" si="126"/>
        <v>2487.9734278263495</v>
      </c>
      <c r="V284" s="44">
        <f t="shared" si="126"/>
        <v>2487.9734278263495</v>
      </c>
      <c r="W284" s="80">
        <v>2023</v>
      </c>
      <c r="X284" s="29" t="e">
        <f>+#REF!-'[1]Приложение №1'!$P654</f>
        <v>#REF!</v>
      </c>
      <c r="Z284" s="31">
        <f t="shared" si="131"/>
        <v>40281151.460000001</v>
      </c>
      <c r="AA284" s="27">
        <v>9306102.4321519788</v>
      </c>
      <c r="AB284" s="27">
        <v>0</v>
      </c>
      <c r="AC284" s="27">
        <v>0</v>
      </c>
      <c r="AD284" s="27">
        <v>0</v>
      </c>
      <c r="AE284" s="27">
        <v>0</v>
      </c>
      <c r="AF284" s="27"/>
      <c r="AG284" s="27">
        <v>357100.62596124003</v>
      </c>
      <c r="AH284" s="27">
        <v>0</v>
      </c>
      <c r="AI284" s="27">
        <v>17012971.210712399</v>
      </c>
      <c r="AJ284" s="27">
        <v>0</v>
      </c>
      <c r="AK284" s="27">
        <v>8833213.4125485606</v>
      </c>
      <c r="AL284" s="27">
        <v>0</v>
      </c>
      <c r="AM284" s="27">
        <v>3592433.8741000001</v>
      </c>
      <c r="AN284" s="32">
        <v>402811.51459999999</v>
      </c>
      <c r="AO284" s="33">
        <v>776518.38992582005</v>
      </c>
      <c r="AP284" s="84">
        <f>+N284-'Приложение №2'!E284</f>
        <v>0</v>
      </c>
      <c r="AQ284" s="1">
        <f>1889670.92-1080583.3044-463107.12</f>
        <v>345980.49559999991</v>
      </c>
      <c r="AR284" s="1">
        <f t="shared" si="130"/>
        <v>429634.2</v>
      </c>
      <c r="AS284" s="1">
        <f>+(K284*10+L284*20)*12*30-4573.626-647859.33-9730465.93</f>
        <v>4780661.1140000001</v>
      </c>
      <c r="AT284" s="29">
        <f t="shared" si="127"/>
        <v>0</v>
      </c>
      <c r="AU284" s="29">
        <f>+P284-'[6]Приложение №1'!$P275</f>
        <v>0</v>
      </c>
      <c r="AV284" s="29">
        <f>+Q284-'[6]Приложение №1'!$Q275</f>
        <v>0</v>
      </c>
      <c r="AW284" s="29">
        <f>+R284-'[6]Приложение №1'!$R275</f>
        <v>0</v>
      </c>
      <c r="AX284" s="29">
        <f>+S284-'[6]Приложение №1'!$S275</f>
        <v>0</v>
      </c>
      <c r="AY284" s="29">
        <f>+T284-'[6]Приложение №1'!$T275</f>
        <v>0</v>
      </c>
    </row>
    <row r="285" spans="1:51" x14ac:dyDescent="0.25">
      <c r="A285" s="135">
        <f t="shared" si="129"/>
        <v>268</v>
      </c>
      <c r="B285" s="134">
        <f t="shared" si="129"/>
        <v>80</v>
      </c>
      <c r="C285" s="77" t="s">
        <v>72</v>
      </c>
      <c r="D285" s="77" t="s">
        <v>185</v>
      </c>
      <c r="E285" s="78">
        <v>1974</v>
      </c>
      <c r="F285" s="78">
        <v>2012</v>
      </c>
      <c r="G285" s="78" t="s">
        <v>44</v>
      </c>
      <c r="H285" s="78">
        <v>4</v>
      </c>
      <c r="I285" s="78">
        <v>4</v>
      </c>
      <c r="J285" s="44">
        <v>3917</v>
      </c>
      <c r="K285" s="44">
        <v>3431.9</v>
      </c>
      <c r="L285" s="44">
        <v>0</v>
      </c>
      <c r="M285" s="79">
        <v>163</v>
      </c>
      <c r="N285" s="72">
        <f t="shared" si="124"/>
        <v>9641868.1700000018</v>
      </c>
      <c r="O285" s="44"/>
      <c r="P285" s="68">
        <v>1511702.0514524882</v>
      </c>
      <c r="Q285" s="68"/>
      <c r="R285" s="68">
        <f>+AQ285+AR285</f>
        <v>1989936.72</v>
      </c>
      <c r="S285" s="68">
        <f>+'Приложение №2'!E285-'Приложение №1'!P285-'Приложение №1'!Q285-'Приложение №1'!R285</f>
        <v>6140229.3985475125</v>
      </c>
      <c r="T285" s="68">
        <f>+'Приложение №2'!E285-'Приложение №1'!P285-'Приложение №1'!R285-'Приложение №1'!S285</f>
        <v>0</v>
      </c>
      <c r="U285" s="44">
        <f t="shared" si="126"/>
        <v>2809.4840088580672</v>
      </c>
      <c r="V285" s="44">
        <f t="shared" si="126"/>
        <v>2809.4840088580672</v>
      </c>
      <c r="W285" s="80">
        <v>2023</v>
      </c>
      <c r="X285" s="29" t="e">
        <f>+#REF!-'[1]Приложение №1'!$P397</f>
        <v>#REF!</v>
      </c>
      <c r="Z285" s="31">
        <f t="shared" si="131"/>
        <v>9641868.1699999999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/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8397623.6501341797</v>
      </c>
      <c r="AM285" s="27">
        <v>964186.81700000004</v>
      </c>
      <c r="AN285" s="32">
        <v>96418.681700000001</v>
      </c>
      <c r="AO285" s="33">
        <v>183639.02116581998</v>
      </c>
      <c r="AP285" s="84">
        <f>+N285-'Приложение №2'!E285</f>
        <v>0</v>
      </c>
      <c r="AQ285" s="35">
        <v>1639882.92</v>
      </c>
      <c r="AR285" s="1">
        <f t="shared" si="130"/>
        <v>350053.8</v>
      </c>
      <c r="AS285" s="1">
        <f>+(K285*10+L285*20)*12*30</f>
        <v>12354840</v>
      </c>
      <c r="AT285" s="29">
        <f t="shared" si="127"/>
        <v>-6214610.6014524875</v>
      </c>
      <c r="AU285" s="29">
        <f>+P285-'[6]Приложение №1'!$P276</f>
        <v>0</v>
      </c>
      <c r="AV285" s="29">
        <f>+Q285-'[6]Приложение №1'!$Q276</f>
        <v>0</v>
      </c>
      <c r="AW285" s="29">
        <f>+R285-'[6]Приложение №1'!$R276</f>
        <v>0</v>
      </c>
      <c r="AX285" s="29">
        <f>+S285-'[6]Приложение №1'!$S276</f>
        <v>0</v>
      </c>
      <c r="AY285" s="29">
        <f>+T285-'[6]Приложение №1'!$T276</f>
        <v>0</v>
      </c>
    </row>
    <row r="286" spans="1:51" x14ac:dyDescent="0.25">
      <c r="A286" s="135">
        <f t="shared" si="129"/>
        <v>269</v>
      </c>
      <c r="B286" s="134">
        <f t="shared" si="129"/>
        <v>81</v>
      </c>
      <c r="C286" s="77" t="s">
        <v>72</v>
      </c>
      <c r="D286" s="77" t="s">
        <v>325</v>
      </c>
      <c r="E286" s="78">
        <v>1977</v>
      </c>
      <c r="F286" s="78">
        <v>1977</v>
      </c>
      <c r="G286" s="78" t="s">
        <v>51</v>
      </c>
      <c r="H286" s="78">
        <v>4</v>
      </c>
      <c r="I286" s="78">
        <v>6</v>
      </c>
      <c r="J286" s="44">
        <v>5672.9</v>
      </c>
      <c r="K286" s="44">
        <v>4964.7</v>
      </c>
      <c r="L286" s="44">
        <v>0</v>
      </c>
      <c r="M286" s="79">
        <v>207</v>
      </c>
      <c r="N286" s="129">
        <f t="shared" si="124"/>
        <v>12464372.530428801</v>
      </c>
      <c r="O286" s="44"/>
      <c r="P286" s="68">
        <f>+'Приложение №2'!E286-'Приложение №1'!R286-'Приложение №1'!S286</f>
        <v>5065255.9888576027</v>
      </c>
      <c r="Q286" s="68"/>
      <c r="R286" s="68">
        <f>+AQ286+AR286</f>
        <v>1144441.2599999998</v>
      </c>
      <c r="S286" s="68">
        <f>+AS286</f>
        <v>6254675.2815711983</v>
      </c>
      <c r="T286" s="44">
        <f>+'Приложение №2'!E286-'Приложение №1'!P286-'Приложение №1'!Q286-'Приложение №1'!R286-'Приложение №1'!S286</f>
        <v>0</v>
      </c>
      <c r="U286" s="68">
        <f t="shared" si="126"/>
        <v>2510.5993374078598</v>
      </c>
      <c r="V286" s="68">
        <f t="shared" si="126"/>
        <v>2510.5993374078598</v>
      </c>
      <c r="W286" s="80">
        <v>2023</v>
      </c>
      <c r="X286" s="29" t="e">
        <f>+#REF!-'[1]Приложение №1'!$P1232</f>
        <v>#REF!</v>
      </c>
      <c r="Z286" s="31">
        <f t="shared" si="131"/>
        <v>40803772.100000001</v>
      </c>
      <c r="AA286" s="27">
        <v>8274934.6457723388</v>
      </c>
      <c r="AB286" s="27">
        <v>4785620.9278290002</v>
      </c>
      <c r="AC286" s="27">
        <v>5058755.6557213198</v>
      </c>
      <c r="AD286" s="27">
        <v>3857344.1921599195</v>
      </c>
      <c r="AE286" s="27">
        <v>1540930.0457111399</v>
      </c>
      <c r="AF286" s="27"/>
      <c r="AG286" s="27">
        <v>411179.32298520009</v>
      </c>
      <c r="AH286" s="27">
        <v>0</v>
      </c>
      <c r="AI286" s="27">
        <v>0</v>
      </c>
      <c r="AJ286" s="27">
        <v>0</v>
      </c>
      <c r="AK286" s="27">
        <v>0</v>
      </c>
      <c r="AL286" s="27">
        <v>11247866.888920201</v>
      </c>
      <c r="AM286" s="27">
        <v>4449861.0098000001</v>
      </c>
      <c r="AN286" s="32">
        <v>408037.72100000002</v>
      </c>
      <c r="AO286" s="33">
        <v>769241.69010087999</v>
      </c>
      <c r="AP286" s="84">
        <f>+N286-'Приложение №2'!E286</f>
        <v>0</v>
      </c>
      <c r="AQ286" s="29">
        <f>2390424.58-114155.72-R77</f>
        <v>638041.85999999987</v>
      </c>
      <c r="AR286" s="1">
        <f t="shared" si="130"/>
        <v>506399.39999999997</v>
      </c>
      <c r="AS286" s="1">
        <f>+(K286*10+L286*20)*12*30-S77</f>
        <v>6254675.2815711983</v>
      </c>
      <c r="AT286" s="29">
        <f t="shared" si="127"/>
        <v>0</v>
      </c>
    </row>
    <row r="287" spans="1:51" x14ac:dyDescent="0.25">
      <c r="A287" s="135">
        <f t="shared" si="129"/>
        <v>270</v>
      </c>
      <c r="B287" s="134">
        <f t="shared" si="129"/>
        <v>82</v>
      </c>
      <c r="C287" s="77" t="s">
        <v>72</v>
      </c>
      <c r="D287" s="77" t="s">
        <v>186</v>
      </c>
      <c r="E287" s="78">
        <v>1977</v>
      </c>
      <c r="F287" s="78">
        <v>2013</v>
      </c>
      <c r="G287" s="78" t="s">
        <v>51</v>
      </c>
      <c r="H287" s="78">
        <v>4</v>
      </c>
      <c r="I287" s="78">
        <v>6</v>
      </c>
      <c r="J287" s="44">
        <v>5713.5</v>
      </c>
      <c r="K287" s="44">
        <v>5033.6000000000004</v>
      </c>
      <c r="L287" s="44">
        <v>0</v>
      </c>
      <c r="M287" s="79">
        <v>226</v>
      </c>
      <c r="N287" s="72">
        <f t="shared" si="124"/>
        <v>2005001.28</v>
      </c>
      <c r="O287" s="44"/>
      <c r="P287" s="68"/>
      <c r="Q287" s="68"/>
      <c r="R287" s="68">
        <f>+'Приложение №2'!E287</f>
        <v>2005001.28</v>
      </c>
      <c r="S287" s="68">
        <f>+'Приложение №2'!E287-'Приложение №1'!R287</f>
        <v>0</v>
      </c>
      <c r="T287" s="68">
        <v>0</v>
      </c>
      <c r="U287" s="44">
        <f t="shared" si="126"/>
        <v>398.32352193261283</v>
      </c>
      <c r="V287" s="44">
        <f t="shared" si="126"/>
        <v>398.32352193261283</v>
      </c>
      <c r="W287" s="80">
        <v>2023</v>
      </c>
      <c r="X287" s="29" t="e">
        <f>+#REF!-'[1]Приложение №1'!$P658</f>
        <v>#REF!</v>
      </c>
      <c r="Z287" s="31">
        <f t="shared" si="131"/>
        <v>2266972.17</v>
      </c>
      <c r="AA287" s="27">
        <v>0</v>
      </c>
      <c r="AB287" s="27">
        <v>0</v>
      </c>
      <c r="AC287" s="27">
        <v>0</v>
      </c>
      <c r="AD287" s="27">
        <v>0</v>
      </c>
      <c r="AE287" s="27">
        <v>1990601.96</v>
      </c>
      <c r="AF287" s="27"/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251970.89</v>
      </c>
      <c r="AN287" s="32">
        <v>10000</v>
      </c>
      <c r="AO287" s="33">
        <v>14399.32</v>
      </c>
      <c r="AP287" s="84">
        <f>+N287-'Приложение №2'!E287</f>
        <v>0</v>
      </c>
      <c r="AQ287" s="1">
        <v>2355088.06</v>
      </c>
      <c r="AR287" s="1">
        <f t="shared" si="130"/>
        <v>513427.20000000001</v>
      </c>
      <c r="AS287" s="1">
        <f>+(K287*10+L287*20)*12*30</f>
        <v>18120960</v>
      </c>
      <c r="AT287" s="29">
        <f t="shared" si="127"/>
        <v>-18120960</v>
      </c>
      <c r="AU287" s="29">
        <f>+P287-'[6]Приложение №1'!$P277</f>
        <v>0</v>
      </c>
      <c r="AV287" s="29">
        <f>+Q287-'[6]Приложение №1'!$Q277</f>
        <v>0</v>
      </c>
      <c r="AW287" s="29">
        <f>+R287-'[6]Приложение №1'!$R277</f>
        <v>0</v>
      </c>
      <c r="AX287" s="29">
        <f>+S287-'[6]Приложение №1'!$S277</f>
        <v>0</v>
      </c>
      <c r="AY287" s="29">
        <f>+T287-'[6]Приложение №1'!$T277</f>
        <v>0</v>
      </c>
    </row>
    <row r="288" spans="1:51" x14ac:dyDescent="0.25">
      <c r="A288" s="135">
        <f t="shared" si="129"/>
        <v>271</v>
      </c>
      <c r="B288" s="134">
        <f t="shared" si="129"/>
        <v>83</v>
      </c>
      <c r="C288" s="77" t="s">
        <v>72</v>
      </c>
      <c r="D288" s="77" t="s">
        <v>187</v>
      </c>
      <c r="E288" s="78">
        <v>1974</v>
      </c>
      <c r="F288" s="78">
        <v>2013</v>
      </c>
      <c r="G288" s="78" t="s">
        <v>51</v>
      </c>
      <c r="H288" s="78">
        <v>4</v>
      </c>
      <c r="I288" s="78">
        <v>4</v>
      </c>
      <c r="J288" s="44">
        <v>3890.5</v>
      </c>
      <c r="K288" s="44">
        <v>3406.6</v>
      </c>
      <c r="L288" s="44">
        <v>0</v>
      </c>
      <c r="M288" s="79">
        <v>175</v>
      </c>
      <c r="N288" s="72">
        <f t="shared" si="124"/>
        <v>1363080.4118900001</v>
      </c>
      <c r="O288" s="44"/>
      <c r="P288" s="68">
        <f>+'Приложение №2'!E288-'Приложение №1'!R288-'Приложение №1'!S288</f>
        <v>989123.26378000085</v>
      </c>
      <c r="Q288" s="68"/>
      <c r="R288" s="68">
        <f>+AR288</f>
        <v>347473.2</v>
      </c>
      <c r="S288" s="68">
        <f>+AS288</f>
        <v>26483.948109999299</v>
      </c>
      <c r="T288" s="68">
        <v>0</v>
      </c>
      <c r="U288" s="44">
        <f t="shared" si="126"/>
        <v>400.12928194974467</v>
      </c>
      <c r="V288" s="44">
        <f t="shared" si="126"/>
        <v>400.12928194974467</v>
      </c>
      <c r="W288" s="80">
        <v>2023</v>
      </c>
      <c r="X288" s="29" t="e">
        <f>+#REF!-'[1]Приложение №1'!$P987</f>
        <v>#REF!</v>
      </c>
      <c r="Z288" s="31">
        <f t="shared" si="131"/>
        <v>24100395.781889997</v>
      </c>
      <c r="AA288" s="27">
        <v>0</v>
      </c>
      <c r="AB288" s="27">
        <v>0</v>
      </c>
      <c r="AC288" s="27">
        <v>0</v>
      </c>
      <c r="AD288" s="27">
        <v>0</v>
      </c>
      <c r="AE288" s="27">
        <v>1356671.24</v>
      </c>
      <c r="AF288" s="27"/>
      <c r="AG288" s="27">
        <v>0</v>
      </c>
      <c r="AH288" s="27">
        <v>0</v>
      </c>
      <c r="AI288" s="27">
        <v>0</v>
      </c>
      <c r="AJ288" s="27">
        <v>0</v>
      </c>
      <c r="AK288" s="27">
        <v>19641111.600080881</v>
      </c>
      <c r="AL288" s="27">
        <v>0</v>
      </c>
      <c r="AM288" s="27">
        <v>2439179.8219999997</v>
      </c>
      <c r="AN288" s="32">
        <v>227512.61719999998</v>
      </c>
      <c r="AO288" s="33">
        <v>435920.50260911998</v>
      </c>
      <c r="AP288" s="84">
        <f>+N288-'Приложение №2'!E288</f>
        <v>0</v>
      </c>
      <c r="AQ288" s="29">
        <f>1535272.52-R78</f>
        <v>348389.10000000009</v>
      </c>
      <c r="AR288" s="1">
        <f t="shared" si="130"/>
        <v>347473.2</v>
      </c>
      <c r="AS288" s="1">
        <f>+(K288*10+L288*20)*12*30-S78</f>
        <v>26483.948109999299</v>
      </c>
      <c r="AT288" s="29">
        <f t="shared" si="127"/>
        <v>0</v>
      </c>
      <c r="AU288" s="29">
        <f>+P288-'[6]Приложение №1'!$P278</f>
        <v>0</v>
      </c>
      <c r="AV288" s="29">
        <f>+Q288-'[6]Приложение №1'!$Q278</f>
        <v>0</v>
      </c>
      <c r="AW288" s="29">
        <f>+R288-'[6]Приложение №1'!$R278</f>
        <v>0</v>
      </c>
      <c r="AX288" s="29">
        <f>+S288-'[6]Приложение №1'!$S278</f>
        <v>0</v>
      </c>
      <c r="AY288" s="29">
        <f>+T288-'[6]Приложение №1'!$T278</f>
        <v>0</v>
      </c>
    </row>
    <row r="289" spans="1:51" x14ac:dyDescent="0.25">
      <c r="A289" s="135">
        <f t="shared" si="129"/>
        <v>272</v>
      </c>
      <c r="B289" s="134">
        <f t="shared" si="129"/>
        <v>84</v>
      </c>
      <c r="C289" s="77" t="s">
        <v>72</v>
      </c>
      <c r="D289" s="77" t="s">
        <v>332</v>
      </c>
      <c r="E289" s="78">
        <v>1978</v>
      </c>
      <c r="F289" s="78">
        <v>2013</v>
      </c>
      <c r="G289" s="78" t="s">
        <v>51</v>
      </c>
      <c r="H289" s="78">
        <v>5</v>
      </c>
      <c r="I289" s="78">
        <v>4</v>
      </c>
      <c r="J289" s="44">
        <v>4846.8</v>
      </c>
      <c r="K289" s="44">
        <v>4276.3999999999996</v>
      </c>
      <c r="L289" s="44">
        <v>0</v>
      </c>
      <c r="M289" s="79">
        <v>174</v>
      </c>
      <c r="N289" s="129">
        <f t="shared" si="124"/>
        <v>7294260.8670106996</v>
      </c>
      <c r="O289" s="44"/>
      <c r="P289" s="68">
        <v>1025756.5499999998</v>
      </c>
      <c r="Q289" s="68"/>
      <c r="R289" s="68">
        <f>+AQ289+AR289</f>
        <v>2316702.7399999998</v>
      </c>
      <c r="S289" s="68">
        <f>+'Приложение №2'!E289-'Приложение №1'!R289-P289</f>
        <v>3951801.5770106995</v>
      </c>
      <c r="T289" s="44">
        <f>+'Приложение №2'!E289-'Приложение №1'!P289-'Приложение №1'!Q289-'Приложение №1'!R289-'Приложение №1'!S289</f>
        <v>0</v>
      </c>
      <c r="U289" s="68">
        <f>$N289/($K289+$L289)</f>
        <v>1705.7012597069265</v>
      </c>
      <c r="V289" s="68">
        <f>$N289/($K289+$L289)</f>
        <v>1705.7012597069265</v>
      </c>
      <c r="W289" s="80">
        <v>2023</v>
      </c>
      <c r="X289" s="29" t="e">
        <f>+#REF!-'[1]Приложение №1'!$P1033</f>
        <v>#REF!</v>
      </c>
      <c r="Z289" s="31">
        <f>SUM(AA289:AO289)</f>
        <v>10000151.410000002</v>
      </c>
      <c r="AA289" s="27">
        <v>7149539.5285750804</v>
      </c>
      <c r="AB289" s="27">
        <v>0</v>
      </c>
      <c r="AC289" s="27">
        <v>0</v>
      </c>
      <c r="AD289" s="27">
        <v>0</v>
      </c>
      <c r="AE289" s="27">
        <v>1331362.8144142204</v>
      </c>
      <c r="AF289" s="27"/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1233787.3953999998</v>
      </c>
      <c r="AN289" s="32">
        <v>100001.5141</v>
      </c>
      <c r="AO289" s="33">
        <v>185460.15751070005</v>
      </c>
      <c r="AP289" s="84">
        <f>+N289-'Приложение №2'!E289</f>
        <v>0</v>
      </c>
      <c r="AQ289" s="1">
        <f>2003447.04-122937.1</f>
        <v>1880509.94</v>
      </c>
      <c r="AR289" s="1">
        <f>+(K289*10+L289*20)*12*0.85</f>
        <v>436192.8</v>
      </c>
      <c r="AS289" s="1">
        <f>+(K289*10+L289*20)*12*30</f>
        <v>15395040</v>
      </c>
      <c r="AT289" s="29">
        <f>+S289-AS289</f>
        <v>-11443238.422989301</v>
      </c>
    </row>
    <row r="290" spans="1:51" x14ac:dyDescent="0.25">
      <c r="A290" s="135">
        <f t="shared" si="129"/>
        <v>273</v>
      </c>
      <c r="B290" s="134">
        <f t="shared" si="129"/>
        <v>85</v>
      </c>
      <c r="C290" s="77" t="s">
        <v>72</v>
      </c>
      <c r="D290" s="77" t="s">
        <v>188</v>
      </c>
      <c r="E290" s="78">
        <v>1978</v>
      </c>
      <c r="F290" s="78">
        <v>2008</v>
      </c>
      <c r="G290" s="78" t="s">
        <v>51</v>
      </c>
      <c r="H290" s="78">
        <v>5</v>
      </c>
      <c r="I290" s="78">
        <v>4</v>
      </c>
      <c r="J290" s="44">
        <v>4929.7</v>
      </c>
      <c r="K290" s="44">
        <v>4335.1000000000004</v>
      </c>
      <c r="L290" s="44">
        <v>0</v>
      </c>
      <c r="M290" s="79">
        <v>213</v>
      </c>
      <c r="N290" s="72">
        <f t="shared" si="124"/>
        <v>30038627.562941588</v>
      </c>
      <c r="O290" s="44"/>
      <c r="P290" s="68">
        <v>5725470.5333099999</v>
      </c>
      <c r="Q290" s="68"/>
      <c r="R290" s="68">
        <f>+AQ290+AR290</f>
        <v>2519251.88</v>
      </c>
      <c r="S290" s="68">
        <f>+AS290</f>
        <v>15606360</v>
      </c>
      <c r="T290" s="68">
        <f>+'Приложение №2'!E290-'Приложение №1'!P290-'Приложение №1'!R290-'Приложение №1'!S290</f>
        <v>6187545.1496315897</v>
      </c>
      <c r="U290" s="44">
        <f t="shared" si="126"/>
        <v>6929.1660083831021</v>
      </c>
      <c r="V290" s="44">
        <f t="shared" si="126"/>
        <v>6929.1660083831021</v>
      </c>
      <c r="W290" s="80">
        <v>2023</v>
      </c>
      <c r="X290" s="29" t="e">
        <f>+#REF!-'[1]Приложение №1'!$P988</f>
        <v>#REF!</v>
      </c>
      <c r="Z290" s="31">
        <f t="shared" si="131"/>
        <v>44837101.50993</v>
      </c>
      <c r="AA290" s="27">
        <v>0</v>
      </c>
      <c r="AB290" s="27">
        <v>4199173.3275891002</v>
      </c>
      <c r="AC290" s="27">
        <v>4438837.1277801599</v>
      </c>
      <c r="AD290" s="27">
        <v>3384651.0431630402</v>
      </c>
      <c r="AE290" s="27">
        <v>1471946.54</v>
      </c>
      <c r="AF290" s="27"/>
      <c r="AG290" s="27">
        <v>360791.89596239995</v>
      </c>
      <c r="AH290" s="27">
        <v>0</v>
      </c>
      <c r="AI290" s="27">
        <v>0</v>
      </c>
      <c r="AJ290" s="27">
        <v>0</v>
      </c>
      <c r="AK290" s="27">
        <v>25094924.378064241</v>
      </c>
      <c r="AL290" s="27">
        <v>0</v>
      </c>
      <c r="AM290" s="27">
        <v>4627048.3442000002</v>
      </c>
      <c r="AN290" s="32">
        <v>433511.50789999997</v>
      </c>
      <c r="AO290" s="33">
        <v>826217.34527106001</v>
      </c>
      <c r="AP290" s="84">
        <f>+N290-'Приложение №2'!E290</f>
        <v>0</v>
      </c>
      <c r="AQ290" s="29">
        <f>2077071.68</f>
        <v>2077071.68</v>
      </c>
      <c r="AR290" s="1">
        <f t="shared" si="130"/>
        <v>442180.2</v>
      </c>
      <c r="AS290" s="1">
        <f>+(K290*10+L290*20)*12*30</f>
        <v>15606360</v>
      </c>
      <c r="AT290" s="29">
        <f t="shared" si="127"/>
        <v>0</v>
      </c>
      <c r="AU290" s="29">
        <f>+P290-'[6]Приложение №1'!$P279</f>
        <v>0</v>
      </c>
      <c r="AV290" s="29">
        <f>+Q290-'[6]Приложение №1'!$Q279</f>
        <v>0</v>
      </c>
      <c r="AW290" s="29">
        <f>+R290-'[6]Приложение №1'!$R279</f>
        <v>0</v>
      </c>
      <c r="AX290" s="29">
        <f>+S290-'[6]Приложение №1'!$S279</f>
        <v>0</v>
      </c>
      <c r="AY290" s="29">
        <f>+T290-'[6]Приложение №1'!$T279</f>
        <v>0</v>
      </c>
    </row>
    <row r="291" spans="1:51" x14ac:dyDescent="0.25">
      <c r="A291" s="135">
        <f t="shared" si="129"/>
        <v>274</v>
      </c>
      <c r="B291" s="134">
        <f t="shared" si="129"/>
        <v>86</v>
      </c>
      <c r="C291" s="77" t="s">
        <v>72</v>
      </c>
      <c r="D291" s="77" t="s">
        <v>334</v>
      </c>
      <c r="E291" s="78">
        <v>1981</v>
      </c>
      <c r="F291" s="78">
        <v>2009</v>
      </c>
      <c r="G291" s="78" t="s">
        <v>51</v>
      </c>
      <c r="H291" s="78">
        <v>5</v>
      </c>
      <c r="I291" s="78">
        <v>4</v>
      </c>
      <c r="J291" s="44">
        <v>6938.7</v>
      </c>
      <c r="K291" s="44">
        <v>6182.6</v>
      </c>
      <c r="L291" s="44">
        <v>0</v>
      </c>
      <c r="M291" s="79">
        <v>194</v>
      </c>
      <c r="N291" s="72">
        <f t="shared" si="124"/>
        <v>14052043.7567738</v>
      </c>
      <c r="O291" s="44"/>
      <c r="P291" s="68">
        <v>2076617.8699999992</v>
      </c>
      <c r="Q291" s="68"/>
      <c r="R291" s="68">
        <v>2820868.12</v>
      </c>
      <c r="S291" s="68">
        <f>+AS291</f>
        <v>3527838.873226203</v>
      </c>
      <c r="T291" s="68">
        <f>+'Приложение №2'!E291-'Приложение №1'!P291-'Приложение №1'!Q291-'Приложение №1'!R291-'Приложение №1'!S291</f>
        <v>5626718.8935475983</v>
      </c>
      <c r="U291" s="44">
        <f t="shared" si="126"/>
        <v>2272.8372782929187</v>
      </c>
      <c r="V291" s="44">
        <f t="shared" si="126"/>
        <v>2272.8372782929187</v>
      </c>
      <c r="W291" s="80">
        <v>2023</v>
      </c>
      <c r="X291" s="29" t="e">
        <f>+#REF!-'[1]Приложение №1'!$P1213</f>
        <v>#REF!</v>
      </c>
      <c r="Z291" s="31">
        <f t="shared" si="131"/>
        <v>112490116.45000002</v>
      </c>
      <c r="AA291" s="27">
        <v>10300846.19123742</v>
      </c>
      <c r="AB291" s="27">
        <v>5957260.9616612401</v>
      </c>
      <c r="AC291" s="27">
        <v>6297265.9176991209</v>
      </c>
      <c r="AD291" s="27">
        <v>4801718.7991861207</v>
      </c>
      <c r="AE291" s="27">
        <v>1918188.3660231601</v>
      </c>
      <c r="AF291" s="27"/>
      <c r="AG291" s="27">
        <v>511846.3343322</v>
      </c>
      <c r="AH291" s="27">
        <v>0</v>
      </c>
      <c r="AI291" s="27">
        <v>18337074.5641356</v>
      </c>
      <c r="AJ291" s="27">
        <v>0</v>
      </c>
      <c r="AK291" s="27">
        <v>35601534.275782861</v>
      </c>
      <c r="AL291" s="27">
        <v>14001626.819054702</v>
      </c>
      <c r="AM291" s="27">
        <v>11500753.575800002</v>
      </c>
      <c r="AN291" s="32">
        <v>1124901.1645</v>
      </c>
      <c r="AO291" s="33">
        <v>2137099.4805875802</v>
      </c>
      <c r="AP291" s="84">
        <f>+N291-'Приложение №2'!E291</f>
        <v>0</v>
      </c>
      <c r="AQ291" s="29">
        <f>2933225.6-137130.98-R85</f>
        <v>616710.84000000032</v>
      </c>
      <c r="AR291" s="1">
        <f t="shared" si="130"/>
        <v>630625.19999999995</v>
      </c>
      <c r="AS291" s="1">
        <f>+(K291*10+L291*20)*12*30-S85</f>
        <v>3527838.873226203</v>
      </c>
      <c r="AT291" s="29">
        <f t="shared" si="127"/>
        <v>0</v>
      </c>
      <c r="AU291" s="29">
        <f>+P291-'[6]Приложение №1'!$P280</f>
        <v>-2148178.1826084005</v>
      </c>
      <c r="AV291" s="29">
        <f>+Q291-'[6]Приложение №1'!$Q280</f>
        <v>0</v>
      </c>
      <c r="AW291" s="29">
        <f>+R291-'[6]Приложение №1'!$R280</f>
        <v>-233304.37000000011</v>
      </c>
      <c r="AX291" s="29">
        <f>+S291-'[6]Приложение №1'!$S280</f>
        <v>-1302244.4409391964</v>
      </c>
      <c r="AY291" s="29">
        <f>+T291-'[6]Приложение №1'!$T280</f>
        <v>5626718.8935475983</v>
      </c>
    </row>
    <row r="292" spans="1:51" x14ac:dyDescent="0.25">
      <c r="A292" s="135">
        <f t="shared" si="129"/>
        <v>275</v>
      </c>
      <c r="B292" s="134">
        <f t="shared" si="129"/>
        <v>87</v>
      </c>
      <c r="C292" s="77" t="s">
        <v>72</v>
      </c>
      <c r="D292" s="77" t="s">
        <v>335</v>
      </c>
      <c r="E292" s="78">
        <v>1990</v>
      </c>
      <c r="F292" s="78">
        <v>2009</v>
      </c>
      <c r="G292" s="78" t="s">
        <v>51</v>
      </c>
      <c r="H292" s="78">
        <v>5</v>
      </c>
      <c r="I292" s="78">
        <v>6</v>
      </c>
      <c r="J292" s="44">
        <v>5593.2</v>
      </c>
      <c r="K292" s="44">
        <v>4942</v>
      </c>
      <c r="L292" s="44">
        <v>0</v>
      </c>
      <c r="M292" s="79">
        <v>206</v>
      </c>
      <c r="N292" s="72">
        <f t="shared" si="124"/>
        <v>12818538.9</v>
      </c>
      <c r="O292" s="44"/>
      <c r="P292" s="68"/>
      <c r="Q292" s="68"/>
      <c r="R292" s="68">
        <f t="shared" ref="R292:R302" si="132">+AQ292+AR292</f>
        <v>2727972.42</v>
      </c>
      <c r="S292" s="68">
        <f>+'Приложение №2'!E292-'Приложение №1'!R292</f>
        <v>10090566.48</v>
      </c>
      <c r="T292" s="68">
        <v>0</v>
      </c>
      <c r="U292" s="44">
        <f t="shared" si="126"/>
        <v>2593.7958114123835</v>
      </c>
      <c r="V292" s="44">
        <f t="shared" si="126"/>
        <v>2593.7958114123835</v>
      </c>
      <c r="W292" s="80">
        <v>2023</v>
      </c>
      <c r="X292" s="29" t="e">
        <f>+#REF!-'[1]Приложение №1'!$P1036</f>
        <v>#REF!</v>
      </c>
      <c r="Z292" s="31">
        <f t="shared" si="131"/>
        <v>12818538.9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/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12317589.348944476</v>
      </c>
      <c r="AM292" s="27">
        <v>155875.03</v>
      </c>
      <c r="AN292" s="27">
        <v>75713.789329170002</v>
      </c>
      <c r="AO292" s="33">
        <v>269360.73172635579</v>
      </c>
      <c r="AP292" s="84">
        <f>+N292-'Приложение №2'!E292</f>
        <v>0</v>
      </c>
      <c r="AQ292" s="1">
        <v>2223888.42</v>
      </c>
      <c r="AR292" s="1">
        <f t="shared" si="130"/>
        <v>504084</v>
      </c>
      <c r="AS292" s="1">
        <f>+(K292*10+L292*20)*12*30</f>
        <v>17791200</v>
      </c>
      <c r="AT292" s="29">
        <f t="shared" si="127"/>
        <v>-7700633.5199999996</v>
      </c>
      <c r="AU292" s="29">
        <f>+P292-'[6]Приложение №1'!$P281</f>
        <v>0</v>
      </c>
      <c r="AV292" s="29">
        <f>+Q292-'[6]Приложение №1'!$Q281</f>
        <v>0</v>
      </c>
      <c r="AW292" s="29">
        <f>+R292-'[6]Приложение №1'!$R281</f>
        <v>0</v>
      </c>
      <c r="AX292" s="29">
        <f>+S292-'[6]Приложение №1'!$S281</f>
        <v>0</v>
      </c>
      <c r="AY292" s="29">
        <f>+T292-'[6]Приложение №1'!$T281</f>
        <v>0</v>
      </c>
    </row>
    <row r="293" spans="1:51" x14ac:dyDescent="0.25">
      <c r="A293" s="135">
        <f t="shared" si="129"/>
        <v>276</v>
      </c>
      <c r="B293" s="134">
        <f t="shared" si="129"/>
        <v>88</v>
      </c>
      <c r="C293" s="77" t="s">
        <v>72</v>
      </c>
      <c r="D293" s="77" t="s">
        <v>468</v>
      </c>
      <c r="E293" s="78">
        <v>1970</v>
      </c>
      <c r="F293" s="78">
        <v>2013</v>
      </c>
      <c r="G293" s="78" t="s">
        <v>44</v>
      </c>
      <c r="H293" s="78">
        <v>5</v>
      </c>
      <c r="I293" s="78">
        <v>4</v>
      </c>
      <c r="J293" s="44">
        <v>3068</v>
      </c>
      <c r="K293" s="44">
        <v>2483.8000000000002</v>
      </c>
      <c r="L293" s="44">
        <v>584.20000000000005</v>
      </c>
      <c r="M293" s="79">
        <v>142</v>
      </c>
      <c r="N293" s="72">
        <f t="shared" si="124"/>
        <v>15974969.295365319</v>
      </c>
      <c r="O293" s="44"/>
      <c r="P293" s="68">
        <v>3218407.5900000003</v>
      </c>
      <c r="Q293" s="68"/>
      <c r="R293" s="68">
        <f t="shared" si="132"/>
        <v>738446.42463467992</v>
      </c>
      <c r="S293" s="68">
        <f>+'Приложение №2'!E293-'Приложение №1'!R293-P293</f>
        <v>12018115.280730639</v>
      </c>
      <c r="T293" s="44"/>
      <c r="U293" s="68">
        <f t="shared" si="126"/>
        <v>5206.9652201321114</v>
      </c>
      <c r="V293" s="68">
        <f t="shared" si="126"/>
        <v>5206.9652201321114</v>
      </c>
      <c r="W293" s="80">
        <v>2023</v>
      </c>
      <c r="X293" s="29" t="e">
        <f>+#REF!-'[1]Приложение №1'!$P1641</f>
        <v>#REF!</v>
      </c>
      <c r="Z293" s="31">
        <f t="shared" si="131"/>
        <v>25875618.41</v>
      </c>
      <c r="AA293" s="27">
        <v>5945419.54417866</v>
      </c>
      <c r="AB293" s="27">
        <v>2118597.4078747798</v>
      </c>
      <c r="AC293" s="27">
        <v>2213462.8846331402</v>
      </c>
      <c r="AD293" s="27">
        <v>1385767.7235401999</v>
      </c>
      <c r="AE293" s="27">
        <v>0</v>
      </c>
      <c r="AF293" s="27"/>
      <c r="AG293" s="27">
        <v>228142.02967667999</v>
      </c>
      <c r="AH293" s="27">
        <v>0</v>
      </c>
      <c r="AI293" s="27">
        <v>10869131.540912401</v>
      </c>
      <c r="AJ293" s="27">
        <v>0</v>
      </c>
      <c r="AK293" s="27">
        <v>0</v>
      </c>
      <c r="AL293" s="27">
        <v>0</v>
      </c>
      <c r="AM293" s="27">
        <v>2358614.5958000002</v>
      </c>
      <c r="AN293" s="32">
        <v>258756.18410000001</v>
      </c>
      <c r="AO293" s="33">
        <v>497726.49928414001</v>
      </c>
      <c r="AP293" s="84">
        <f>+N293-'Приложение №2'!E293</f>
        <v>0</v>
      </c>
      <c r="AQ293" s="29">
        <f>504168.77-R88</f>
        <v>365922.02463468001</v>
      </c>
      <c r="AR293" s="1">
        <f t="shared" si="130"/>
        <v>372524.39999999997</v>
      </c>
      <c r="AS293" s="1">
        <f>+(K293*10+L293*20)*12*30-S88</f>
        <v>12090910.84</v>
      </c>
      <c r="AT293" s="29">
        <f t="shared" si="127"/>
        <v>-72795.559269361198</v>
      </c>
      <c r="AU293" s="29">
        <f>+P293-'[6]Приложение №1'!$P282</f>
        <v>0</v>
      </c>
      <c r="AV293" s="29">
        <f>+Q293-'[6]Приложение №1'!$Q282</f>
        <v>0</v>
      </c>
      <c r="AW293" s="29">
        <f>+R293-'[6]Приложение №1'!$R282</f>
        <v>-138246.74536532001</v>
      </c>
      <c r="AX293" s="29">
        <f>+S293-'[6]Приложение №1'!$S282</f>
        <v>9428466.0853653196</v>
      </c>
      <c r="AY293" s="29">
        <f>+T293-'[6]Приложение №1'!$T282</f>
        <v>0</v>
      </c>
    </row>
    <row r="294" spans="1:51" x14ac:dyDescent="0.25">
      <c r="A294" s="135">
        <f t="shared" si="129"/>
        <v>277</v>
      </c>
      <c r="B294" s="134">
        <f t="shared" si="129"/>
        <v>89</v>
      </c>
      <c r="C294" s="77" t="s">
        <v>72</v>
      </c>
      <c r="D294" s="77" t="s">
        <v>339</v>
      </c>
      <c r="E294" s="78">
        <v>1987</v>
      </c>
      <c r="F294" s="78">
        <v>2013</v>
      </c>
      <c r="G294" s="78" t="s">
        <v>51</v>
      </c>
      <c r="H294" s="78">
        <v>5</v>
      </c>
      <c r="I294" s="78">
        <v>6</v>
      </c>
      <c r="J294" s="44">
        <v>6859.9</v>
      </c>
      <c r="K294" s="44">
        <v>6097.04</v>
      </c>
      <c r="L294" s="44">
        <v>117.7</v>
      </c>
      <c r="M294" s="79">
        <v>283</v>
      </c>
      <c r="N294" s="72">
        <f t="shared" si="124"/>
        <v>8773415.9399999995</v>
      </c>
      <c r="O294" s="44"/>
      <c r="P294" s="68"/>
      <c r="Q294" s="68"/>
      <c r="R294" s="68">
        <f t="shared" si="132"/>
        <v>4090538.15</v>
      </c>
      <c r="S294" s="68">
        <f>+'Приложение №2'!E294-'Приложение №1'!R294-P294</f>
        <v>4682877.7899999991</v>
      </c>
      <c r="T294" s="68">
        <v>0</v>
      </c>
      <c r="U294" s="44">
        <f t="shared" si="126"/>
        <v>1411.7108583786289</v>
      </c>
      <c r="V294" s="44">
        <f t="shared" si="126"/>
        <v>1411.7108583786289</v>
      </c>
      <c r="W294" s="80">
        <v>2023</v>
      </c>
      <c r="X294" s="29" t="e">
        <f>+#REF!-'[1]Приложение №1'!$P760</f>
        <v>#REF!</v>
      </c>
      <c r="Z294" s="31">
        <f t="shared" si="131"/>
        <v>34989133.449999996</v>
      </c>
      <c r="AA294" s="27">
        <v>10381481.975843159</v>
      </c>
      <c r="AB294" s="27">
        <v>6003894.8349029999</v>
      </c>
      <c r="AC294" s="27">
        <v>6346561.3828171799</v>
      </c>
      <c r="AD294" s="27">
        <v>4839307.0097500803</v>
      </c>
      <c r="AE294" s="27">
        <v>1933204.0846683602</v>
      </c>
      <c r="AF294" s="27"/>
      <c r="AG294" s="27">
        <v>515853.10536480002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3962456.5102000004</v>
      </c>
      <c r="AN294" s="32">
        <v>349891.33450000006</v>
      </c>
      <c r="AO294" s="33">
        <v>656483.21195342008</v>
      </c>
      <c r="AP294" s="84">
        <f>+N294-'Приложение №2'!E294</f>
        <v>0</v>
      </c>
      <c r="AQ294" s="24">
        <v>3444629.27</v>
      </c>
      <c r="AR294" s="1">
        <f t="shared" si="130"/>
        <v>645908.88</v>
      </c>
      <c r="AS294" s="1">
        <f>+(K294*10+L294*20)*12*30</f>
        <v>22796784</v>
      </c>
      <c r="AT294" s="29">
        <f t="shared" si="127"/>
        <v>-18113906.210000001</v>
      </c>
      <c r="AU294" s="29"/>
      <c r="AV294" s="29"/>
      <c r="AW294" s="29"/>
      <c r="AX294" s="29"/>
      <c r="AY294" s="29"/>
    </row>
    <row r="295" spans="1:51" x14ac:dyDescent="0.25">
      <c r="A295" s="135">
        <f t="shared" si="129"/>
        <v>278</v>
      </c>
      <c r="B295" s="134">
        <f t="shared" si="129"/>
        <v>90</v>
      </c>
      <c r="C295" s="77" t="s">
        <v>72</v>
      </c>
      <c r="D295" s="77" t="s">
        <v>81</v>
      </c>
      <c r="E295" s="78">
        <v>1972</v>
      </c>
      <c r="F295" s="78">
        <v>2013</v>
      </c>
      <c r="G295" s="78" t="s">
        <v>44</v>
      </c>
      <c r="H295" s="78">
        <v>4</v>
      </c>
      <c r="I295" s="78">
        <v>4</v>
      </c>
      <c r="J295" s="44">
        <v>3047.8</v>
      </c>
      <c r="K295" s="44">
        <v>2789.4</v>
      </c>
      <c r="L295" s="44">
        <v>0</v>
      </c>
      <c r="M295" s="79">
        <v>107</v>
      </c>
      <c r="N295" s="72">
        <f t="shared" si="124"/>
        <v>27557769.723289579</v>
      </c>
      <c r="O295" s="44"/>
      <c r="P295" s="68">
        <v>4346316.5754666664</v>
      </c>
      <c r="Q295" s="68"/>
      <c r="R295" s="68">
        <f t="shared" si="132"/>
        <v>823386.06360000011</v>
      </c>
      <c r="S295" s="68">
        <f>+AS295</f>
        <v>0</v>
      </c>
      <c r="T295" s="68">
        <f>+'Приложение №2'!E295-'Приложение №1'!P295-'Приложение №1'!R295-'Приложение №1'!S295</f>
        <v>22388067.084222913</v>
      </c>
      <c r="U295" s="44">
        <f t="shared" si="126"/>
        <v>9879.4614337454568</v>
      </c>
      <c r="V295" s="44">
        <f t="shared" si="126"/>
        <v>9879.4614337454568</v>
      </c>
      <c r="W295" s="80">
        <v>2023</v>
      </c>
      <c r="X295" s="29"/>
      <c r="Z295" s="31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33"/>
      <c r="AP295" s="84">
        <f>+N295-'Приложение №2'!E295</f>
        <v>0</v>
      </c>
      <c r="AQ295" s="1">
        <f>1184908.35-361522.2864</f>
        <v>823386.06360000011</v>
      </c>
      <c r="AT295" s="29">
        <f t="shared" si="127"/>
        <v>0</v>
      </c>
      <c r="AU295" s="29">
        <f>+P295-'[6]Приложение №1'!$P283</f>
        <v>0</v>
      </c>
      <c r="AV295" s="29">
        <f>+Q295-'[6]Приложение №1'!$Q28</f>
        <v>0</v>
      </c>
      <c r="AW295" s="29">
        <f>+R295-'[6]Приложение №1'!$R283</f>
        <v>0</v>
      </c>
      <c r="AX295" s="29">
        <f>+S295-'[6]Приложение №1'!$S283</f>
        <v>0</v>
      </c>
      <c r="AY295" s="29">
        <f>+T295-'[6]Приложение №1'!$T283</f>
        <v>0</v>
      </c>
    </row>
    <row r="296" spans="1:51" x14ac:dyDescent="0.25">
      <c r="A296" s="135">
        <f t="shared" ref="A296:B311" si="133">+A295+1</f>
        <v>279</v>
      </c>
      <c r="B296" s="134">
        <f t="shared" si="133"/>
        <v>91</v>
      </c>
      <c r="C296" s="77" t="s">
        <v>72</v>
      </c>
      <c r="D296" s="77" t="s">
        <v>82</v>
      </c>
      <c r="E296" s="78">
        <v>1974</v>
      </c>
      <c r="F296" s="78">
        <v>2013</v>
      </c>
      <c r="G296" s="78" t="s">
        <v>44</v>
      </c>
      <c r="H296" s="78">
        <v>4</v>
      </c>
      <c r="I296" s="78">
        <v>4</v>
      </c>
      <c r="J296" s="44">
        <v>2989.2</v>
      </c>
      <c r="K296" s="44">
        <v>2536.9</v>
      </c>
      <c r="L296" s="44">
        <v>230.9</v>
      </c>
      <c r="M296" s="79">
        <v>90</v>
      </c>
      <c r="N296" s="72">
        <f t="shared" si="124"/>
        <v>26132279.709870167</v>
      </c>
      <c r="O296" s="44"/>
      <c r="P296" s="68">
        <v>4427463.1917000003</v>
      </c>
      <c r="Q296" s="68"/>
      <c r="R296" s="68">
        <f t="shared" si="132"/>
        <v>444157.56489999988</v>
      </c>
      <c r="S296" s="68">
        <f>+AS296</f>
        <v>0</v>
      </c>
      <c r="T296" s="68">
        <f>+'Приложение №2'!E296-'Приложение №1'!P296-'Приложение №1'!R296-'Приложение №1'!S296</f>
        <v>21260658.953270167</v>
      </c>
      <c r="U296" s="44">
        <f t="shared" si="126"/>
        <v>9441.5346881531059</v>
      </c>
      <c r="V296" s="44">
        <f t="shared" si="126"/>
        <v>9441.5346881531059</v>
      </c>
      <c r="W296" s="80">
        <v>2023</v>
      </c>
      <c r="X296" s="29"/>
      <c r="Z296" s="31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33"/>
      <c r="AP296" s="84">
        <f>+N296-'Приложение №2'!E296</f>
        <v>0</v>
      </c>
      <c r="AQ296" s="1">
        <f>1292399.14-848241.5751</f>
        <v>444157.56489999988</v>
      </c>
      <c r="AT296" s="29">
        <f t="shared" si="127"/>
        <v>0</v>
      </c>
      <c r="AU296" s="29">
        <f>+P296-'[6]Приложение №1'!$P284</f>
        <v>0</v>
      </c>
      <c r="AV296" s="29">
        <f>+Q296-'[6]Приложение №1'!$Q29</f>
        <v>0</v>
      </c>
      <c r="AW296" s="29">
        <f>+R296-'[6]Приложение №1'!$R284</f>
        <v>0</v>
      </c>
      <c r="AX296" s="29">
        <f>+S296-'[6]Приложение №1'!$S284</f>
        <v>0</v>
      </c>
      <c r="AY296" s="29">
        <f>+T296-'[6]Приложение №1'!$T284</f>
        <v>0</v>
      </c>
    </row>
    <row r="297" spans="1:51" s="35" customFormat="1" x14ac:dyDescent="0.25">
      <c r="A297" s="135">
        <f t="shared" si="133"/>
        <v>280</v>
      </c>
      <c r="B297" s="134">
        <f t="shared" si="133"/>
        <v>92</v>
      </c>
      <c r="C297" s="77" t="s">
        <v>72</v>
      </c>
      <c r="D297" s="77" t="s">
        <v>588</v>
      </c>
      <c r="E297" s="78" t="s">
        <v>593</v>
      </c>
      <c r="F297" s="78"/>
      <c r="G297" s="78" t="s">
        <v>573</v>
      </c>
      <c r="H297" s="78" t="s">
        <v>579</v>
      </c>
      <c r="I297" s="78" t="s">
        <v>579</v>
      </c>
      <c r="J297" s="44">
        <v>4032.8</v>
      </c>
      <c r="K297" s="44">
        <v>3458.5</v>
      </c>
      <c r="L297" s="44">
        <v>0</v>
      </c>
      <c r="M297" s="79">
        <v>156</v>
      </c>
      <c r="N297" s="72">
        <f t="shared" si="124"/>
        <v>51364810.400115281</v>
      </c>
      <c r="O297" s="44">
        <v>0</v>
      </c>
      <c r="P297" s="68">
        <v>9237039.6128709596</v>
      </c>
      <c r="Q297" s="68">
        <v>0</v>
      </c>
      <c r="R297" s="68">
        <f t="shared" si="132"/>
        <v>1975744.77</v>
      </c>
      <c r="S297" s="68">
        <f>+AS297</f>
        <v>12450600</v>
      </c>
      <c r="T297" s="68">
        <f>+'Приложение №2'!E297-'Приложение №1'!P297-'Приложение №1'!R297-'Приложение №1'!S297</f>
        <v>27701426.017244324</v>
      </c>
      <c r="U297" s="44">
        <f t="shared" ref="U297:V315" si="134">$N297/($K297+$L297)</f>
        <v>14851.759548970733</v>
      </c>
      <c r="V297" s="44">
        <f t="shared" si="134"/>
        <v>14851.759548970733</v>
      </c>
      <c r="W297" s="80">
        <v>2023</v>
      </c>
      <c r="X297" s="35">
        <v>1316311.58</v>
      </c>
      <c r="Y297" s="35">
        <f>+(K297*9.1+L297*18.19)*12</f>
        <v>377668.19999999995</v>
      </c>
      <c r="AA297" s="36">
        <f>+N297-'[5]Приложение № 2'!E272</f>
        <v>35671288.030115284</v>
      </c>
      <c r="AD297" s="36">
        <f>+N297-'[5]Приложение № 2'!E272</f>
        <v>35671288.030115284</v>
      </c>
      <c r="AP297" s="84">
        <f>+N297-'Приложение №2'!E297</f>
        <v>0</v>
      </c>
      <c r="AQ297" s="35">
        <v>1622977.77</v>
      </c>
      <c r="AR297" s="1">
        <f t="shared" ref="AR297:AR323" si="135">+(K297*10+L297*20)*12*0.85</f>
        <v>352767</v>
      </c>
      <c r="AS297" s="1">
        <f>+(K297*10+L297*20)*12*30</f>
        <v>12450600</v>
      </c>
      <c r="AT297" s="29">
        <f t="shared" si="127"/>
        <v>0</v>
      </c>
      <c r="AU297" s="29">
        <f>+P297-'[6]Приложение №1'!$P285</f>
        <v>0</v>
      </c>
      <c r="AV297" s="29">
        <f>+Q297-'[6]Приложение №1'!$Q30</f>
        <v>0</v>
      </c>
      <c r="AW297" s="29">
        <f>+R297-'[6]Приложение №1'!$R285</f>
        <v>0</v>
      </c>
      <c r="AX297" s="29">
        <f>+S297-'[6]Приложение №1'!$S285</f>
        <v>0</v>
      </c>
      <c r="AY297" s="29">
        <f>+T297-'[6]Приложение №1'!$T285</f>
        <v>0</v>
      </c>
    </row>
    <row r="298" spans="1:51" x14ac:dyDescent="0.25">
      <c r="A298" s="135">
        <f t="shared" si="133"/>
        <v>281</v>
      </c>
      <c r="B298" s="134">
        <f t="shared" si="133"/>
        <v>93</v>
      </c>
      <c r="C298" s="77" t="s">
        <v>72</v>
      </c>
      <c r="D298" s="77" t="s">
        <v>192</v>
      </c>
      <c r="E298" s="78">
        <v>1973</v>
      </c>
      <c r="F298" s="78">
        <v>2013</v>
      </c>
      <c r="G298" s="78" t="s">
        <v>51</v>
      </c>
      <c r="H298" s="78">
        <v>4</v>
      </c>
      <c r="I298" s="78">
        <v>4</v>
      </c>
      <c r="J298" s="44">
        <v>4671.96</v>
      </c>
      <c r="K298" s="44">
        <v>3446.2</v>
      </c>
      <c r="L298" s="44">
        <v>0</v>
      </c>
      <c r="M298" s="79">
        <v>128</v>
      </c>
      <c r="N298" s="72">
        <f t="shared" si="124"/>
        <v>1361469.02</v>
      </c>
      <c r="O298" s="44"/>
      <c r="P298" s="68"/>
      <c r="Q298" s="68"/>
      <c r="R298" s="68">
        <f t="shared" si="132"/>
        <v>1047518.0799999998</v>
      </c>
      <c r="S298" s="68">
        <f>+'Приложение №2'!E298-'Приложение №1'!R298</f>
        <v>313950.94000000018</v>
      </c>
      <c r="T298" s="68">
        <v>0</v>
      </c>
      <c r="U298" s="44">
        <f t="shared" si="134"/>
        <v>395.06384423422901</v>
      </c>
      <c r="V298" s="44">
        <f t="shared" si="134"/>
        <v>395.06384423422901</v>
      </c>
      <c r="W298" s="80">
        <v>2023</v>
      </c>
      <c r="X298" s="29" t="e">
        <f>+#REF!-'[1]Приложение №1'!$P672</f>
        <v>#REF!</v>
      </c>
      <c r="Z298" s="31">
        <f t="shared" ref="Z298:Z310" si="136">SUM(AA298:AO298)</f>
        <v>1550298.52</v>
      </c>
      <c r="AA298" s="27">
        <v>0</v>
      </c>
      <c r="AB298" s="27">
        <v>0</v>
      </c>
      <c r="AC298" s="27">
        <v>0</v>
      </c>
      <c r="AD298" s="27">
        <v>0</v>
      </c>
      <c r="AE298" s="27">
        <v>1350771.93</v>
      </c>
      <c r="AF298" s="27"/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183829.5</v>
      </c>
      <c r="AN298" s="32">
        <v>5000</v>
      </c>
      <c r="AO298" s="33">
        <v>10697.09</v>
      </c>
      <c r="AP298" s="84">
        <f>+N298-'Приложение №2'!E298</f>
        <v>0</v>
      </c>
      <c r="AQ298" s="1">
        <f>1641525.43-945519.75</f>
        <v>696005.67999999993</v>
      </c>
      <c r="AR298" s="1">
        <f t="shared" si="135"/>
        <v>351512.39999999997</v>
      </c>
      <c r="AS298" s="1">
        <f>+(K298*10+L298*20)*12*30-886414.55</f>
        <v>11519905.449999999</v>
      </c>
      <c r="AT298" s="29">
        <f t="shared" si="127"/>
        <v>-11205954.51</v>
      </c>
      <c r="AU298" s="29">
        <f>+P298-'[6]Приложение №1'!$P286</f>
        <v>0</v>
      </c>
      <c r="AV298" s="29">
        <f>+Q298-'[6]Приложение №1'!$Q31</f>
        <v>0</v>
      </c>
      <c r="AW298" s="29">
        <f>+R298-'[6]Приложение №1'!$R286</f>
        <v>0</v>
      </c>
      <c r="AX298" s="29">
        <f>+S298-'[6]Приложение №1'!$S286</f>
        <v>0</v>
      </c>
      <c r="AY298" s="29">
        <f>+T298-'[6]Приложение №1'!$T286</f>
        <v>0</v>
      </c>
    </row>
    <row r="299" spans="1:51" x14ac:dyDescent="0.25">
      <c r="A299" s="135">
        <f t="shared" si="133"/>
        <v>282</v>
      </c>
      <c r="B299" s="134">
        <f t="shared" si="133"/>
        <v>94</v>
      </c>
      <c r="C299" s="77" t="s">
        <v>72</v>
      </c>
      <c r="D299" s="77" t="s">
        <v>344</v>
      </c>
      <c r="E299" s="78">
        <v>1988</v>
      </c>
      <c r="F299" s="78">
        <v>2013</v>
      </c>
      <c r="G299" s="78" t="s">
        <v>51</v>
      </c>
      <c r="H299" s="78">
        <v>5</v>
      </c>
      <c r="I299" s="78">
        <v>4</v>
      </c>
      <c r="J299" s="44">
        <v>4850.3</v>
      </c>
      <c r="K299" s="44">
        <v>4289.6000000000004</v>
      </c>
      <c r="L299" s="44">
        <v>0</v>
      </c>
      <c r="M299" s="79">
        <v>199</v>
      </c>
      <c r="N299" s="72">
        <f t="shared" si="124"/>
        <v>4002892.3932919996</v>
      </c>
      <c r="O299" s="44"/>
      <c r="P299" s="68"/>
      <c r="Q299" s="68"/>
      <c r="R299" s="68">
        <f t="shared" si="132"/>
        <v>2458437.62</v>
      </c>
      <c r="S299" s="68">
        <f>+'Приложение №2'!E299-'Приложение №1'!R299</f>
        <v>1544454.7732919995</v>
      </c>
      <c r="T299" s="44">
        <f>+'Приложение №2'!E299-'Приложение №1'!P299-'Приложение №1'!Q299-'Приложение №1'!R299-'Приложение №1'!S299</f>
        <v>0</v>
      </c>
      <c r="U299" s="68">
        <f t="shared" si="134"/>
        <v>933.16215807814228</v>
      </c>
      <c r="V299" s="68">
        <f t="shared" si="134"/>
        <v>933.16215807814228</v>
      </c>
      <c r="W299" s="80">
        <v>2023</v>
      </c>
      <c r="X299" s="29" t="e">
        <f>+#REF!-'[1]Приложение №1'!$P1262</f>
        <v>#REF!</v>
      </c>
      <c r="Z299" s="31">
        <f t="shared" si="136"/>
        <v>14475624.07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/>
      <c r="AG299" s="27">
        <v>0</v>
      </c>
      <c r="AH299" s="27">
        <v>0</v>
      </c>
      <c r="AI299" s="27">
        <v>13731245.256708002</v>
      </c>
      <c r="AJ299" s="27">
        <v>0</v>
      </c>
      <c r="AK299" s="27">
        <v>0</v>
      </c>
      <c r="AL299" s="27">
        <v>0</v>
      </c>
      <c r="AM299" s="27">
        <v>414638.11</v>
      </c>
      <c r="AN299" s="27">
        <v>29466.18</v>
      </c>
      <c r="AO299" s="33">
        <v>300274.52329200006</v>
      </c>
      <c r="AP299" s="84">
        <f>+N299-'Приложение №2'!E299</f>
        <v>0</v>
      </c>
      <c r="AQ299" s="1">
        <v>2020898.42</v>
      </c>
      <c r="AR299" s="1">
        <f t="shared" si="135"/>
        <v>437539.2</v>
      </c>
      <c r="AS299" s="1">
        <f>+(K299*10+L299*20)*12*30</f>
        <v>15442560</v>
      </c>
      <c r="AT299" s="29">
        <f t="shared" si="127"/>
        <v>-13898105.226708001</v>
      </c>
      <c r="AU299" s="29">
        <f>+P299-'[6]Приложение №1'!$P287</f>
        <v>0</v>
      </c>
      <c r="AV299" s="29">
        <f>+Q299-'[6]Приложение №1'!$Q32</f>
        <v>0</v>
      </c>
      <c r="AW299" s="29">
        <f>+R299-'[6]Приложение №1'!$R287</f>
        <v>0</v>
      </c>
      <c r="AX299" s="29">
        <f>+S299-'[6]Приложение №1'!$S287</f>
        <v>438638.10999999987</v>
      </c>
      <c r="AY299" s="29">
        <f>+T299-'[6]Приложение №1'!$T287</f>
        <v>0</v>
      </c>
    </row>
    <row r="300" spans="1:51" x14ac:dyDescent="0.25">
      <c r="A300" s="135">
        <f t="shared" si="133"/>
        <v>283</v>
      </c>
      <c r="B300" s="134">
        <f t="shared" si="133"/>
        <v>95</v>
      </c>
      <c r="C300" s="77" t="s">
        <v>72</v>
      </c>
      <c r="D300" s="77" t="s">
        <v>345</v>
      </c>
      <c r="E300" s="78">
        <v>1974</v>
      </c>
      <c r="F300" s="78">
        <v>2013</v>
      </c>
      <c r="G300" s="78" t="s">
        <v>44</v>
      </c>
      <c r="H300" s="78">
        <v>4</v>
      </c>
      <c r="I300" s="78">
        <v>8</v>
      </c>
      <c r="J300" s="44">
        <v>5449.8</v>
      </c>
      <c r="K300" s="44">
        <v>4938.7</v>
      </c>
      <c r="L300" s="44">
        <v>0</v>
      </c>
      <c r="M300" s="79">
        <v>207</v>
      </c>
      <c r="N300" s="72">
        <f t="shared" si="124"/>
        <v>79737727.121219635</v>
      </c>
      <c r="O300" s="44"/>
      <c r="P300" s="68">
        <f>15011639.89-7314242.35</f>
        <v>7697397.540000001</v>
      </c>
      <c r="Q300" s="68"/>
      <c r="R300" s="68">
        <f t="shared" si="132"/>
        <v>2814358.13</v>
      </c>
      <c r="S300" s="68">
        <f>+AS300</f>
        <v>17779320</v>
      </c>
      <c r="T300" s="68">
        <f>+'Приложение №2'!E300-'Приложение №1'!P300-'Приложение №1'!R300-'Приложение №1'!S300</f>
        <v>51446651.451219633</v>
      </c>
      <c r="U300" s="44">
        <f t="shared" si="134"/>
        <v>16145.489120865741</v>
      </c>
      <c r="V300" s="44">
        <f t="shared" si="134"/>
        <v>16145.489120865741</v>
      </c>
      <c r="W300" s="80">
        <v>2023</v>
      </c>
      <c r="X300" s="29" t="e">
        <f>+#REF!-'[1]Приложение №1'!$P1064</f>
        <v>#REF!</v>
      </c>
      <c r="Z300" s="31">
        <f t="shared" si="136"/>
        <v>29390081.470000003</v>
      </c>
      <c r="AA300" s="27">
        <v>11814199.4679345</v>
      </c>
      <c r="AB300" s="27">
        <v>4209884.9643870592</v>
      </c>
      <c r="AC300" s="27">
        <v>4398393.0636496209</v>
      </c>
      <c r="AD300" s="27">
        <v>2753672.1595983598</v>
      </c>
      <c r="AE300" s="27">
        <v>1684797.1438548602</v>
      </c>
      <c r="AF300" s="27"/>
      <c r="AG300" s="27">
        <v>453343.1808108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3228318.4233000004</v>
      </c>
      <c r="AN300" s="32">
        <v>293900.81470000005</v>
      </c>
      <c r="AO300" s="33">
        <v>553572.25176480005</v>
      </c>
      <c r="AP300" s="84">
        <f>+N300-'Приложение №2'!E300</f>
        <v>0</v>
      </c>
      <c r="AQ300" s="1">
        <v>2310610.73</v>
      </c>
      <c r="AR300" s="1">
        <f t="shared" si="135"/>
        <v>503747.39999999997</v>
      </c>
      <c r="AS300" s="1">
        <f>+(K300*10+L300*20)*12*30</f>
        <v>17779320</v>
      </c>
      <c r="AT300" s="29">
        <f t="shared" si="127"/>
        <v>0</v>
      </c>
      <c r="AU300" s="29">
        <f>+P300-'[6]Приложение №1'!$P288</f>
        <v>-7314242.3499999996</v>
      </c>
      <c r="AV300" s="29">
        <f>+Q300-'[6]Приложение №1'!$Q33</f>
        <v>0</v>
      </c>
      <c r="AW300" s="29">
        <f>+R300-'[6]Приложение №1'!$R288</f>
        <v>0</v>
      </c>
      <c r="AX300" s="29">
        <f>+S300-'[6]Приложение №1'!$S288</f>
        <v>0</v>
      </c>
      <c r="AY300" s="29">
        <f>+T300-'[6]Приложение №1'!$T288</f>
        <v>7314242.3500000015</v>
      </c>
    </row>
    <row r="301" spans="1:51" x14ac:dyDescent="0.25">
      <c r="A301" s="135">
        <f t="shared" si="133"/>
        <v>284</v>
      </c>
      <c r="B301" s="134">
        <f t="shared" si="133"/>
        <v>96</v>
      </c>
      <c r="C301" s="77" t="s">
        <v>72</v>
      </c>
      <c r="D301" s="77" t="s">
        <v>346</v>
      </c>
      <c r="E301" s="78">
        <v>1983</v>
      </c>
      <c r="F301" s="78">
        <v>2013</v>
      </c>
      <c r="G301" s="78" t="s">
        <v>51</v>
      </c>
      <c r="H301" s="78">
        <v>4</v>
      </c>
      <c r="I301" s="78">
        <v>6</v>
      </c>
      <c r="J301" s="44">
        <v>5775.05</v>
      </c>
      <c r="K301" s="44">
        <v>5052.8500000000004</v>
      </c>
      <c r="L301" s="44">
        <v>0</v>
      </c>
      <c r="M301" s="79">
        <v>216</v>
      </c>
      <c r="N301" s="72">
        <f t="shared" si="124"/>
        <v>20464603.039999999</v>
      </c>
      <c r="O301" s="44"/>
      <c r="P301" s="68"/>
      <c r="Q301" s="68"/>
      <c r="R301" s="68">
        <f t="shared" si="132"/>
        <v>2840159.93</v>
      </c>
      <c r="S301" s="68">
        <f>+'Приложение №2'!E301-'Приложение №1'!R301</f>
        <v>17624443.109999999</v>
      </c>
      <c r="T301" s="68">
        <v>0</v>
      </c>
      <c r="U301" s="44">
        <f t="shared" si="134"/>
        <v>4050.1109354126875</v>
      </c>
      <c r="V301" s="44">
        <f t="shared" si="134"/>
        <v>4050.1109354126875</v>
      </c>
      <c r="W301" s="80">
        <v>2023</v>
      </c>
      <c r="X301" s="29" t="e">
        <f>+#REF!-'[1]Приложение №1'!$P1068</f>
        <v>#REF!</v>
      </c>
      <c r="Z301" s="31">
        <f t="shared" si="136"/>
        <v>28377467.889999997</v>
      </c>
      <c r="AA301" s="27">
        <v>8419761.85982568</v>
      </c>
      <c r="AB301" s="27">
        <v>4869378.4663003199</v>
      </c>
      <c r="AC301" s="27">
        <v>5147293.5732838195</v>
      </c>
      <c r="AD301" s="27">
        <v>3924855.112857</v>
      </c>
      <c r="AE301" s="27">
        <v>1567899.2698021799</v>
      </c>
      <c r="AF301" s="27"/>
      <c r="AG301" s="27">
        <v>418375.75401383999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3213697.2617000001</v>
      </c>
      <c r="AN301" s="32">
        <v>283774.6789</v>
      </c>
      <c r="AO301" s="33">
        <v>532431.91331715998</v>
      </c>
      <c r="AP301" s="84">
        <f>+N301-'Приложение №2'!E301</f>
        <v>0</v>
      </c>
      <c r="AQ301" s="1">
        <f>2439039.01-114269.78</f>
        <v>2324769.23</v>
      </c>
      <c r="AR301" s="1">
        <f t="shared" si="135"/>
        <v>515390.7</v>
      </c>
      <c r="AS301" s="1">
        <f>+(K301*10+L301*20)*12*30</f>
        <v>18190260</v>
      </c>
      <c r="AT301" s="29">
        <f t="shared" si="127"/>
        <v>-565816.8900000006</v>
      </c>
      <c r="AU301" s="29">
        <f>+P301-'[6]Приложение №1'!$P289</f>
        <v>0</v>
      </c>
      <c r="AV301" s="29">
        <f>+Q301-'[6]Приложение №1'!$Q34</f>
        <v>0</v>
      </c>
      <c r="AW301" s="29">
        <f>+R301-'[6]Приложение №1'!$R289</f>
        <v>0</v>
      </c>
      <c r="AX301" s="29">
        <f>+S301-'[6]Приложение №1'!$S289</f>
        <v>0</v>
      </c>
      <c r="AY301" s="29">
        <f>+T301-'[6]Приложение №1'!$T289</f>
        <v>0</v>
      </c>
    </row>
    <row r="302" spans="1:51" x14ac:dyDescent="0.25">
      <c r="A302" s="135">
        <f t="shared" si="133"/>
        <v>285</v>
      </c>
      <c r="B302" s="134">
        <f t="shared" si="133"/>
        <v>97</v>
      </c>
      <c r="C302" s="77" t="s">
        <v>72</v>
      </c>
      <c r="D302" s="77" t="s">
        <v>194</v>
      </c>
      <c r="E302" s="78">
        <v>1976</v>
      </c>
      <c r="F302" s="78">
        <v>2013</v>
      </c>
      <c r="G302" s="78" t="s">
        <v>44</v>
      </c>
      <c r="H302" s="78">
        <v>5</v>
      </c>
      <c r="I302" s="78">
        <v>4</v>
      </c>
      <c r="J302" s="44">
        <v>3698.5</v>
      </c>
      <c r="K302" s="44">
        <v>3331.4</v>
      </c>
      <c r="L302" s="44">
        <v>142.19999999999999</v>
      </c>
      <c r="M302" s="79">
        <v>143</v>
      </c>
      <c r="N302" s="72">
        <f t="shared" si="124"/>
        <v>16119475.25326384</v>
      </c>
      <c r="O302" s="44"/>
      <c r="P302" s="68">
        <v>2008108.1622212788</v>
      </c>
      <c r="Q302" s="68"/>
      <c r="R302" s="68">
        <f t="shared" si="132"/>
        <v>1664189.88</v>
      </c>
      <c r="S302" s="68">
        <f>+AS302</f>
        <v>11443239.939999999</v>
      </c>
      <c r="T302" s="68">
        <f>+'Приложение №2'!E302-'Приложение №1'!P302-'Приложение №1'!R302-'Приложение №1'!S302</f>
        <v>1003937.2710425612</v>
      </c>
      <c r="U302" s="44">
        <f t="shared" si="134"/>
        <v>4640.5674957576693</v>
      </c>
      <c r="V302" s="44">
        <f t="shared" si="134"/>
        <v>4640.5674957576693</v>
      </c>
      <c r="W302" s="80">
        <v>2023</v>
      </c>
      <c r="X302" s="29" t="e">
        <f>+#REF!-'[1]Приложение №1'!$P677</f>
        <v>#REF!</v>
      </c>
      <c r="Z302" s="31">
        <f t="shared" si="136"/>
        <v>31334841.419999994</v>
      </c>
      <c r="AA302" s="27">
        <v>8119979.0609737793</v>
      </c>
      <c r="AB302" s="27">
        <v>2893482.3597838203</v>
      </c>
      <c r="AC302" s="27">
        <v>0</v>
      </c>
      <c r="AD302" s="27">
        <v>0</v>
      </c>
      <c r="AE302" s="27">
        <v>1157972.4533361599</v>
      </c>
      <c r="AF302" s="27"/>
      <c r="AG302" s="27">
        <v>311585.82840084005</v>
      </c>
      <c r="AH302" s="27">
        <v>0</v>
      </c>
      <c r="AI302" s="27">
        <v>14844557.210124599</v>
      </c>
      <c r="AJ302" s="27">
        <v>0</v>
      </c>
      <c r="AK302" s="27">
        <v>0</v>
      </c>
      <c r="AL302" s="27">
        <v>0</v>
      </c>
      <c r="AM302" s="27">
        <v>3096317.3338000001</v>
      </c>
      <c r="AN302" s="32">
        <v>313348.4142</v>
      </c>
      <c r="AO302" s="33">
        <v>597598.75938079995</v>
      </c>
      <c r="AP302" s="84">
        <f>+N302-'Приложение №2'!E302</f>
        <v>0</v>
      </c>
      <c r="AQ302" s="1">
        <f>1714139.94-279174.44-139587.22</f>
        <v>1295378.28</v>
      </c>
      <c r="AR302" s="1">
        <f t="shared" si="135"/>
        <v>368811.6</v>
      </c>
      <c r="AS302" s="1">
        <f>+(K302*10+L302*20)*12*30-1573640.06</f>
        <v>11443239.939999999</v>
      </c>
      <c r="AT302" s="29">
        <f t="shared" si="127"/>
        <v>0</v>
      </c>
      <c r="AU302" s="29">
        <f>+P302-'[6]Приложение №1'!$P290</f>
        <v>0</v>
      </c>
      <c r="AV302" s="29">
        <f>+Q302-'[6]Приложение №1'!$Q35</f>
        <v>0</v>
      </c>
      <c r="AW302" s="29">
        <f>+R302-'[6]Приложение №1'!$R290</f>
        <v>0</v>
      </c>
      <c r="AX302" s="29">
        <f>+S302-'[6]Приложение №1'!$S290</f>
        <v>0</v>
      </c>
      <c r="AY302" s="29">
        <f>+T302-'[6]Приложение №1'!$T290</f>
        <v>0</v>
      </c>
    </row>
    <row r="303" spans="1:51" x14ac:dyDescent="0.25">
      <c r="A303" s="135">
        <f t="shared" si="133"/>
        <v>286</v>
      </c>
      <c r="B303" s="134">
        <f t="shared" si="133"/>
        <v>98</v>
      </c>
      <c r="C303" s="77" t="s">
        <v>72</v>
      </c>
      <c r="D303" s="77" t="s">
        <v>348</v>
      </c>
      <c r="E303" s="78">
        <v>1976</v>
      </c>
      <c r="F303" s="78">
        <v>2013</v>
      </c>
      <c r="G303" s="78" t="s">
        <v>51</v>
      </c>
      <c r="H303" s="78">
        <v>4</v>
      </c>
      <c r="I303" s="78">
        <v>6</v>
      </c>
      <c r="J303" s="44">
        <v>5761.37</v>
      </c>
      <c r="K303" s="44">
        <v>4953.17</v>
      </c>
      <c r="L303" s="44">
        <v>0</v>
      </c>
      <c r="M303" s="79">
        <v>208</v>
      </c>
      <c r="N303" s="72">
        <f t="shared" si="124"/>
        <v>22165138.859996557</v>
      </c>
      <c r="O303" s="44"/>
      <c r="P303" s="68"/>
      <c r="Q303" s="68"/>
      <c r="R303" s="68">
        <f>+AQ303+AR303</f>
        <v>3001913.7399999998</v>
      </c>
      <c r="S303" s="68">
        <f>+AS303</f>
        <v>17831411.999999996</v>
      </c>
      <c r="T303" s="44">
        <f>+'Приложение №2'!E303-'Приложение №1'!P303-'Приложение №1'!Q303-'Приложение №1'!R303-'Приложение №1'!S303</f>
        <v>1331813.1199965626</v>
      </c>
      <c r="U303" s="44">
        <f t="shared" si="134"/>
        <v>4474.9400606069557</v>
      </c>
      <c r="V303" s="44">
        <f t="shared" si="134"/>
        <v>4474.9400606069557</v>
      </c>
      <c r="W303" s="80">
        <v>2023</v>
      </c>
      <c r="X303" s="29" t="e">
        <f>+#REF!-'[1]Приложение №1'!$P1070</f>
        <v>#REF!</v>
      </c>
      <c r="Z303" s="31">
        <f t="shared" si="136"/>
        <v>18855188.25</v>
      </c>
      <c r="AA303" s="27">
        <v>0</v>
      </c>
      <c r="AB303" s="27">
        <v>4852018.6895581791</v>
      </c>
      <c r="AC303" s="27">
        <v>5128943.0079808198</v>
      </c>
      <c r="AD303" s="27">
        <v>3910862.6451854394</v>
      </c>
      <c r="AE303" s="27">
        <v>1562309.5679603999</v>
      </c>
      <c r="AF303" s="27"/>
      <c r="AG303" s="27">
        <v>416884.20653627999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2448551.2283000001</v>
      </c>
      <c r="AN303" s="32">
        <v>188551.88250000004</v>
      </c>
      <c r="AO303" s="33">
        <v>347067.0219788801</v>
      </c>
      <c r="AP303" s="84">
        <f>+N303-'Приложение №2'!E303</f>
        <v>0</v>
      </c>
      <c r="AQ303" s="1">
        <f>2496690.4</f>
        <v>2496690.4</v>
      </c>
      <c r="AR303" s="1">
        <f t="shared" si="135"/>
        <v>505223.33999999991</v>
      </c>
      <c r="AS303" s="1">
        <f>+(K303*10+L303*20)*12*30</f>
        <v>17831411.999999996</v>
      </c>
      <c r="AT303" s="29">
        <f t="shared" si="127"/>
        <v>0</v>
      </c>
      <c r="AU303" s="29">
        <f>+P303-'[6]Приложение №1'!$P292</f>
        <v>0</v>
      </c>
      <c r="AV303" s="29">
        <f>+Q303-'[6]Приложение №1'!$Q37</f>
        <v>0</v>
      </c>
      <c r="AW303" s="29">
        <f>+R303-'[6]Приложение №1'!$R292</f>
        <v>0</v>
      </c>
      <c r="AX303" s="29">
        <f>+S303-'[6]Приложение №1'!$S292</f>
        <v>0</v>
      </c>
      <c r="AY303" s="29">
        <f>+T303-'[6]Приложение №1'!$T292</f>
        <v>0</v>
      </c>
    </row>
    <row r="304" spans="1:51" x14ac:dyDescent="0.25">
      <c r="A304" s="135">
        <f t="shared" si="133"/>
        <v>287</v>
      </c>
      <c r="B304" s="134">
        <f t="shared" si="133"/>
        <v>99</v>
      </c>
      <c r="C304" s="77" t="s">
        <v>72</v>
      </c>
      <c r="D304" s="77" t="s">
        <v>470</v>
      </c>
      <c r="E304" s="78">
        <v>1964</v>
      </c>
      <c r="F304" s="78">
        <v>1978</v>
      </c>
      <c r="G304" s="78" t="s">
        <v>44</v>
      </c>
      <c r="H304" s="78">
        <v>4</v>
      </c>
      <c r="I304" s="78">
        <v>4</v>
      </c>
      <c r="J304" s="44">
        <v>2691.4</v>
      </c>
      <c r="K304" s="44">
        <v>2511.6</v>
      </c>
      <c r="L304" s="44">
        <v>55</v>
      </c>
      <c r="M304" s="79">
        <v>136</v>
      </c>
      <c r="N304" s="129">
        <f t="shared" si="124"/>
        <v>1142240.9043090399</v>
      </c>
      <c r="O304" s="44"/>
      <c r="P304" s="68">
        <v>173872.46999999997</v>
      </c>
      <c r="Q304" s="68"/>
      <c r="R304" s="68">
        <f>+AQ304+AR304</f>
        <v>364376.02999999997</v>
      </c>
      <c r="S304" s="68">
        <f>+'Приложение №2'!E304-'Приложение №1'!P304-'Приложение №1'!R304</f>
        <v>603992.40430903994</v>
      </c>
      <c r="T304" s="44"/>
      <c r="U304" s="68">
        <f t="shared" si="134"/>
        <v>445.04048324984024</v>
      </c>
      <c r="V304" s="68">
        <f t="shared" si="134"/>
        <v>445.04048324984024</v>
      </c>
      <c r="W304" s="80">
        <v>2023</v>
      </c>
      <c r="X304" s="29" t="e">
        <f>+#REF!-'[1]Приложение №1'!$P1671</f>
        <v>#REF!</v>
      </c>
      <c r="Z304" s="31">
        <f t="shared" si="136"/>
        <v>27187931.989999998</v>
      </c>
      <c r="AA304" s="27">
        <v>5957834.6788287591</v>
      </c>
      <c r="AB304" s="27">
        <v>2123021.4274273203</v>
      </c>
      <c r="AC304" s="27">
        <v>2218085.0113825197</v>
      </c>
      <c r="AD304" s="27">
        <v>1388661.4588106403</v>
      </c>
      <c r="AE304" s="27">
        <v>849633.77513700002</v>
      </c>
      <c r="AF304" s="27"/>
      <c r="AG304" s="27">
        <v>228618.42683567997</v>
      </c>
      <c r="AH304" s="27">
        <v>0</v>
      </c>
      <c r="AI304" s="27">
        <v>10891828.3075938</v>
      </c>
      <c r="AJ304" s="27">
        <v>0</v>
      </c>
      <c r="AK304" s="27">
        <v>0</v>
      </c>
      <c r="AL304" s="27">
        <v>0</v>
      </c>
      <c r="AM304" s="27">
        <v>2741023.9698999999</v>
      </c>
      <c r="AN304" s="32">
        <v>271879.3199</v>
      </c>
      <c r="AO304" s="33">
        <v>517345.61418428004</v>
      </c>
      <c r="AP304" s="84">
        <f>+N304-'Приложение №2'!E304</f>
        <v>0</v>
      </c>
      <c r="AQ304" s="29">
        <f>1127947.91-R97</f>
        <v>96972.829999999958</v>
      </c>
      <c r="AR304" s="1">
        <f t="shared" si="135"/>
        <v>267403.2</v>
      </c>
      <c r="AS304" s="1">
        <f>+(K304*10+L304*20)*12*30-1866218.37-S97</f>
        <v>521500.30569096003</v>
      </c>
      <c r="AT304" s="29">
        <f t="shared" si="127"/>
        <v>82492.098618079908</v>
      </c>
    </row>
    <row r="305" spans="1:51" x14ac:dyDescent="0.25">
      <c r="A305" s="135">
        <f t="shared" si="133"/>
        <v>288</v>
      </c>
      <c r="B305" s="134">
        <f t="shared" si="133"/>
        <v>100</v>
      </c>
      <c r="C305" s="77" t="s">
        <v>72</v>
      </c>
      <c r="D305" s="77" t="s">
        <v>195</v>
      </c>
      <c r="E305" s="78">
        <v>1977</v>
      </c>
      <c r="F305" s="78">
        <v>2016</v>
      </c>
      <c r="G305" s="78" t="s">
        <v>44</v>
      </c>
      <c r="H305" s="78">
        <v>4</v>
      </c>
      <c r="I305" s="78">
        <v>3</v>
      </c>
      <c r="J305" s="44">
        <v>4282.03</v>
      </c>
      <c r="K305" s="44">
        <v>3649.25</v>
      </c>
      <c r="L305" s="44">
        <v>274</v>
      </c>
      <c r="M305" s="79">
        <v>288</v>
      </c>
      <c r="N305" s="72">
        <f t="shared" si="124"/>
        <v>9072553.7200000007</v>
      </c>
      <c r="O305" s="44"/>
      <c r="P305" s="68"/>
      <c r="Q305" s="68"/>
      <c r="R305" s="68">
        <f>+AQ305+AR305</f>
        <v>2186271.8200000003</v>
      </c>
      <c r="S305" s="68">
        <f>+'Приложение №2'!E305-'Приложение №1'!R305-P305</f>
        <v>6886281.9000000004</v>
      </c>
      <c r="T305" s="68">
        <v>0</v>
      </c>
      <c r="U305" s="44">
        <f t="shared" si="134"/>
        <v>2312.5097100618113</v>
      </c>
      <c r="V305" s="44">
        <f t="shared" si="134"/>
        <v>2312.5097100618113</v>
      </c>
      <c r="W305" s="80">
        <v>2023</v>
      </c>
      <c r="X305" s="29" t="e">
        <f>+#REF!-'[1]Приложение №1'!$P388</f>
        <v>#REF!</v>
      </c>
      <c r="Z305" s="31">
        <f t="shared" si="136"/>
        <v>23141293.460000001</v>
      </c>
      <c r="AA305" s="27">
        <v>8634085.2331297211</v>
      </c>
      <c r="AB305" s="27">
        <v>0</v>
      </c>
      <c r="AC305" s="27">
        <v>3214445.52658614</v>
      </c>
      <c r="AD305" s="27">
        <v>0</v>
      </c>
      <c r="AE305" s="27">
        <v>0</v>
      </c>
      <c r="AF305" s="27"/>
      <c r="AG305" s="27">
        <v>331313.48510400002</v>
      </c>
      <c r="AH305" s="27">
        <v>0</v>
      </c>
      <c r="AI305" s="27">
        <v>0</v>
      </c>
      <c r="AJ305" s="27">
        <v>0</v>
      </c>
      <c r="AK305" s="27">
        <v>8195344.7229868202</v>
      </c>
      <c r="AL305" s="27">
        <v>0</v>
      </c>
      <c r="AM305" s="27">
        <v>2089127.4416</v>
      </c>
      <c r="AN305" s="32">
        <v>231412.93460000001</v>
      </c>
      <c r="AO305" s="33">
        <v>445564.11599332013</v>
      </c>
      <c r="AP305" s="84">
        <f>+N305-'Приложение №2'!E305</f>
        <v>0</v>
      </c>
      <c r="AQ305" s="24">
        <v>1758152.32</v>
      </c>
      <c r="AR305" s="1">
        <f t="shared" si="135"/>
        <v>428119.5</v>
      </c>
      <c r="AS305" s="1">
        <f>+(K305*10+L305*20)*12*30</f>
        <v>15110100</v>
      </c>
      <c r="AT305" s="29">
        <f t="shared" si="127"/>
        <v>-8223818.0999999996</v>
      </c>
      <c r="AU305" s="29"/>
      <c r="AV305" s="29"/>
      <c r="AW305" s="29"/>
      <c r="AX305" s="29"/>
      <c r="AY305" s="29"/>
    </row>
    <row r="306" spans="1:51" x14ac:dyDescent="0.25">
      <c r="A306" s="135">
        <f t="shared" si="133"/>
        <v>289</v>
      </c>
      <c r="B306" s="134">
        <f t="shared" si="133"/>
        <v>101</v>
      </c>
      <c r="C306" s="77" t="s">
        <v>72</v>
      </c>
      <c r="D306" s="77" t="s">
        <v>472</v>
      </c>
      <c r="E306" s="78">
        <v>1964</v>
      </c>
      <c r="F306" s="78">
        <v>2013</v>
      </c>
      <c r="G306" s="78" t="s">
        <v>44</v>
      </c>
      <c r="H306" s="78">
        <v>4</v>
      </c>
      <c r="I306" s="78">
        <v>2</v>
      </c>
      <c r="J306" s="44">
        <v>1348</v>
      </c>
      <c r="K306" s="44">
        <v>1248.9000000000001</v>
      </c>
      <c r="L306" s="44">
        <v>0</v>
      </c>
      <c r="M306" s="79">
        <v>74</v>
      </c>
      <c r="N306" s="72">
        <f t="shared" si="124"/>
        <v>1447716.48246928</v>
      </c>
      <c r="O306" s="44"/>
      <c r="P306" s="68">
        <f>+'Приложение №2'!E306-'Приложение №1'!R306</f>
        <v>860590.1024692799</v>
      </c>
      <c r="Q306" s="68"/>
      <c r="R306" s="68">
        <f>+AQ306+AR306-86410.73</f>
        <v>587126.38000000012</v>
      </c>
      <c r="S306" s="68">
        <f>+'Приложение №2'!E306-'Приложение №1'!P306-'Приложение №1'!Q306-'Приложение №1'!R306</f>
        <v>0</v>
      </c>
      <c r="T306" s="68">
        <f>+'Приложение №2'!E306-'Приложение №1'!P306-'Приложение №1'!Q306-'Приложение №1'!R306-'Приложение №1'!S306</f>
        <v>0</v>
      </c>
      <c r="U306" s="44">
        <f t="shared" si="134"/>
        <v>1159.1932760583552</v>
      </c>
      <c r="V306" s="44">
        <f t="shared" si="134"/>
        <v>1159.1932760583552</v>
      </c>
      <c r="W306" s="80">
        <v>2023</v>
      </c>
      <c r="X306" s="29" t="e">
        <f>+#REF!-'[1]Приложение №1'!$P1638</f>
        <v>#REF!</v>
      </c>
      <c r="Z306" s="31">
        <f t="shared" si="136"/>
        <v>13604861.210000001</v>
      </c>
      <c r="AA306" s="27">
        <v>2981304.8663361603</v>
      </c>
      <c r="AB306" s="27">
        <v>1062361.4877094799</v>
      </c>
      <c r="AC306" s="27">
        <v>1109931.3752150398</v>
      </c>
      <c r="AD306" s="27">
        <v>694887.21792840003</v>
      </c>
      <c r="AE306" s="27">
        <v>425157.36756066006</v>
      </c>
      <c r="AF306" s="27"/>
      <c r="AG306" s="27">
        <v>114400.82936267999</v>
      </c>
      <c r="AH306" s="27">
        <v>0</v>
      </c>
      <c r="AI306" s="27">
        <v>5450278.9118777998</v>
      </c>
      <c r="AJ306" s="27">
        <v>0</v>
      </c>
      <c r="AK306" s="27">
        <v>0</v>
      </c>
      <c r="AL306" s="27">
        <v>0</v>
      </c>
      <c r="AM306" s="27">
        <v>1371610.4151999999</v>
      </c>
      <c r="AN306" s="32">
        <v>136048.6121</v>
      </c>
      <c r="AO306" s="33">
        <v>258880.12670978002</v>
      </c>
      <c r="AP306" s="84">
        <f>+N306-'Приложение №2'!E306</f>
        <v>0</v>
      </c>
      <c r="AQ306" s="1">
        <v>546149.31000000006</v>
      </c>
      <c r="AR306" s="1">
        <f t="shared" si="135"/>
        <v>127387.8</v>
      </c>
      <c r="AS306" s="1">
        <f>+(K306*10+L306*20)*12*30</f>
        <v>4496040</v>
      </c>
      <c r="AT306" s="29">
        <f t="shared" si="127"/>
        <v>-4496040</v>
      </c>
      <c r="AU306" s="29">
        <f>+P306-'[6]Приложение №1'!$P293</f>
        <v>0</v>
      </c>
      <c r="AV306" s="29">
        <f>+Q306-'[6]Приложение №1'!$Q293</f>
        <v>0</v>
      </c>
      <c r="AW306" s="29">
        <f>+R306-'[6]Приложение №1'!$R293</f>
        <v>0</v>
      </c>
      <c r="AX306" s="29">
        <f>+S306-'[6]Приложение №1'!$S293</f>
        <v>0</v>
      </c>
      <c r="AY306" s="29">
        <f>+T306-'[6]Приложение №1'!$T293</f>
        <v>0</v>
      </c>
    </row>
    <row r="307" spans="1:51" x14ac:dyDescent="0.25">
      <c r="A307" s="135">
        <f t="shared" si="133"/>
        <v>290</v>
      </c>
      <c r="B307" s="134">
        <f t="shared" si="133"/>
        <v>102</v>
      </c>
      <c r="C307" s="77" t="s">
        <v>72</v>
      </c>
      <c r="D307" s="77" t="s">
        <v>473</v>
      </c>
      <c r="E307" s="78">
        <v>1961</v>
      </c>
      <c r="F307" s="78">
        <v>2013</v>
      </c>
      <c r="G307" s="78" t="s">
        <v>44</v>
      </c>
      <c r="H307" s="78">
        <v>4</v>
      </c>
      <c r="I307" s="78">
        <v>3</v>
      </c>
      <c r="J307" s="44">
        <v>3049.5</v>
      </c>
      <c r="K307" s="44">
        <v>2277.6</v>
      </c>
      <c r="L307" s="44">
        <v>771.9</v>
      </c>
      <c r="M307" s="79">
        <v>94</v>
      </c>
      <c r="N307" s="72">
        <f t="shared" si="124"/>
        <v>2775681.0349999997</v>
      </c>
      <c r="O307" s="44"/>
      <c r="P307" s="68"/>
      <c r="Q307" s="68"/>
      <c r="R307" s="68">
        <f>+AQ307+AR307</f>
        <v>1931902.32</v>
      </c>
      <c r="S307" s="68">
        <f>+'Приложение №2'!E307-'Приложение №1'!R307</f>
        <v>843778.71499999962</v>
      </c>
      <c r="T307" s="68">
        <v>1.1641532182693481E-10</v>
      </c>
      <c r="U307" s="44">
        <f t="shared" si="134"/>
        <v>910.20857025741918</v>
      </c>
      <c r="V307" s="44">
        <f t="shared" si="134"/>
        <v>910.20857025741918</v>
      </c>
      <c r="W307" s="80">
        <v>2023</v>
      </c>
      <c r="X307" s="29" t="e">
        <f>+#REF!-'[1]Приложение №1'!$P1597</f>
        <v>#REF!</v>
      </c>
      <c r="Z307" s="31">
        <f t="shared" si="136"/>
        <v>13067933.899999999</v>
      </c>
      <c r="AA307" s="27">
        <v>5253036.7368624602</v>
      </c>
      <c r="AB307" s="27">
        <v>1871872.94908698</v>
      </c>
      <c r="AC307" s="27">
        <v>1955690.7227369398</v>
      </c>
      <c r="AD307" s="27">
        <v>1224386.0518469999</v>
      </c>
      <c r="AE307" s="27">
        <v>749124.08010090003</v>
      </c>
      <c r="AF307" s="27"/>
      <c r="AG307" s="27">
        <v>201573.40567307998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1435431.6034000001</v>
      </c>
      <c r="AN307" s="32">
        <v>130679.33899999999</v>
      </c>
      <c r="AO307" s="33">
        <v>246139.01129264</v>
      </c>
      <c r="AP307" s="84">
        <f>+N307-'Приложение №2'!E307</f>
        <v>0</v>
      </c>
      <c r="AQ307" s="29">
        <f>1647685.87-R103</f>
        <v>1542119.52</v>
      </c>
      <c r="AR307" s="1">
        <f t="shared" si="135"/>
        <v>389782.8</v>
      </c>
      <c r="AS307" s="1">
        <f>+(K307*10+L307*20)*12*30-S103</f>
        <v>12760046.104623919</v>
      </c>
      <c r="AT307" s="29">
        <f t="shared" si="127"/>
        <v>-11916267.38962392</v>
      </c>
      <c r="AU307" s="29">
        <f>+P307-'[6]Приложение №1'!$P294</f>
        <v>0</v>
      </c>
      <c r="AV307" s="29">
        <f>+Q307-'[6]Приложение №1'!$Q294</f>
        <v>0</v>
      </c>
      <c r="AW307" s="29">
        <f>+R307-'[6]Приложение №1'!$R294</f>
        <v>1564866.87</v>
      </c>
      <c r="AX307" s="29">
        <f>+S307-'[6]Приложение №1'!$S294</f>
        <v>-40346.730000000447</v>
      </c>
      <c r="AY307" s="29">
        <f>+T307-'[6]Приложение №1'!$T294</f>
        <v>0</v>
      </c>
    </row>
    <row r="308" spans="1:51" x14ac:dyDescent="0.25">
      <c r="A308" s="135">
        <f t="shared" si="133"/>
        <v>291</v>
      </c>
      <c r="B308" s="134">
        <f t="shared" si="133"/>
        <v>103</v>
      </c>
      <c r="C308" s="77" t="s">
        <v>72</v>
      </c>
      <c r="D308" s="77" t="s">
        <v>353</v>
      </c>
      <c r="E308" s="78">
        <v>1981</v>
      </c>
      <c r="F308" s="78">
        <v>2013</v>
      </c>
      <c r="G308" s="78" t="s">
        <v>51</v>
      </c>
      <c r="H308" s="78">
        <v>5</v>
      </c>
      <c r="I308" s="78">
        <v>4</v>
      </c>
      <c r="J308" s="44">
        <v>4887.3</v>
      </c>
      <c r="K308" s="44">
        <v>4312.8999999999996</v>
      </c>
      <c r="L308" s="44">
        <v>0</v>
      </c>
      <c r="M308" s="79">
        <v>194</v>
      </c>
      <c r="N308" s="72">
        <f t="shared" si="124"/>
        <v>14886688.384542881</v>
      </c>
      <c r="O308" s="44"/>
      <c r="P308" s="68">
        <v>10420005.460000001</v>
      </c>
      <c r="Q308" s="68"/>
      <c r="R308" s="68">
        <v>729880.66454287991</v>
      </c>
      <c r="S308" s="68">
        <v>3736802.26</v>
      </c>
      <c r="T308" s="44">
        <f>+'Приложение №2'!E308-'Приложение №1'!P308-'Приложение №1'!Q308-'Приложение №1'!R308-'Приложение №1'!S308</f>
        <v>0</v>
      </c>
      <c r="U308" s="68">
        <f t="shared" si="134"/>
        <v>3451.6655578712425</v>
      </c>
      <c r="V308" s="68">
        <f t="shared" si="134"/>
        <v>3451.6655578712425</v>
      </c>
      <c r="W308" s="80">
        <v>2023</v>
      </c>
      <c r="X308" s="29" t="e">
        <f>+#REF!-'[1]Приложение №1'!$P1077</f>
        <v>#REF!</v>
      </c>
      <c r="Z308" s="31">
        <f t="shared" si="136"/>
        <v>78714458.100000009</v>
      </c>
      <c r="AA308" s="27">
        <v>7207971.2584861796</v>
      </c>
      <c r="AB308" s="27">
        <v>4168566.8282411997</v>
      </c>
      <c r="AC308" s="27">
        <v>4406483.7908326201</v>
      </c>
      <c r="AD308" s="27">
        <v>3359981.3480309998</v>
      </c>
      <c r="AE308" s="27">
        <v>1342243.77142212</v>
      </c>
      <c r="AF308" s="27"/>
      <c r="AG308" s="27">
        <v>358162.19323499996</v>
      </c>
      <c r="AH308" s="27">
        <v>0</v>
      </c>
      <c r="AI308" s="27">
        <v>12831286.273936201</v>
      </c>
      <c r="AJ308" s="27">
        <v>0</v>
      </c>
      <c r="AK308" s="27">
        <v>24912015.084657121</v>
      </c>
      <c r="AL308" s="27">
        <v>9797576.0184224993</v>
      </c>
      <c r="AM308" s="27">
        <v>8047601.1061000004</v>
      </c>
      <c r="AN308" s="32">
        <v>787144.58100000001</v>
      </c>
      <c r="AO308" s="33">
        <v>1495425.8456360602</v>
      </c>
      <c r="AP308" s="84">
        <f>+N308-'Приложение №2'!E308</f>
        <v>0</v>
      </c>
      <c r="AQ308" s="1">
        <v>1978942.68</v>
      </c>
      <c r="AR308" s="1">
        <f t="shared" si="135"/>
        <v>439915.8</v>
      </c>
      <c r="AS308" s="1">
        <f>+(K308*10+L308*20)*12*30</f>
        <v>15526440</v>
      </c>
      <c r="AT308" s="29">
        <f t="shared" si="127"/>
        <v>-11789637.74</v>
      </c>
      <c r="AU308" s="29">
        <f>+P308-'[6]Приложение №1'!$P295</f>
        <v>0</v>
      </c>
      <c r="AV308" s="29">
        <f>+Q308-'[6]Приложение №1'!$Q295</f>
        <v>0</v>
      </c>
      <c r="AW308" s="29">
        <f>+R308-'[6]Приложение №1'!$R295</f>
        <v>0</v>
      </c>
      <c r="AX308" s="29">
        <f>+S308-'[6]Приложение №1'!$S295</f>
        <v>0</v>
      </c>
      <c r="AY308" s="29">
        <f>+T308-'[6]Приложение №1'!$T295</f>
        <v>0</v>
      </c>
    </row>
    <row r="309" spans="1:51" x14ac:dyDescent="0.25">
      <c r="A309" s="135">
        <f t="shared" si="133"/>
        <v>292</v>
      </c>
      <c r="B309" s="134">
        <f t="shared" si="133"/>
        <v>104</v>
      </c>
      <c r="C309" s="77" t="s">
        <v>72</v>
      </c>
      <c r="D309" s="77" t="s">
        <v>356</v>
      </c>
      <c r="E309" s="78">
        <v>1979</v>
      </c>
      <c r="F309" s="78">
        <v>2013</v>
      </c>
      <c r="G309" s="78" t="s">
        <v>51</v>
      </c>
      <c r="H309" s="78">
        <v>4</v>
      </c>
      <c r="I309" s="78">
        <v>4</v>
      </c>
      <c r="J309" s="44">
        <v>3969.95</v>
      </c>
      <c r="K309" s="44">
        <v>3453.7</v>
      </c>
      <c r="L309" s="44">
        <v>0</v>
      </c>
      <c r="M309" s="79">
        <v>154</v>
      </c>
      <c r="N309" s="72">
        <f t="shared" si="124"/>
        <v>2425305.8059979999</v>
      </c>
      <c r="O309" s="44"/>
      <c r="P309" s="68"/>
      <c r="Q309" s="68"/>
      <c r="R309" s="68">
        <f>+AQ309+AR309-102179.5</f>
        <v>1705810.5499999998</v>
      </c>
      <c r="S309" s="68">
        <f>+'Приложение №2'!E309-'Приложение №1'!R309</f>
        <v>719495.25599800004</v>
      </c>
      <c r="T309" s="44">
        <f>+'Приложение №2'!E309-'Приложение №1'!P309-'Приложение №1'!Q309-'Приложение №1'!R309-'Приложение №1'!S309</f>
        <v>0</v>
      </c>
      <c r="U309" s="68">
        <f t="shared" si="134"/>
        <v>702.23406954802101</v>
      </c>
      <c r="V309" s="68">
        <f t="shared" si="134"/>
        <v>702.23406954802101</v>
      </c>
      <c r="W309" s="80">
        <v>2023</v>
      </c>
      <c r="X309" s="29" t="e">
        <f>+#REF!-'[1]Приложение №1'!$P1280</f>
        <v>#REF!</v>
      </c>
      <c r="Z309" s="31">
        <f t="shared" si="136"/>
        <v>19594173.580000002</v>
      </c>
      <c r="AA309" s="27">
        <v>5813706.7057906203</v>
      </c>
      <c r="AB309" s="27">
        <v>3362225.5261996798</v>
      </c>
      <c r="AC309" s="27">
        <v>3554121.3229787997</v>
      </c>
      <c r="AD309" s="27">
        <v>2710047.7279637996</v>
      </c>
      <c r="AE309" s="27">
        <v>1082608.5872498399</v>
      </c>
      <c r="AF309" s="27"/>
      <c r="AG309" s="27">
        <v>288881.55977184005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2219004.9588999995</v>
      </c>
      <c r="AN309" s="32">
        <v>195941.73580000002</v>
      </c>
      <c r="AO309" s="33">
        <v>367635.45534541999</v>
      </c>
      <c r="AP309" s="84">
        <f>+N309-'Приложение №2'!E309</f>
        <v>0</v>
      </c>
      <c r="AQ309" s="1">
        <v>1455712.65</v>
      </c>
      <c r="AR309" s="1">
        <f t="shared" si="135"/>
        <v>352277.39999999997</v>
      </c>
      <c r="AS309" s="1">
        <f>+(K309*10+L309*20)*12*30</f>
        <v>12433320</v>
      </c>
      <c r="AT309" s="29">
        <f t="shared" si="127"/>
        <v>-11713824.744001999</v>
      </c>
      <c r="AU309" s="29">
        <f>+P309-'[6]Приложение №1'!$P296</f>
        <v>0</v>
      </c>
      <c r="AV309" s="29">
        <f>+Q309-'[6]Приложение №1'!$Q296</f>
        <v>0</v>
      </c>
      <c r="AW309" s="29">
        <f>+R309-'[6]Приложение №1'!$R296</f>
        <v>0</v>
      </c>
      <c r="AX309" s="29">
        <f>+S309-'[6]Приложение №1'!$S296</f>
        <v>0</v>
      </c>
      <c r="AY309" s="29">
        <f>+T309-'[6]Приложение №1'!$T296</f>
        <v>0</v>
      </c>
    </row>
    <row r="310" spans="1:51" x14ac:dyDescent="0.25">
      <c r="A310" s="135">
        <f t="shared" si="133"/>
        <v>293</v>
      </c>
      <c r="B310" s="134">
        <f t="shared" si="133"/>
        <v>105</v>
      </c>
      <c r="C310" s="77" t="s">
        <v>72</v>
      </c>
      <c r="D310" s="77" t="s">
        <v>474</v>
      </c>
      <c r="E310" s="78">
        <v>1963</v>
      </c>
      <c r="F310" s="78">
        <v>2005</v>
      </c>
      <c r="G310" s="78" t="s">
        <v>44</v>
      </c>
      <c r="H310" s="78">
        <v>4</v>
      </c>
      <c r="I310" s="78">
        <v>2</v>
      </c>
      <c r="J310" s="44">
        <v>1240.4000000000001</v>
      </c>
      <c r="K310" s="44">
        <v>1075.8</v>
      </c>
      <c r="L310" s="44">
        <v>111.9</v>
      </c>
      <c r="M310" s="79">
        <v>70</v>
      </c>
      <c r="N310" s="72">
        <f t="shared" si="124"/>
        <v>3379171.1646039202</v>
      </c>
      <c r="O310" s="44"/>
      <c r="P310" s="68"/>
      <c r="Q310" s="68"/>
      <c r="R310" s="68">
        <f>+AQ310+AR310-247714.13</f>
        <v>554474.5199999999</v>
      </c>
      <c r="S310" s="68">
        <f>+'Приложение №2'!E310-'Приложение №1'!R310</f>
        <v>2824696.6446039202</v>
      </c>
      <c r="T310" s="68">
        <f>+'Приложение №2'!E310-'Приложение №1'!P310-'Приложение №1'!Q310-'Приложение №1'!R310-'Приложение №1'!S310</f>
        <v>0</v>
      </c>
      <c r="U310" s="44">
        <f t="shared" si="134"/>
        <v>2845.1386415794564</v>
      </c>
      <c r="V310" s="44">
        <f t="shared" si="134"/>
        <v>2845.1386415794564</v>
      </c>
      <c r="W310" s="80">
        <v>2023</v>
      </c>
      <c r="X310" s="29" t="e">
        <f>+#REF!-'[1]Приложение №1'!$P1641</f>
        <v>#REF!</v>
      </c>
      <c r="Z310" s="31">
        <f t="shared" si="136"/>
        <v>6371609.4744707597</v>
      </c>
      <c r="AA310" s="27">
        <v>2696472.9036772796</v>
      </c>
      <c r="AB310" s="27">
        <v>960864.14913719997</v>
      </c>
      <c r="AC310" s="27"/>
      <c r="AD310" s="27">
        <v>628498.13628335996</v>
      </c>
      <c r="AE310" s="27">
        <v>384538.10584644001</v>
      </c>
      <c r="AF310" s="27"/>
      <c r="AG310" s="27">
        <v>103471.04618424</v>
      </c>
      <c r="AH310" s="27">
        <v>0</v>
      </c>
      <c r="AI310" s="27"/>
      <c r="AJ310" s="27">
        <v>0</v>
      </c>
      <c r="AK310" s="27">
        <v>0</v>
      </c>
      <c r="AL310" s="27">
        <v>0</v>
      </c>
      <c r="AM310" s="27">
        <v>1240567.6336999999</v>
      </c>
      <c r="AN310" s="32">
        <v>123050.61470000001</v>
      </c>
      <c r="AO310" s="33">
        <v>234146.88494223999</v>
      </c>
      <c r="AP310" s="84">
        <f>+N310-'Приложение №2'!E310</f>
        <v>0</v>
      </c>
      <c r="AQ310" s="1">
        <v>669629.44999999995</v>
      </c>
      <c r="AR310" s="1">
        <f t="shared" si="135"/>
        <v>132559.19999999998</v>
      </c>
      <c r="AS310" s="1">
        <f>+(K310*10+L310*20)*12*30-1442997.24</f>
        <v>3235562.76</v>
      </c>
      <c r="AT310" s="29">
        <f t="shared" si="127"/>
        <v>-410866.11539607961</v>
      </c>
      <c r="AU310" s="29">
        <f>+P310-'[6]Приложение №1'!$P297</f>
        <v>0</v>
      </c>
      <c r="AV310" s="29">
        <f>+Q310-'[6]Приложение №1'!$Q297</f>
        <v>0</v>
      </c>
      <c r="AW310" s="29">
        <f>+R310-'[6]Приложение №1'!$R297</f>
        <v>0</v>
      </c>
      <c r="AX310" s="29">
        <f>+S310-'[6]Приложение №1'!$S297</f>
        <v>0</v>
      </c>
      <c r="AY310" s="29">
        <f>+T310-'[6]Приложение №1'!$T297</f>
        <v>0</v>
      </c>
    </row>
    <row r="311" spans="1:51" s="35" customFormat="1" x14ac:dyDescent="0.25">
      <c r="A311" s="135">
        <f t="shared" si="133"/>
        <v>294</v>
      </c>
      <c r="B311" s="134">
        <f t="shared" si="133"/>
        <v>106</v>
      </c>
      <c r="C311" s="77" t="s">
        <v>568</v>
      </c>
      <c r="D311" s="77" t="s">
        <v>651</v>
      </c>
      <c r="E311" s="78" t="s">
        <v>592</v>
      </c>
      <c r="F311" s="78"/>
      <c r="G311" s="78" t="s">
        <v>570</v>
      </c>
      <c r="H311" s="78" t="s">
        <v>579</v>
      </c>
      <c r="I311" s="78" t="s">
        <v>572</v>
      </c>
      <c r="J311" s="44">
        <v>2017.1</v>
      </c>
      <c r="K311" s="44">
        <v>1568.7</v>
      </c>
      <c r="L311" s="44">
        <v>241.9</v>
      </c>
      <c r="M311" s="79">
        <v>64</v>
      </c>
      <c r="N311" s="72">
        <f t="shared" si="124"/>
        <v>28649224.581331842</v>
      </c>
      <c r="O311" s="44">
        <v>0</v>
      </c>
      <c r="P311" s="68">
        <v>6968602.897110614</v>
      </c>
      <c r="Q311" s="68">
        <v>0</v>
      </c>
      <c r="R311" s="68">
        <f>+AQ311+AR311</f>
        <v>1239934.29</v>
      </c>
      <c r="S311" s="68">
        <f>+AS311</f>
        <v>7389000</v>
      </c>
      <c r="T311" s="68">
        <f>+'Приложение №2'!E311-'Приложение №1'!P311-'Приложение №1'!R311-'Приложение №1'!S311</f>
        <v>13051687.394221228</v>
      </c>
      <c r="U311" s="44">
        <f t="shared" si="134"/>
        <v>15823.055661842394</v>
      </c>
      <c r="V311" s="44">
        <f t="shared" si="134"/>
        <v>15823.055661842394</v>
      </c>
      <c r="W311" s="80">
        <v>2023</v>
      </c>
      <c r="X311" s="35">
        <v>737547.36</v>
      </c>
      <c r="Y311" s="35">
        <f>+(K311*9.1+L311*18.19)*12</f>
        <v>224103.97199999998</v>
      </c>
      <c r="AA311" s="36">
        <f>+N311-'[5]Приложение № 2'!E283</f>
        <v>24291687.991331842</v>
      </c>
      <c r="AD311" s="36">
        <f>+N311-'[5]Приложение № 2'!E283</f>
        <v>24291687.991331842</v>
      </c>
      <c r="AP311" s="84">
        <f>+N311-'Приложение №2'!E311</f>
        <v>0</v>
      </c>
      <c r="AQ311" s="35">
        <v>1030579.29</v>
      </c>
      <c r="AR311" s="1">
        <f t="shared" si="135"/>
        <v>209355</v>
      </c>
      <c r="AS311" s="1">
        <f>+(K311*10+L311*20)*12*30</f>
        <v>7389000</v>
      </c>
      <c r="AT311" s="29">
        <f t="shared" si="127"/>
        <v>0</v>
      </c>
      <c r="AU311" s="29">
        <f>+P311-'[6]Приложение №1'!$P298</f>
        <v>0</v>
      </c>
      <c r="AV311" s="29">
        <f>+Q311-'[6]Приложение №1'!$Q298</f>
        <v>0</v>
      </c>
      <c r="AW311" s="29">
        <f>+R311-'[6]Приложение №1'!$R298</f>
        <v>0</v>
      </c>
      <c r="AX311" s="29">
        <f>+S311-'[6]Приложение №1'!$S298</f>
        <v>0</v>
      </c>
      <c r="AY311" s="29">
        <f>+T311-'[6]Приложение №1'!$T298</f>
        <v>0</v>
      </c>
    </row>
    <row r="312" spans="1:51" x14ac:dyDescent="0.25">
      <c r="A312" s="135">
        <f t="shared" ref="A312:B327" si="137">+A311+1</f>
        <v>295</v>
      </c>
      <c r="B312" s="134">
        <f t="shared" si="137"/>
        <v>107</v>
      </c>
      <c r="C312" s="77" t="s">
        <v>72</v>
      </c>
      <c r="D312" s="77" t="s">
        <v>359</v>
      </c>
      <c r="E312" s="78">
        <v>1977</v>
      </c>
      <c r="F312" s="78">
        <v>2013</v>
      </c>
      <c r="G312" s="78" t="s">
        <v>51</v>
      </c>
      <c r="H312" s="78">
        <v>4</v>
      </c>
      <c r="I312" s="78">
        <v>4</v>
      </c>
      <c r="J312" s="44">
        <v>3916.4</v>
      </c>
      <c r="K312" s="44">
        <v>3440.3</v>
      </c>
      <c r="L312" s="44">
        <v>0</v>
      </c>
      <c r="M312" s="79">
        <v>163</v>
      </c>
      <c r="N312" s="72">
        <f t="shared" si="124"/>
        <v>13829756.653114039</v>
      </c>
      <c r="O312" s="44"/>
      <c r="P312" s="68">
        <v>3132903.93</v>
      </c>
      <c r="Q312" s="68"/>
      <c r="R312" s="68">
        <f>+AQ312+AR312</f>
        <v>101933.18000000005</v>
      </c>
      <c r="S312" s="68">
        <v>0</v>
      </c>
      <c r="T312" s="68">
        <f>+'Приложение №2'!E312-'Приложение №1'!P312-'Приложение №1'!R312-'Приложение №1'!S312</f>
        <v>10594919.54311404</v>
      </c>
      <c r="U312" s="44">
        <f t="shared" si="134"/>
        <v>4019.9275217609043</v>
      </c>
      <c r="V312" s="44">
        <f t="shared" si="134"/>
        <v>4019.9275217609043</v>
      </c>
      <c r="W312" s="80">
        <v>2023</v>
      </c>
      <c r="X312" s="29" t="e">
        <f>+#REF!-'[1]Приложение №1'!$P1319</f>
        <v>#REF!</v>
      </c>
      <c r="Z312" s="31">
        <f t="shared" ref="Z312:Z324" si="138">SUM(AA312:AO312)</f>
        <v>62685332.069999993</v>
      </c>
      <c r="AA312" s="27">
        <v>5740166.195995139</v>
      </c>
      <c r="AB312" s="27">
        <v>3319695.0395049001</v>
      </c>
      <c r="AC312" s="27">
        <v>3509163.4526478597</v>
      </c>
      <c r="AD312" s="27">
        <v>2675766.9644319597</v>
      </c>
      <c r="AE312" s="27">
        <v>1068914.1259818</v>
      </c>
      <c r="AF312" s="27"/>
      <c r="AG312" s="27">
        <v>285227.34661260003</v>
      </c>
      <c r="AH312" s="27">
        <v>0</v>
      </c>
      <c r="AI312" s="27">
        <v>10218369.797231399</v>
      </c>
      <c r="AJ312" s="27">
        <v>0</v>
      </c>
      <c r="AK312" s="27">
        <v>19839022.919366278</v>
      </c>
      <c r="AL312" s="27">
        <v>7802433.2655801</v>
      </c>
      <c r="AM312" s="27">
        <v>6408816.8779000007</v>
      </c>
      <c r="AN312" s="32">
        <v>626853.32070000004</v>
      </c>
      <c r="AO312" s="33">
        <v>1190902.7640479603</v>
      </c>
      <c r="AP312" s="84">
        <f>+N312-'Приложение №2'!E312</f>
        <v>0</v>
      </c>
      <c r="AQ312" s="29">
        <f>1681538.39-R106</f>
        <v>-248977.41999999993</v>
      </c>
      <c r="AR312" s="1">
        <f t="shared" si="135"/>
        <v>350910.6</v>
      </c>
      <c r="AS312" s="1">
        <f>+(K312*10+L312*20)*12*30-S106</f>
        <v>-3346946.8320866376</v>
      </c>
      <c r="AT312" s="29">
        <f t="shared" si="127"/>
        <v>3346946.8320866376</v>
      </c>
      <c r="AU312" s="29">
        <f>+P312-'[6]Приложение №1'!$P300</f>
        <v>-236791.17584866658</v>
      </c>
      <c r="AV312" s="29">
        <f>+Q312-'[6]Приложение №1'!$Q300</f>
        <v>0</v>
      </c>
      <c r="AW312" s="29">
        <f>+R312-'[6]Приложение №1'!$R300</f>
        <v>0</v>
      </c>
      <c r="AX312" s="29">
        <f>+S312-'[6]Приложение №1'!$S300</f>
        <v>0</v>
      </c>
      <c r="AY312" s="29">
        <f>+T312-'[6]Приложение №1'!$T300</f>
        <v>4285342.5558486674</v>
      </c>
    </row>
    <row r="313" spans="1:51" x14ac:dyDescent="0.25">
      <c r="A313" s="135">
        <f t="shared" si="137"/>
        <v>296</v>
      </c>
      <c r="B313" s="134">
        <f t="shared" si="137"/>
        <v>108</v>
      </c>
      <c r="C313" s="77" t="s">
        <v>72</v>
      </c>
      <c r="D313" s="77" t="s">
        <v>196</v>
      </c>
      <c r="E313" s="78">
        <v>1972</v>
      </c>
      <c r="F313" s="78">
        <v>2013</v>
      </c>
      <c r="G313" s="78" t="s">
        <v>51</v>
      </c>
      <c r="H313" s="78">
        <v>4</v>
      </c>
      <c r="I313" s="78">
        <v>4</v>
      </c>
      <c r="J313" s="44">
        <v>4697.3599999999997</v>
      </c>
      <c r="K313" s="44">
        <v>3448.5</v>
      </c>
      <c r="L313" s="44">
        <v>0</v>
      </c>
      <c r="M313" s="79">
        <v>140</v>
      </c>
      <c r="N313" s="72">
        <f t="shared" si="124"/>
        <v>1535156.8941092999</v>
      </c>
      <c r="O313" s="44"/>
      <c r="P313" s="68"/>
      <c r="Q313" s="68"/>
      <c r="R313" s="68">
        <f>+'Приложение №2'!E313</f>
        <v>1535156.8941092999</v>
      </c>
      <c r="S313" s="68">
        <f>+'Приложение №2'!E313-'Приложение №1'!R313</f>
        <v>0</v>
      </c>
      <c r="T313" s="68">
        <v>0</v>
      </c>
      <c r="U313" s="44">
        <f t="shared" si="134"/>
        <v>445.16656346507176</v>
      </c>
      <c r="V313" s="44">
        <f t="shared" si="134"/>
        <v>445.16656346507176</v>
      </c>
      <c r="W313" s="80">
        <v>2023</v>
      </c>
      <c r="X313" s="29" t="e">
        <f>+#REF!-'[1]Приложение №1'!$P682</f>
        <v>#REF!</v>
      </c>
      <c r="Y313" s="1" t="s">
        <v>548</v>
      </c>
      <c r="Z313" s="31">
        <f t="shared" si="138"/>
        <v>10605893.634176001</v>
      </c>
      <c r="AA313" s="27">
        <v>0</v>
      </c>
      <c r="AB313" s="27">
        <v>0</v>
      </c>
      <c r="AC313" s="27">
        <v>0</v>
      </c>
      <c r="AD313" s="27">
        <v>0</v>
      </c>
      <c r="AE313" s="27">
        <v>1356649.13</v>
      </c>
      <c r="AF313" s="27"/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7865518.9895666996</v>
      </c>
      <c r="AM313" s="27">
        <v>1112408.5150000001</v>
      </c>
      <c r="AN313" s="32">
        <v>92809.23550000001</v>
      </c>
      <c r="AO313" s="33">
        <v>178507.76410930001</v>
      </c>
      <c r="AP313" s="84">
        <f>+N313-'Приложение №2'!E313</f>
        <v>0</v>
      </c>
      <c r="AQ313" s="1">
        <v>1644538</v>
      </c>
      <c r="AR313" s="1">
        <f t="shared" si="135"/>
        <v>351747</v>
      </c>
      <c r="AS313" s="1">
        <f t="shared" ref="AS313:AS320" si="139">+(K313*10+L313*20)*12*30</f>
        <v>12414600</v>
      </c>
      <c r="AT313" s="29">
        <f t="shared" si="127"/>
        <v>-12414600</v>
      </c>
      <c r="AU313" s="29">
        <f>+P313-'[6]Приложение №1'!$P301</f>
        <v>0</v>
      </c>
      <c r="AV313" s="29">
        <f>+Q313-'[6]Приложение №1'!$Q301</f>
        <v>0</v>
      </c>
      <c r="AW313" s="29">
        <f>+R313-'[6]Приложение №1'!$R301</f>
        <v>0</v>
      </c>
      <c r="AX313" s="29">
        <f>+S313-'[6]Приложение №1'!$S301</f>
        <v>0</v>
      </c>
      <c r="AY313" s="29">
        <f>+T313-'[6]Приложение №1'!$T301</f>
        <v>0</v>
      </c>
    </row>
    <row r="314" spans="1:51" x14ac:dyDescent="0.25">
      <c r="A314" s="135">
        <f t="shared" si="137"/>
        <v>297</v>
      </c>
      <c r="B314" s="134">
        <f t="shared" si="137"/>
        <v>109</v>
      </c>
      <c r="C314" s="77" t="s">
        <v>72</v>
      </c>
      <c r="D314" s="77" t="s">
        <v>197</v>
      </c>
      <c r="E314" s="78">
        <v>1971</v>
      </c>
      <c r="F314" s="78">
        <v>2013</v>
      </c>
      <c r="G314" s="78" t="s">
        <v>51</v>
      </c>
      <c r="H314" s="78">
        <v>4</v>
      </c>
      <c r="I314" s="78">
        <v>4</v>
      </c>
      <c r="J314" s="44">
        <v>4741.46</v>
      </c>
      <c r="K314" s="44">
        <v>3462.3</v>
      </c>
      <c r="L314" s="44">
        <v>0</v>
      </c>
      <c r="M314" s="79">
        <v>145</v>
      </c>
      <c r="N314" s="72">
        <f t="shared" si="124"/>
        <v>1572957.3080766001</v>
      </c>
      <c r="O314" s="44"/>
      <c r="P314" s="68"/>
      <c r="Q314" s="68"/>
      <c r="R314" s="68">
        <f>+'Приложение №2'!E314</f>
        <v>1572957.3080766001</v>
      </c>
      <c r="S314" s="68">
        <f>+'Приложение №2'!E314-'Приложение №1'!R314</f>
        <v>0</v>
      </c>
      <c r="T314" s="68">
        <v>0</v>
      </c>
      <c r="U314" s="44">
        <f t="shared" si="134"/>
        <v>454.30994081292783</v>
      </c>
      <c r="V314" s="44">
        <f t="shared" si="134"/>
        <v>454.30994081292783</v>
      </c>
      <c r="W314" s="80">
        <v>2023</v>
      </c>
      <c r="X314" s="29" t="e">
        <f>+#REF!-'[1]Приложение №1'!$P683</f>
        <v>#REF!</v>
      </c>
      <c r="Z314" s="31">
        <f t="shared" si="138"/>
        <v>2790814.3390765996</v>
      </c>
      <c r="AA314" s="27">
        <v>0</v>
      </c>
      <c r="AB314" s="27">
        <v>0</v>
      </c>
      <c r="AC314" s="27">
        <v>0</v>
      </c>
      <c r="AD314" s="27">
        <v>0</v>
      </c>
      <c r="AE314" s="27">
        <v>1392786.91</v>
      </c>
      <c r="AF314" s="27"/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/>
      <c r="AM314" s="27">
        <v>1123898.77</v>
      </c>
      <c r="AN314" s="32">
        <v>93958.260999999999</v>
      </c>
      <c r="AO314" s="33">
        <v>180170.39807660005</v>
      </c>
      <c r="AP314" s="84">
        <f>+N314-'Приложение №2'!E314</f>
        <v>0</v>
      </c>
      <c r="AQ314" s="1">
        <v>1642541.21</v>
      </c>
      <c r="AR314" s="1">
        <f t="shared" si="135"/>
        <v>353154.6</v>
      </c>
      <c r="AS314" s="1">
        <f t="shared" si="139"/>
        <v>12464280</v>
      </c>
      <c r="AT314" s="29">
        <f t="shared" si="127"/>
        <v>-12464280</v>
      </c>
      <c r="AU314" s="29">
        <f>+P314-'[6]Приложение №1'!$P302</f>
        <v>0</v>
      </c>
      <c r="AV314" s="29">
        <f>+Q314-'[6]Приложение №1'!$Q302</f>
        <v>0</v>
      </c>
      <c r="AW314" s="29">
        <f>+R314-'[6]Приложение №1'!$R302</f>
        <v>0</v>
      </c>
      <c r="AX314" s="29">
        <f>+S314-'[6]Приложение №1'!$S302</f>
        <v>0</v>
      </c>
      <c r="AY314" s="29">
        <f>+T314-'[6]Приложение №1'!$T302</f>
        <v>0</v>
      </c>
    </row>
    <row r="315" spans="1:51" x14ac:dyDescent="0.25">
      <c r="A315" s="135">
        <f t="shared" si="137"/>
        <v>298</v>
      </c>
      <c r="B315" s="134">
        <f t="shared" si="137"/>
        <v>110</v>
      </c>
      <c r="C315" s="77" t="s">
        <v>72</v>
      </c>
      <c r="D315" s="77" t="s">
        <v>198</v>
      </c>
      <c r="E315" s="78">
        <v>1972</v>
      </c>
      <c r="F315" s="78">
        <v>2013</v>
      </c>
      <c r="G315" s="78" t="s">
        <v>51</v>
      </c>
      <c r="H315" s="78">
        <v>4</v>
      </c>
      <c r="I315" s="78">
        <v>4</v>
      </c>
      <c r="J315" s="44">
        <v>4744.0600000000004</v>
      </c>
      <c r="K315" s="44">
        <v>3488.5</v>
      </c>
      <c r="L315" s="44">
        <v>0</v>
      </c>
      <c r="M315" s="79">
        <v>131</v>
      </c>
      <c r="N315" s="72">
        <f t="shared" si="124"/>
        <v>1352653.874176</v>
      </c>
      <c r="O315" s="44"/>
      <c r="P315" s="68"/>
      <c r="Q315" s="68"/>
      <c r="R315" s="68">
        <f>+'Приложение №2'!E315</f>
        <v>1352653.874176</v>
      </c>
      <c r="S315" s="68">
        <f>+'Приложение №2'!E315-'Приложение №1'!R315</f>
        <v>0</v>
      </c>
      <c r="T315" s="68">
        <v>0</v>
      </c>
      <c r="U315" s="44">
        <f t="shared" si="134"/>
        <v>387.74655988992401</v>
      </c>
      <c r="V315" s="44">
        <f t="shared" si="134"/>
        <v>387.74655988992401</v>
      </c>
      <c r="W315" s="80">
        <v>2023</v>
      </c>
      <c r="X315" s="29" t="e">
        <f>+#REF!-'[1]Приложение №1'!$P684</f>
        <v>#REF!</v>
      </c>
      <c r="Z315" s="31">
        <f t="shared" si="138"/>
        <v>10717070.434176002</v>
      </c>
      <c r="AA315" s="27">
        <v>0</v>
      </c>
      <c r="AB315" s="27">
        <v>0</v>
      </c>
      <c r="AC315" s="27">
        <v>0</v>
      </c>
      <c r="AD315" s="27">
        <v>0</v>
      </c>
      <c r="AE315" s="27">
        <v>1346427.66</v>
      </c>
      <c r="AF315" s="27"/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7971493.9287816007</v>
      </c>
      <c r="AM315" s="27">
        <v>1124576.2</v>
      </c>
      <c r="AN315" s="32">
        <v>94026.004000000001</v>
      </c>
      <c r="AO315" s="33">
        <v>180546.64139440004</v>
      </c>
      <c r="AP315" s="84">
        <f>+N315-'Приложение №2'!E315</f>
        <v>0</v>
      </c>
      <c r="AQ315" s="1">
        <v>1719366.16</v>
      </c>
      <c r="AR315" s="1">
        <f t="shared" si="135"/>
        <v>355827</v>
      </c>
      <c r="AS315" s="1">
        <f t="shared" si="139"/>
        <v>12558600</v>
      </c>
      <c r="AT315" s="29">
        <f t="shared" si="127"/>
        <v>-12558600</v>
      </c>
      <c r="AU315" s="29">
        <f>+P315-'[6]Приложение №1'!$P303</f>
        <v>0</v>
      </c>
      <c r="AV315" s="29">
        <f>+Q315-'[6]Приложение №1'!$Q303</f>
        <v>0</v>
      </c>
      <c r="AW315" s="29">
        <f>+R315-'[6]Приложение №1'!$R303</f>
        <v>0</v>
      </c>
      <c r="AX315" s="29">
        <f>+S315-'[6]Приложение №1'!$S303</f>
        <v>0</v>
      </c>
      <c r="AY315" s="29">
        <f>+T315-'[6]Приложение №1'!$T303</f>
        <v>0</v>
      </c>
    </row>
    <row r="316" spans="1:51" x14ac:dyDescent="0.25">
      <c r="A316" s="135">
        <f t="shared" si="137"/>
        <v>299</v>
      </c>
      <c r="B316" s="134">
        <f t="shared" si="137"/>
        <v>111</v>
      </c>
      <c r="C316" s="77" t="s">
        <v>72</v>
      </c>
      <c r="D316" s="77" t="s">
        <v>199</v>
      </c>
      <c r="E316" s="78">
        <v>1972</v>
      </c>
      <c r="F316" s="78">
        <v>2013</v>
      </c>
      <c r="G316" s="78" t="s">
        <v>51</v>
      </c>
      <c r="H316" s="78">
        <v>4</v>
      </c>
      <c r="I316" s="78">
        <v>4</v>
      </c>
      <c r="J316" s="44">
        <v>4681.66</v>
      </c>
      <c r="K316" s="44">
        <v>3441.2</v>
      </c>
      <c r="L316" s="44">
        <v>0</v>
      </c>
      <c r="M316" s="79">
        <v>142</v>
      </c>
      <c r="N316" s="72">
        <f t="shared" si="124"/>
        <v>1352798.894176</v>
      </c>
      <c r="O316" s="44"/>
      <c r="P316" s="68"/>
      <c r="Q316" s="68"/>
      <c r="R316" s="68">
        <f>+'Приложение №2'!E316</f>
        <v>1352798.894176</v>
      </c>
      <c r="S316" s="68">
        <f>+'Приложение №2'!E316-'Приложение №1'!R316</f>
        <v>0</v>
      </c>
      <c r="T316" s="68">
        <v>0</v>
      </c>
      <c r="U316" s="44">
        <f t="shared" ref="U316:V334" si="140">$N316/($K316+$L316)</f>
        <v>393.11835818202957</v>
      </c>
      <c r="V316" s="44">
        <f t="shared" si="140"/>
        <v>393.11835818202957</v>
      </c>
      <c r="W316" s="80">
        <v>2023</v>
      </c>
      <c r="X316" s="29" t="e">
        <f>+#REF!-'[1]Приложение №1'!$P685</f>
        <v>#REF!</v>
      </c>
      <c r="Z316" s="31">
        <f t="shared" si="138"/>
        <v>10554632.254175998</v>
      </c>
      <c r="AA316" s="27">
        <v>0</v>
      </c>
      <c r="AB316" s="27">
        <v>0</v>
      </c>
      <c r="AC316" s="27">
        <v>0</v>
      </c>
      <c r="AD316" s="27">
        <v>0</v>
      </c>
      <c r="AE316" s="27">
        <v>1346569.54</v>
      </c>
      <c r="AF316" s="27"/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7829891.4404087989</v>
      </c>
      <c r="AM316" s="27">
        <v>1108317.8799999999</v>
      </c>
      <c r="AN316" s="32">
        <v>92400.171999999991</v>
      </c>
      <c r="AO316" s="33">
        <v>177453.22176719998</v>
      </c>
      <c r="AP316" s="84">
        <f>+N316-'Приложение №2'!E316</f>
        <v>0</v>
      </c>
      <c r="AQ316" s="1">
        <v>1671383.18</v>
      </c>
      <c r="AR316" s="1">
        <f t="shared" si="135"/>
        <v>351002.39999999997</v>
      </c>
      <c r="AS316" s="1">
        <f t="shared" si="139"/>
        <v>12388320</v>
      </c>
      <c r="AT316" s="29">
        <f t="shared" si="127"/>
        <v>-12388320</v>
      </c>
      <c r="AU316" s="29">
        <f>+P316-'[6]Приложение №1'!$P304</f>
        <v>0</v>
      </c>
      <c r="AV316" s="29">
        <f>+Q316-'[6]Приложение №1'!$Q304</f>
        <v>0</v>
      </c>
      <c r="AW316" s="29">
        <f>+R316-'[6]Приложение №1'!$R304</f>
        <v>0</v>
      </c>
      <c r="AX316" s="29">
        <f>+S316-'[6]Приложение №1'!$S304</f>
        <v>0</v>
      </c>
      <c r="AY316" s="29">
        <f>+T316-'[6]Приложение №1'!$T304</f>
        <v>0</v>
      </c>
    </row>
    <row r="317" spans="1:51" x14ac:dyDescent="0.25">
      <c r="A317" s="135">
        <f t="shared" si="137"/>
        <v>300</v>
      </c>
      <c r="B317" s="134">
        <f t="shared" si="137"/>
        <v>112</v>
      </c>
      <c r="C317" s="77" t="s">
        <v>72</v>
      </c>
      <c r="D317" s="77" t="s">
        <v>476</v>
      </c>
      <c r="E317" s="78">
        <v>1968</v>
      </c>
      <c r="F317" s="78">
        <v>2013</v>
      </c>
      <c r="G317" s="78" t="s">
        <v>44</v>
      </c>
      <c r="H317" s="78">
        <v>4</v>
      </c>
      <c r="I317" s="78">
        <v>4</v>
      </c>
      <c r="J317" s="44">
        <v>2683.3</v>
      </c>
      <c r="K317" s="44">
        <v>2455</v>
      </c>
      <c r="L317" s="44">
        <v>0</v>
      </c>
      <c r="M317" s="79">
        <v>116</v>
      </c>
      <c r="N317" s="72">
        <f t="shared" si="124"/>
        <v>25460137.099999998</v>
      </c>
      <c r="O317" s="44"/>
      <c r="P317" s="68">
        <v>5099328.6800000006</v>
      </c>
      <c r="Q317" s="68"/>
      <c r="R317" s="68">
        <f>+AQ317+AR317</f>
        <v>1189922.94</v>
      </c>
      <c r="S317" s="68">
        <f>+AS317</f>
        <v>8838000</v>
      </c>
      <c r="T317" s="68">
        <f>+'Приложение №2'!E317-'Приложение №1'!P317-'Приложение №1'!R317-'Приложение №1'!S317</f>
        <v>10332885.479999997</v>
      </c>
      <c r="U317" s="44">
        <f t="shared" si="140"/>
        <v>10370.727942973523</v>
      </c>
      <c r="V317" s="44">
        <f t="shared" si="140"/>
        <v>10370.727942973523</v>
      </c>
      <c r="W317" s="80">
        <v>2023</v>
      </c>
      <c r="X317" s="29" t="e">
        <f>+#REF!-'[1]Приложение №1'!$P1472</f>
        <v>#REF!</v>
      </c>
      <c r="Z317" s="31">
        <f t="shared" si="138"/>
        <v>26448146.579999998</v>
      </c>
      <c r="AA317" s="27">
        <v>5795721.6070735799</v>
      </c>
      <c r="AB317" s="27">
        <v>2065253.8792078202</v>
      </c>
      <c r="AC317" s="27">
        <v>2157730.7733307197</v>
      </c>
      <c r="AD317" s="27">
        <v>1350875.8939846801</v>
      </c>
      <c r="AE317" s="27">
        <v>826515.18096840009</v>
      </c>
      <c r="AF317" s="27"/>
      <c r="AG317" s="27">
        <v>222397.71089423998</v>
      </c>
      <c r="AH317" s="27">
        <v>0</v>
      </c>
      <c r="AI317" s="27">
        <v>10595460.935770201</v>
      </c>
      <c r="AJ317" s="27">
        <v>0</v>
      </c>
      <c r="AK317" s="27">
        <v>0</v>
      </c>
      <c r="AL317" s="27">
        <v>0</v>
      </c>
      <c r="AM317" s="27">
        <v>2666440.5268000001</v>
      </c>
      <c r="AN317" s="32">
        <v>264481.46580000001</v>
      </c>
      <c r="AO317" s="33">
        <v>503268.60617036006</v>
      </c>
      <c r="AP317" s="84">
        <f>+N317-'Приложение №2'!E317</f>
        <v>0</v>
      </c>
      <c r="AQ317" s="1">
        <f>1035919.14-96406.2</f>
        <v>939512.94000000006</v>
      </c>
      <c r="AR317" s="1">
        <f t="shared" si="135"/>
        <v>250410</v>
      </c>
      <c r="AS317" s="1">
        <f t="shared" si="139"/>
        <v>8838000</v>
      </c>
      <c r="AT317" s="29">
        <f t="shared" si="127"/>
        <v>0</v>
      </c>
      <c r="AU317" s="29">
        <f>+P317-'[6]Приложение №1'!$P305</f>
        <v>0</v>
      </c>
      <c r="AV317" s="29">
        <f>+Q317-'[6]Приложение №1'!$Q305</f>
        <v>0</v>
      </c>
      <c r="AW317" s="29">
        <f>+R317-'[6]Приложение №1'!$R305</f>
        <v>0</v>
      </c>
      <c r="AX317" s="29">
        <f>+S317-'[6]Приложение №1'!$S305</f>
        <v>0</v>
      </c>
      <c r="AY317" s="29">
        <f>+T317-'[6]Приложение №1'!$T305</f>
        <v>236033.11999999732</v>
      </c>
    </row>
    <row r="318" spans="1:51" x14ac:dyDescent="0.25">
      <c r="A318" s="135">
        <f t="shared" si="137"/>
        <v>301</v>
      </c>
      <c r="B318" s="134">
        <f t="shared" si="137"/>
        <v>113</v>
      </c>
      <c r="C318" s="77" t="s">
        <v>72</v>
      </c>
      <c r="D318" s="77" t="s">
        <v>477</v>
      </c>
      <c r="E318" s="78">
        <v>1970</v>
      </c>
      <c r="F318" s="78">
        <v>2013</v>
      </c>
      <c r="G318" s="78" t="s">
        <v>44</v>
      </c>
      <c r="H318" s="78">
        <v>4</v>
      </c>
      <c r="I318" s="78">
        <v>4</v>
      </c>
      <c r="J318" s="44">
        <v>2722.8</v>
      </c>
      <c r="K318" s="44">
        <v>2468.6999999999998</v>
      </c>
      <c r="L318" s="44">
        <v>72.099999999999994</v>
      </c>
      <c r="M318" s="79">
        <v>146</v>
      </c>
      <c r="N318" s="72">
        <f t="shared" si="124"/>
        <v>25870244.519999996</v>
      </c>
      <c r="O318" s="44"/>
      <c r="P318" s="68">
        <v>5122468.8333333321</v>
      </c>
      <c r="Q318" s="68"/>
      <c r="R318" s="68">
        <f>+AQ318+AR318</f>
        <v>1400822.9600000002</v>
      </c>
      <c r="S318" s="68">
        <f>+AS318</f>
        <v>9406440</v>
      </c>
      <c r="T318" s="68">
        <f>+'Приложение №2'!E318-'Приложение №1'!P318-'Приложение №1'!R318-'Приложение №1'!S318</f>
        <v>9940512.7266666628</v>
      </c>
      <c r="U318" s="44">
        <f t="shared" si="140"/>
        <v>10181.928731108312</v>
      </c>
      <c r="V318" s="44">
        <f t="shared" si="140"/>
        <v>10181.928731108312</v>
      </c>
      <c r="W318" s="80">
        <v>2023</v>
      </c>
      <c r="X318" s="29" t="e">
        <f>+#REF!-'[1]Приложение №1'!$P1473</f>
        <v>#REF!</v>
      </c>
      <c r="Z318" s="31">
        <f t="shared" si="138"/>
        <v>26878507.739999998</v>
      </c>
      <c r="AA318" s="27">
        <v>5890028.91603126</v>
      </c>
      <c r="AB318" s="27">
        <v>2098859.4476879397</v>
      </c>
      <c r="AC318" s="27">
        <v>2192841.1151652602</v>
      </c>
      <c r="AD318" s="27">
        <v>1372857.1864383598</v>
      </c>
      <c r="AE318" s="27">
        <v>839964.14065872005</v>
      </c>
      <c r="AF318" s="27"/>
      <c r="AG318" s="27">
        <v>226016.53592027997</v>
      </c>
      <c r="AH318" s="27">
        <v>0</v>
      </c>
      <c r="AI318" s="27">
        <v>10767869.049508201</v>
      </c>
      <c r="AJ318" s="27">
        <v>0</v>
      </c>
      <c r="AK318" s="27">
        <v>0</v>
      </c>
      <c r="AL318" s="27">
        <v>0</v>
      </c>
      <c r="AM318" s="27">
        <v>2709828.5368999997</v>
      </c>
      <c r="AN318" s="32">
        <v>268785.07740000001</v>
      </c>
      <c r="AO318" s="33">
        <v>511457.73428998003</v>
      </c>
      <c r="AP318" s="84">
        <f>+N318-'Приложение №2'!E318</f>
        <v>0</v>
      </c>
      <c r="AQ318" s="1">
        <f>1230267.29-95960.13</f>
        <v>1134307.1600000001</v>
      </c>
      <c r="AR318" s="1">
        <f t="shared" si="135"/>
        <v>266515.8</v>
      </c>
      <c r="AS318" s="1">
        <f t="shared" si="139"/>
        <v>9406440</v>
      </c>
      <c r="AT318" s="29">
        <f t="shared" si="127"/>
        <v>0</v>
      </c>
      <c r="AU318" s="29">
        <f>+P318-'[6]Приложение №1'!$P306</f>
        <v>0</v>
      </c>
      <c r="AV318" s="29">
        <f>+Q318-'[6]Приложение №1'!$Q306</f>
        <v>0</v>
      </c>
      <c r="AW318" s="29">
        <f>+R318-'[6]Приложение №1'!$R306</f>
        <v>0</v>
      </c>
      <c r="AX318" s="29">
        <f>+S318-'[6]Приложение №1'!$S306</f>
        <v>0</v>
      </c>
      <c r="AY318" s="29">
        <f>+T318-'[6]Приложение №1'!$T306</f>
        <v>235696.8599999994</v>
      </c>
    </row>
    <row r="319" spans="1:51" x14ac:dyDescent="0.25">
      <c r="A319" s="135">
        <f t="shared" si="137"/>
        <v>302</v>
      </c>
      <c r="B319" s="134">
        <f t="shared" si="137"/>
        <v>114</v>
      </c>
      <c r="C319" s="77" t="s">
        <v>72</v>
      </c>
      <c r="D319" s="77" t="s">
        <v>363</v>
      </c>
      <c r="E319" s="78">
        <v>1970</v>
      </c>
      <c r="F319" s="78">
        <v>2013</v>
      </c>
      <c r="G319" s="78" t="s">
        <v>44</v>
      </c>
      <c r="H319" s="78">
        <v>4</v>
      </c>
      <c r="I319" s="78">
        <v>4</v>
      </c>
      <c r="J319" s="44">
        <v>2981.5</v>
      </c>
      <c r="K319" s="44">
        <v>2738.8</v>
      </c>
      <c r="L319" s="44">
        <v>0</v>
      </c>
      <c r="M319" s="79">
        <v>153</v>
      </c>
      <c r="N319" s="72">
        <f t="shared" si="124"/>
        <v>35496577.607600003</v>
      </c>
      <c r="O319" s="44"/>
      <c r="P319" s="68">
        <v>8252506.3266666681</v>
      </c>
      <c r="Q319" s="68"/>
      <c r="R319" s="68">
        <f>+AQ319+AR319</f>
        <v>1403777.48</v>
      </c>
      <c r="S319" s="68">
        <f>+AS319</f>
        <v>9859680</v>
      </c>
      <c r="T319" s="68">
        <f>+'Приложение №2'!E319-'Приложение №1'!P319-'Приложение №1'!R319-'Приложение №1'!S319</f>
        <v>15980613.800933335</v>
      </c>
      <c r="U319" s="44">
        <f t="shared" si="140"/>
        <v>12960.631520227837</v>
      </c>
      <c r="V319" s="44">
        <f t="shared" si="140"/>
        <v>12960.631520227837</v>
      </c>
      <c r="W319" s="80">
        <v>2023</v>
      </c>
      <c r="X319" s="29" t="e">
        <f>+#REF!-'[1]Приложение №1'!$P1089</f>
        <v>#REF!</v>
      </c>
      <c r="Z319" s="31">
        <f t="shared" si="138"/>
        <v>37346887.229999997</v>
      </c>
      <c r="AA319" s="27">
        <v>6507682.1298052203</v>
      </c>
      <c r="AB319" s="27">
        <v>2318954.6795356199</v>
      </c>
      <c r="AC319" s="27">
        <v>2422791.6618380998</v>
      </c>
      <c r="AD319" s="27">
        <v>1516820.7665175602</v>
      </c>
      <c r="AE319" s="27">
        <v>928046.31598097994</v>
      </c>
      <c r="AF319" s="27"/>
      <c r="AG319" s="27">
        <v>249717.57989135996</v>
      </c>
      <c r="AH319" s="27">
        <v>0</v>
      </c>
      <c r="AI319" s="27">
        <v>11897033.101632001</v>
      </c>
      <c r="AJ319" s="27">
        <v>0</v>
      </c>
      <c r="AK319" s="27">
        <v>0</v>
      </c>
      <c r="AL319" s="27">
        <v>6662611.7855203198</v>
      </c>
      <c r="AM319" s="27">
        <v>3758971.1671000002</v>
      </c>
      <c r="AN319" s="32">
        <v>373468.87229999999</v>
      </c>
      <c r="AO319" s="33">
        <v>710789.16987883998</v>
      </c>
      <c r="AP319" s="84">
        <f>+N319-'Приложение №2'!E319</f>
        <v>0</v>
      </c>
      <c r="AQ319" s="1">
        <f>1220932.16-96512.28</f>
        <v>1124419.8799999999</v>
      </c>
      <c r="AR319" s="1">
        <f t="shared" si="135"/>
        <v>279357.59999999998</v>
      </c>
      <c r="AS319" s="1">
        <f t="shared" si="139"/>
        <v>9859680</v>
      </c>
      <c r="AT319" s="29">
        <f t="shared" si="127"/>
        <v>0</v>
      </c>
      <c r="AU319" s="29">
        <f>+P319-'[6]Приложение №1'!$P307</f>
        <v>0</v>
      </c>
      <c r="AV319" s="29">
        <f>+Q319-'[6]Приложение №1'!$Q307</f>
        <v>0</v>
      </c>
      <c r="AW319" s="29">
        <f>+R319-'[6]Приложение №1'!$R307</f>
        <v>0</v>
      </c>
      <c r="AX319" s="29">
        <f>+S319-'[6]Приложение №1'!$S307</f>
        <v>0</v>
      </c>
      <c r="AY319" s="29">
        <f>+T319-'[6]Приложение №1'!$T307</f>
        <v>0</v>
      </c>
    </row>
    <row r="320" spans="1:51" x14ac:dyDescent="0.25">
      <c r="A320" s="135">
        <f t="shared" si="137"/>
        <v>303</v>
      </c>
      <c r="B320" s="134">
        <f t="shared" si="137"/>
        <v>115</v>
      </c>
      <c r="C320" s="77" t="s">
        <v>72</v>
      </c>
      <c r="D320" s="77" t="s">
        <v>201</v>
      </c>
      <c r="E320" s="78">
        <v>1972</v>
      </c>
      <c r="F320" s="78">
        <v>2013</v>
      </c>
      <c r="G320" s="78" t="s">
        <v>51</v>
      </c>
      <c r="H320" s="78">
        <v>4</v>
      </c>
      <c r="I320" s="78">
        <v>4</v>
      </c>
      <c r="J320" s="44">
        <v>4795.5600000000004</v>
      </c>
      <c r="K320" s="44">
        <v>3559.4</v>
      </c>
      <c r="L320" s="44">
        <v>0</v>
      </c>
      <c r="M320" s="79">
        <v>159</v>
      </c>
      <c r="N320" s="72">
        <f t="shared" si="124"/>
        <v>1263115.48</v>
      </c>
      <c r="O320" s="44"/>
      <c r="P320" s="68"/>
      <c r="Q320" s="68"/>
      <c r="R320" s="68">
        <f>+'Приложение №2'!E320</f>
        <v>1263115.48</v>
      </c>
      <c r="S320" s="68">
        <f>+'Приложение №2'!E320-'Приложение №1'!R320</f>
        <v>0</v>
      </c>
      <c r="T320" s="68">
        <v>0</v>
      </c>
      <c r="U320" s="44">
        <f t="shared" si="140"/>
        <v>354.86752823509579</v>
      </c>
      <c r="V320" s="44">
        <f t="shared" si="140"/>
        <v>354.86752823509579</v>
      </c>
      <c r="W320" s="80">
        <v>2023</v>
      </c>
      <c r="X320" s="29">
        <f>+S320-'[1]Приложение №1'!$P688</f>
        <v>-1641039.36</v>
      </c>
      <c r="Z320" s="31">
        <f t="shared" si="138"/>
        <v>1454339.57</v>
      </c>
      <c r="AA320" s="27">
        <v>0</v>
      </c>
      <c r="AB320" s="27">
        <v>0</v>
      </c>
      <c r="AC320" s="27">
        <v>0</v>
      </c>
      <c r="AD320" s="27">
        <v>0</v>
      </c>
      <c r="AE320" s="27">
        <v>1256015.48</v>
      </c>
      <c r="AF320" s="27"/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189224.09</v>
      </c>
      <c r="AN320" s="32">
        <v>2000</v>
      </c>
      <c r="AO320" s="33">
        <v>7100</v>
      </c>
      <c r="AP320" s="84">
        <f>+N320-'Приложение №2'!E320</f>
        <v>0</v>
      </c>
      <c r="AQ320" s="1">
        <v>1597911.73</v>
      </c>
      <c r="AR320" s="1">
        <f t="shared" si="135"/>
        <v>363058.8</v>
      </c>
      <c r="AS320" s="1">
        <f t="shared" si="139"/>
        <v>12813840</v>
      </c>
      <c r="AT320" s="29">
        <f t="shared" si="127"/>
        <v>-12813840</v>
      </c>
      <c r="AU320" s="29">
        <f>+P320-'[6]Приложение №1'!$P308</f>
        <v>0</v>
      </c>
      <c r="AV320" s="29">
        <f>+Q320-'[6]Приложение №1'!$Q308</f>
        <v>0</v>
      </c>
      <c r="AW320" s="29">
        <f>+R320-'[6]Приложение №1'!$R308</f>
        <v>0</v>
      </c>
      <c r="AX320" s="29">
        <f>+S320-'[6]Приложение №1'!$S308</f>
        <v>0</v>
      </c>
      <c r="AY320" s="29">
        <f>+T320-'[6]Приложение №1'!$T308</f>
        <v>0</v>
      </c>
    </row>
    <row r="321" spans="1:51" x14ac:dyDescent="0.25">
      <c r="A321" s="135">
        <f t="shared" si="137"/>
        <v>304</v>
      </c>
      <c r="B321" s="134">
        <f t="shared" si="137"/>
        <v>116</v>
      </c>
      <c r="C321" s="77" t="s">
        <v>72</v>
      </c>
      <c r="D321" s="77" t="s">
        <v>202</v>
      </c>
      <c r="E321" s="78">
        <v>1973</v>
      </c>
      <c r="F321" s="78">
        <v>2013</v>
      </c>
      <c r="G321" s="78" t="s">
        <v>51</v>
      </c>
      <c r="H321" s="78">
        <v>4</v>
      </c>
      <c r="I321" s="78">
        <v>4</v>
      </c>
      <c r="J321" s="44">
        <v>4678.76</v>
      </c>
      <c r="K321" s="44">
        <v>3451.8</v>
      </c>
      <c r="L321" s="44">
        <v>0</v>
      </c>
      <c r="M321" s="79">
        <v>168</v>
      </c>
      <c r="N321" s="72">
        <f t="shared" si="124"/>
        <v>1282264.52</v>
      </c>
      <c r="O321" s="44"/>
      <c r="P321" s="68"/>
      <c r="Q321" s="68"/>
      <c r="R321" s="68">
        <f t="shared" ref="R321:R326" si="141">+AQ321+AR321</f>
        <v>0</v>
      </c>
      <c r="S321" s="68">
        <f>+'Приложение №2'!E321-'Приложение №1'!R321</f>
        <v>1282264.52</v>
      </c>
      <c r="T321" s="68">
        <v>0</v>
      </c>
      <c r="U321" s="44">
        <f t="shared" si="140"/>
        <v>371.4770612434092</v>
      </c>
      <c r="V321" s="44">
        <f t="shared" si="140"/>
        <v>371.4770612434092</v>
      </c>
      <c r="W321" s="80">
        <v>2023</v>
      </c>
      <c r="X321" s="29">
        <f>+S321-'[1]Приложение №1'!$P689</f>
        <v>-304998.9600000002</v>
      </c>
      <c r="Z321" s="31">
        <f t="shared" si="138"/>
        <v>1494080.68</v>
      </c>
      <c r="AA321" s="27">
        <v>0</v>
      </c>
      <c r="AB321" s="27">
        <v>0</v>
      </c>
      <c r="AC321" s="27">
        <v>0</v>
      </c>
      <c r="AD321" s="27">
        <v>0</v>
      </c>
      <c r="AE321" s="27">
        <v>1274871.31</v>
      </c>
      <c r="AF321" s="27"/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209316.16</v>
      </c>
      <c r="AN321" s="32">
        <v>2500</v>
      </c>
      <c r="AO321" s="33">
        <v>7393.21</v>
      </c>
      <c r="AP321" s="84">
        <f>+N321-'Приложение №2'!E321</f>
        <v>0</v>
      </c>
      <c r="AQ321" s="29">
        <f>1522745.97-R110</f>
        <v>-352083.59999999986</v>
      </c>
      <c r="AR321" s="1">
        <f t="shared" si="135"/>
        <v>352083.6</v>
      </c>
      <c r="AS321" s="1">
        <f>+(K321*10+L321*20)*12*30-S110</f>
        <v>12356573.029999999</v>
      </c>
      <c r="AT321" s="29">
        <f t="shared" si="127"/>
        <v>-11074308.51</v>
      </c>
      <c r="AU321" s="29">
        <f>+P321-'[6]Приложение №1'!$P309</f>
        <v>0</v>
      </c>
      <c r="AV321" s="29">
        <f>+Q321-'[6]Приложение №1'!$Q309</f>
        <v>0</v>
      </c>
      <c r="AW321" s="29">
        <f>+R321-'[6]Приложение №1'!$R309</f>
        <v>-1874829.5699999998</v>
      </c>
      <c r="AX321" s="29">
        <f>+S321-'[6]Приложение №1'!$S309</f>
        <v>152660.11022069538</v>
      </c>
      <c r="AY321" s="29">
        <f>+T321-'[6]Приложение №1'!$T309</f>
        <v>0</v>
      </c>
    </row>
    <row r="322" spans="1:51" x14ac:dyDescent="0.25">
      <c r="A322" s="135">
        <f t="shared" si="137"/>
        <v>305</v>
      </c>
      <c r="B322" s="134">
        <f t="shared" si="137"/>
        <v>117</v>
      </c>
      <c r="C322" s="77" t="s">
        <v>72</v>
      </c>
      <c r="D322" s="77" t="s">
        <v>362</v>
      </c>
      <c r="E322" s="78">
        <v>1992</v>
      </c>
      <c r="F322" s="78">
        <v>2013</v>
      </c>
      <c r="G322" s="78" t="s">
        <v>51</v>
      </c>
      <c r="H322" s="78">
        <v>5</v>
      </c>
      <c r="I322" s="78">
        <v>4</v>
      </c>
      <c r="J322" s="44">
        <v>5274.7</v>
      </c>
      <c r="K322" s="44">
        <v>4397.95</v>
      </c>
      <c r="L322" s="44">
        <v>82.7</v>
      </c>
      <c r="M322" s="79">
        <v>351</v>
      </c>
      <c r="N322" s="72">
        <f t="shared" si="124"/>
        <v>11699117.62284708</v>
      </c>
      <c r="O322" s="44"/>
      <c r="P322" s="68">
        <v>3679232.53</v>
      </c>
      <c r="Q322" s="68"/>
      <c r="R322" s="68">
        <f t="shared" si="141"/>
        <v>94850.999999999825</v>
      </c>
      <c r="S322" s="68">
        <f>+AS322</f>
        <v>3032019.9171529151</v>
      </c>
      <c r="T322" s="68">
        <f>+'Приложение №2'!E322-'Приложение №1'!P322-'Приложение №1'!R322-'Приложение №1'!S322</f>
        <v>4893014.1756941658</v>
      </c>
      <c r="U322" s="68">
        <f t="shared" si="140"/>
        <v>2611.0313509975294</v>
      </c>
      <c r="V322" s="68">
        <f t="shared" si="140"/>
        <v>2611.0313509975294</v>
      </c>
      <c r="W322" s="80">
        <v>2023</v>
      </c>
      <c r="X322" s="29" t="e">
        <f>+#REF!-'[1]Приложение №1'!$P1297</f>
        <v>#REF!</v>
      </c>
      <c r="Z322" s="31">
        <f t="shared" si="138"/>
        <v>73758689.839999989</v>
      </c>
      <c r="AA322" s="27">
        <v>6929151.7355478602</v>
      </c>
      <c r="AB322" s="27">
        <v>4007317.8733992605</v>
      </c>
      <c r="AC322" s="27">
        <v>4236031.7089398</v>
      </c>
      <c r="AD322" s="27">
        <v>3230010.1851276006</v>
      </c>
      <c r="AE322" s="27">
        <v>0</v>
      </c>
      <c r="AF322" s="27"/>
      <c r="AG322" s="27">
        <v>344307.72949692002</v>
      </c>
      <c r="AH322" s="27">
        <v>0</v>
      </c>
      <c r="AI322" s="27">
        <v>12334945.070788199</v>
      </c>
      <c r="AJ322" s="27">
        <v>0</v>
      </c>
      <c r="AK322" s="27">
        <v>23948365.833656877</v>
      </c>
      <c r="AL322" s="27">
        <v>9418585.1320217997</v>
      </c>
      <c r="AM322" s="27">
        <v>7163024.8004000001</v>
      </c>
      <c r="AN322" s="32">
        <v>737586.89840000006</v>
      </c>
      <c r="AO322" s="33">
        <v>1409362.8722216799</v>
      </c>
      <c r="AP322" s="84">
        <f>+N322-'Приложение №2'!E322</f>
        <v>0</v>
      </c>
      <c r="AQ322" s="29">
        <f>1987606.27-R107</f>
        <v>-370610.70000000019</v>
      </c>
      <c r="AR322" s="1">
        <f t="shared" si="135"/>
        <v>465461.7</v>
      </c>
      <c r="AS322" s="1">
        <f>+(K322*10+L322*20)*12*30-S107</f>
        <v>3032019.9171529151</v>
      </c>
      <c r="AT322" s="29">
        <f t="shared" si="127"/>
        <v>0</v>
      </c>
      <c r="AU322" s="29">
        <f>+P322-'[6]Приложение №1'!$P310</f>
        <v>0</v>
      </c>
      <c r="AV322" s="29">
        <f>+Q322-'[6]Приложение №1'!$Q310</f>
        <v>0</v>
      </c>
      <c r="AW322" s="29">
        <f>+R322-'[6]Приложение №1'!$R310</f>
        <v>94850.999999999825</v>
      </c>
      <c r="AX322" s="29">
        <f>+S322-'[6]Приложение №1'!$S310</f>
        <v>539509.78715291526</v>
      </c>
      <c r="AY322" s="29">
        <f>+T322-'[6]Приложение №1'!$T310</f>
        <v>3350078.5228470848</v>
      </c>
    </row>
    <row r="323" spans="1:51" x14ac:dyDescent="0.25">
      <c r="A323" s="135">
        <f t="shared" si="137"/>
        <v>306</v>
      </c>
      <c r="B323" s="134">
        <f t="shared" si="137"/>
        <v>118</v>
      </c>
      <c r="C323" s="77" t="s">
        <v>72</v>
      </c>
      <c r="D323" s="77" t="s">
        <v>364</v>
      </c>
      <c r="E323" s="78">
        <v>1987</v>
      </c>
      <c r="F323" s="78">
        <v>1987</v>
      </c>
      <c r="G323" s="78" t="s">
        <v>44</v>
      </c>
      <c r="H323" s="78">
        <v>5</v>
      </c>
      <c r="I323" s="78">
        <v>3</v>
      </c>
      <c r="J323" s="44">
        <v>5170.7</v>
      </c>
      <c r="K323" s="44">
        <v>2871.7</v>
      </c>
      <c r="L323" s="44">
        <v>2299</v>
      </c>
      <c r="M323" s="79">
        <v>334</v>
      </c>
      <c r="N323" s="72">
        <f t="shared" si="124"/>
        <v>10994869.534908922</v>
      </c>
      <c r="O323" s="44"/>
      <c r="P323" s="68">
        <v>2477837.44</v>
      </c>
      <c r="Q323" s="68"/>
      <c r="R323" s="68">
        <f t="shared" si="141"/>
        <v>1137386.69</v>
      </c>
      <c r="S323" s="68">
        <v>4937533.0449089203</v>
      </c>
      <c r="T323" s="44">
        <f>+'Приложение №2'!E323-'Приложение №1'!P323-'Приложение №1'!Q323-'Приложение №1'!R323-'Приложение №1'!S323</f>
        <v>2442112.3600000013</v>
      </c>
      <c r="U323" s="68">
        <f t="shared" si="140"/>
        <v>2126.379317096123</v>
      </c>
      <c r="V323" s="68">
        <f t="shared" si="140"/>
        <v>2126.379317096123</v>
      </c>
      <c r="W323" s="80">
        <v>2023</v>
      </c>
      <c r="X323" s="29" t="e">
        <f>+#REF!-'[1]Приложение №1'!$P1295</f>
        <v>#REF!</v>
      </c>
      <c r="Z323" s="31">
        <f t="shared" si="138"/>
        <v>44376055.650000006</v>
      </c>
      <c r="AA323" s="27">
        <v>6705846.8643129608</v>
      </c>
      <c r="AB323" s="27">
        <v>2389568.92118868</v>
      </c>
      <c r="AC323" s="27">
        <v>2496567.8323118398</v>
      </c>
      <c r="AD323" s="27">
        <v>1563009.3139332</v>
      </c>
      <c r="AE323" s="27">
        <v>0</v>
      </c>
      <c r="AF323" s="27"/>
      <c r="AG323" s="27">
        <v>257321.70331307995</v>
      </c>
      <c r="AH323" s="27">
        <v>0</v>
      </c>
      <c r="AI323" s="27">
        <v>12259308.387853799</v>
      </c>
      <c r="AJ323" s="27">
        <v>0</v>
      </c>
      <c r="AK323" s="27">
        <v>6365089.67499342</v>
      </c>
      <c r="AL323" s="27">
        <v>6865494.2663706001</v>
      </c>
      <c r="AM323" s="27">
        <v>4179375.6532000005</v>
      </c>
      <c r="AN323" s="32">
        <v>443760.55650000001</v>
      </c>
      <c r="AO323" s="33">
        <v>850712.47602241999</v>
      </c>
      <c r="AP323" s="84">
        <f>+N323-'Приложение №2'!E323</f>
        <v>0</v>
      </c>
      <c r="AQ323" s="29">
        <f>2578731.31-R108</f>
        <v>375477.29000000004</v>
      </c>
      <c r="AR323" s="1">
        <f t="shared" si="135"/>
        <v>761909.4</v>
      </c>
      <c r="AS323" s="1">
        <f>+(K323*10+L323*20)*12*30-S108</f>
        <v>17973380.042891078</v>
      </c>
      <c r="AT323" s="29">
        <f t="shared" si="127"/>
        <v>-13035846.997982157</v>
      </c>
      <c r="AU323" s="29">
        <f>+P323-'[6]Приложение №1'!$P311</f>
        <v>0</v>
      </c>
      <c r="AV323" s="29">
        <f>+Q323-'[6]Приложение №1'!$Q311</f>
        <v>0</v>
      </c>
      <c r="AW323" s="29">
        <f>+R323-'[6]Приложение №1'!$R311</f>
        <v>144404.28999999992</v>
      </c>
      <c r="AX323" s="29">
        <f>+S323-'[6]Приложение №1'!$S311</f>
        <v>0</v>
      </c>
      <c r="AY323" s="29">
        <f>+T323-'[6]Приложение №1'!$T311</f>
        <v>2442112.3600000013</v>
      </c>
    </row>
    <row r="324" spans="1:51" x14ac:dyDescent="0.25">
      <c r="A324" s="135">
        <f t="shared" si="137"/>
        <v>307</v>
      </c>
      <c r="B324" s="134">
        <f t="shared" si="137"/>
        <v>119</v>
      </c>
      <c r="C324" s="77" t="s">
        <v>72</v>
      </c>
      <c r="D324" s="77" t="s">
        <v>366</v>
      </c>
      <c r="E324" s="78">
        <v>1980</v>
      </c>
      <c r="F324" s="78">
        <v>2008</v>
      </c>
      <c r="G324" s="78" t="s">
        <v>51</v>
      </c>
      <c r="H324" s="78">
        <v>5</v>
      </c>
      <c r="I324" s="78">
        <v>6</v>
      </c>
      <c r="J324" s="44">
        <v>7149.4</v>
      </c>
      <c r="K324" s="44">
        <v>6325.2</v>
      </c>
      <c r="L324" s="44">
        <v>0</v>
      </c>
      <c r="M324" s="79">
        <v>293</v>
      </c>
      <c r="N324" s="72">
        <f t="shared" si="124"/>
        <v>24198055.984032821</v>
      </c>
      <c r="O324" s="44"/>
      <c r="P324" s="68">
        <v>9266556.7940246668</v>
      </c>
      <c r="Q324" s="68"/>
      <c r="R324" s="68">
        <f t="shared" si="141"/>
        <v>371756.49000000034</v>
      </c>
      <c r="S324" s="68">
        <v>1791883.6800000002</v>
      </c>
      <c r="T324" s="68">
        <f>+'Приложение №2'!E324-'Приложение №1'!P324-'Приложение №1'!R324-'Приложение №1'!S324</f>
        <v>12767859.020008154</v>
      </c>
      <c r="U324" s="44">
        <f t="shared" si="140"/>
        <v>3825.6586327756945</v>
      </c>
      <c r="V324" s="44">
        <f t="shared" si="140"/>
        <v>3825.6586327756945</v>
      </c>
      <c r="W324" s="80">
        <v>2023</v>
      </c>
      <c r="X324" s="29" t="e">
        <f>+#REF!-'[1]Приложение №1'!$P1337</f>
        <v>#REF!</v>
      </c>
      <c r="Z324" s="31">
        <f t="shared" si="138"/>
        <v>114548451.67</v>
      </c>
      <c r="AA324" s="27">
        <v>10489330.258041179</v>
      </c>
      <c r="AB324" s="27">
        <v>6066266.4462859211</v>
      </c>
      <c r="AC324" s="27">
        <v>6412492.7922270596</v>
      </c>
      <c r="AD324" s="27">
        <v>4889580.2685996005</v>
      </c>
      <c r="AE324" s="27">
        <v>1953287.2251610199</v>
      </c>
      <c r="AF324" s="27"/>
      <c r="AG324" s="27">
        <v>521212.05792599992</v>
      </c>
      <c r="AH324" s="27">
        <v>0</v>
      </c>
      <c r="AI324" s="27">
        <v>18672604.894377001</v>
      </c>
      <c r="AJ324" s="27">
        <v>0</v>
      </c>
      <c r="AK324" s="27">
        <v>36252968.326471262</v>
      </c>
      <c r="AL324" s="27">
        <v>14257827.475101</v>
      </c>
      <c r="AM324" s="27">
        <v>11711193.4519</v>
      </c>
      <c r="AN324" s="32">
        <v>1145484.5167</v>
      </c>
      <c r="AO324" s="33">
        <v>2176203.9572099601</v>
      </c>
      <c r="AP324" s="84">
        <f>+N324-'Приложение №2'!E324</f>
        <v>0</v>
      </c>
      <c r="AQ324" s="29">
        <f>3044323.81-R113</f>
        <v>-273413.90999999968</v>
      </c>
      <c r="AR324" s="1">
        <f t="shared" ref="AR324:AR336" si="142">+(K324*10+L324*20)*12*0.85</f>
        <v>645170.4</v>
      </c>
      <c r="AS324" s="1">
        <f>+(K324*10+L324*20)*12*30-S113</f>
        <v>1791883.6799999997</v>
      </c>
      <c r="AT324" s="29">
        <f t="shared" si="127"/>
        <v>0</v>
      </c>
      <c r="AU324" s="29">
        <f>+P324-'[6]Приложение №1'!$P313</f>
        <v>0</v>
      </c>
      <c r="AV324" s="29">
        <f>+Q324-'[6]Приложение №1'!$Q313</f>
        <v>0</v>
      </c>
      <c r="AW324" s="29">
        <f>+R324-'[6]Приложение №1'!$R313</f>
        <v>0</v>
      </c>
      <c r="AX324" s="29">
        <f>+S324-'[6]Приложение №1'!$S313</f>
        <v>1791883.6800000002</v>
      </c>
      <c r="AY324" s="29">
        <f>+T324-'[6]Приложение №1'!$T313</f>
        <v>4724075.6900000013</v>
      </c>
    </row>
    <row r="325" spans="1:51" s="35" customFormat="1" x14ac:dyDescent="0.25">
      <c r="A325" s="135">
        <f t="shared" si="137"/>
        <v>308</v>
      </c>
      <c r="B325" s="134">
        <f t="shared" si="137"/>
        <v>120</v>
      </c>
      <c r="C325" s="77" t="s">
        <v>72</v>
      </c>
      <c r="D325" s="77" t="s">
        <v>589</v>
      </c>
      <c r="E325" s="78" t="s">
        <v>591</v>
      </c>
      <c r="F325" s="78"/>
      <c r="G325" s="78" t="s">
        <v>570</v>
      </c>
      <c r="H325" s="78" t="s">
        <v>582</v>
      </c>
      <c r="I325" s="78" t="s">
        <v>574</v>
      </c>
      <c r="J325" s="44">
        <v>7651.5</v>
      </c>
      <c r="K325" s="44">
        <v>6138</v>
      </c>
      <c r="L325" s="44">
        <v>119</v>
      </c>
      <c r="M325" s="79">
        <v>293</v>
      </c>
      <c r="N325" s="72">
        <f t="shared" si="124"/>
        <v>54474244.048956804</v>
      </c>
      <c r="O325" s="44">
        <v>0</v>
      </c>
      <c r="P325" s="68">
        <v>9563508.5829855986</v>
      </c>
      <c r="Q325" s="68">
        <v>0</v>
      </c>
      <c r="R325" s="68">
        <f t="shared" si="141"/>
        <v>3376163.3</v>
      </c>
      <c r="S325" s="68">
        <f>+AS325</f>
        <v>22953600</v>
      </c>
      <c r="T325" s="68">
        <f>+'Приложение №2'!E325-'Приложение №1'!P325-'Приложение №1'!R325-'Приложение №1'!S325</f>
        <v>18580972.165971205</v>
      </c>
      <c r="U325" s="44">
        <f t="shared" si="140"/>
        <v>8706.1281842667104</v>
      </c>
      <c r="V325" s="44">
        <f t="shared" si="140"/>
        <v>8706.1281842667104</v>
      </c>
      <c r="W325" s="80">
        <v>2023</v>
      </c>
      <c r="X325" s="35">
        <v>2205585.94</v>
      </c>
      <c r="Y325" s="35">
        <f>+(K325*9.1+L325*18.19)*12</f>
        <v>696244.91999999993</v>
      </c>
      <c r="AA325" s="36">
        <f>+N325-'[5]Приложение № 2'!E299</f>
        <v>45984699.238956802</v>
      </c>
      <c r="AD325" s="36">
        <f>+N325-'[5]Приложение № 2'!E299</f>
        <v>45984699.238956802</v>
      </c>
      <c r="AP325" s="84">
        <f>+N325-'Приложение №2'!E325</f>
        <v>0</v>
      </c>
      <c r="AQ325" s="35">
        <v>2725811.3</v>
      </c>
      <c r="AR325" s="1">
        <f t="shared" si="142"/>
        <v>650352</v>
      </c>
      <c r="AS325" s="1">
        <f t="shared" ref="AS325:AS330" si="143">+(K325*10+L325*20)*12*30</f>
        <v>22953600</v>
      </c>
      <c r="AT325" s="29">
        <f t="shared" si="127"/>
        <v>0</v>
      </c>
      <c r="AU325" s="29">
        <f>+P325-'[6]Приложение №1'!$P314</f>
        <v>0</v>
      </c>
      <c r="AV325" s="29">
        <f>+Q325-'[6]Приложение №1'!$Q314</f>
        <v>0</v>
      </c>
      <c r="AW325" s="29">
        <f>+R325-'[6]Приложение №1'!$R314</f>
        <v>0</v>
      </c>
      <c r="AX325" s="29">
        <f>+S325-'[6]Приложение №1'!$S314</f>
        <v>0</v>
      </c>
      <c r="AY325" s="29">
        <f>+T325-'[6]Приложение №1'!$T314</f>
        <v>0</v>
      </c>
    </row>
    <row r="326" spans="1:51" x14ac:dyDescent="0.25">
      <c r="A326" s="135">
        <f t="shared" si="137"/>
        <v>309</v>
      </c>
      <c r="B326" s="134">
        <f t="shared" si="137"/>
        <v>121</v>
      </c>
      <c r="C326" s="77" t="s">
        <v>72</v>
      </c>
      <c r="D326" s="77" t="s">
        <v>204</v>
      </c>
      <c r="E326" s="78">
        <v>1975</v>
      </c>
      <c r="F326" s="78">
        <v>2013</v>
      </c>
      <c r="G326" s="78" t="s">
        <v>44</v>
      </c>
      <c r="H326" s="78">
        <v>4</v>
      </c>
      <c r="I326" s="78">
        <v>4</v>
      </c>
      <c r="J326" s="44">
        <v>2912.6</v>
      </c>
      <c r="K326" s="44">
        <v>2004.3</v>
      </c>
      <c r="L326" s="44">
        <v>902.2</v>
      </c>
      <c r="M326" s="79">
        <v>104</v>
      </c>
      <c r="N326" s="72">
        <f t="shared" si="124"/>
        <v>19055879.242334455</v>
      </c>
      <c r="O326" s="44"/>
      <c r="P326" s="68">
        <v>3770471.1300000004</v>
      </c>
      <c r="Q326" s="68"/>
      <c r="R326" s="68">
        <f t="shared" si="141"/>
        <v>2325190.8199999998</v>
      </c>
      <c r="S326" s="68">
        <f>+'Приложение №2'!E326-'Приложение №1'!R326-P326</f>
        <v>12960217.292334454</v>
      </c>
      <c r="T326" s="68">
        <v>4.6566128730773926E-10</v>
      </c>
      <c r="U326" s="44">
        <f t="shared" si="140"/>
        <v>6556.2976921845711</v>
      </c>
      <c r="V326" s="44">
        <f t="shared" si="140"/>
        <v>6556.2976921845711</v>
      </c>
      <c r="W326" s="80">
        <v>2023</v>
      </c>
      <c r="X326" s="29" t="e">
        <f>+#REF!-'[1]Приложение №1'!$P1015</f>
        <v>#REF!</v>
      </c>
      <c r="Z326" s="31">
        <f t="shared" ref="Z326:Z332" si="144">SUM(AA326:AO326)</f>
        <v>33480583.039703999</v>
      </c>
      <c r="AA326" s="27">
        <v>4910426.619134401</v>
      </c>
      <c r="AB326" s="27">
        <v>1749786.8763320402</v>
      </c>
      <c r="AC326" s="27">
        <v>1828137.9504292798</v>
      </c>
      <c r="AD326" s="27">
        <v>1144529.9445770402</v>
      </c>
      <c r="AE326" s="27">
        <v>818458.35</v>
      </c>
      <c r="AF326" s="27"/>
      <c r="AG326" s="27">
        <v>188426.51279339998</v>
      </c>
      <c r="AH326" s="27">
        <v>0</v>
      </c>
      <c r="AI326" s="27">
        <v>8977006.9994345997</v>
      </c>
      <c r="AJ326" s="27">
        <v>0</v>
      </c>
      <c r="AK326" s="27">
        <v>4660903.59852558</v>
      </c>
      <c r="AL326" s="27">
        <v>5027330.1025222801</v>
      </c>
      <c r="AM326" s="27">
        <v>3221989.0267999996</v>
      </c>
      <c r="AN326" s="32">
        <v>327170.53649999999</v>
      </c>
      <c r="AO326" s="33">
        <v>626416.52265538019</v>
      </c>
      <c r="AP326" s="84">
        <f>+N326-'Приложение №2'!E326</f>
        <v>0</v>
      </c>
      <c r="AQ326" s="1">
        <v>1936703.42</v>
      </c>
      <c r="AR326" s="1">
        <f t="shared" si="142"/>
        <v>388487.39999999997</v>
      </c>
      <c r="AS326" s="1">
        <f t="shared" si="143"/>
        <v>13711320</v>
      </c>
      <c r="AT326" s="29">
        <f t="shared" si="127"/>
        <v>-751102.70766554587</v>
      </c>
      <c r="AU326" s="29">
        <f>+P326-'[6]Приложение №1'!$P315</f>
        <v>3770471.1300000004</v>
      </c>
      <c r="AV326" s="29">
        <f>+Q326-'[6]Приложение №1'!$Q315</f>
        <v>0</v>
      </c>
      <c r="AW326" s="29">
        <f>+R326-'[6]Приложение №1'!$R315</f>
        <v>0</v>
      </c>
      <c r="AX326" s="29">
        <f>+S326-'[6]Приложение №1'!$S315</f>
        <v>609451.91999999806</v>
      </c>
      <c r="AY326" s="29">
        <f>+T326-'[6]Приложение №1'!$T315</f>
        <v>0</v>
      </c>
    </row>
    <row r="327" spans="1:51" x14ac:dyDescent="0.25">
      <c r="A327" s="135">
        <f t="shared" si="137"/>
        <v>310</v>
      </c>
      <c r="B327" s="134">
        <f t="shared" si="137"/>
        <v>122</v>
      </c>
      <c r="C327" s="77" t="s">
        <v>72</v>
      </c>
      <c r="D327" s="77" t="s">
        <v>206</v>
      </c>
      <c r="E327" s="78">
        <v>1968</v>
      </c>
      <c r="F327" s="78">
        <v>2013</v>
      </c>
      <c r="G327" s="78" t="s">
        <v>44</v>
      </c>
      <c r="H327" s="78">
        <v>4</v>
      </c>
      <c r="I327" s="78">
        <v>2</v>
      </c>
      <c r="J327" s="44">
        <v>1340.1</v>
      </c>
      <c r="K327" s="44">
        <v>1250.0999999999999</v>
      </c>
      <c r="L327" s="44">
        <v>0</v>
      </c>
      <c r="M327" s="79">
        <v>47</v>
      </c>
      <c r="N327" s="72">
        <f t="shared" si="124"/>
        <v>494347.02441200003</v>
      </c>
      <c r="O327" s="44"/>
      <c r="P327" s="68"/>
      <c r="Q327" s="68"/>
      <c r="R327" s="68">
        <f>+'Приложение №2'!E327</f>
        <v>494347.02441200003</v>
      </c>
      <c r="S327" s="68">
        <f>+'Приложение №2'!E327-'Приложение №1'!R327</f>
        <v>0</v>
      </c>
      <c r="T327" s="68">
        <v>0</v>
      </c>
      <c r="U327" s="44">
        <f t="shared" si="140"/>
        <v>395.44598385089199</v>
      </c>
      <c r="V327" s="44">
        <f t="shared" si="140"/>
        <v>395.44598385089199</v>
      </c>
      <c r="W327" s="80">
        <v>2023</v>
      </c>
      <c r="X327" s="29" t="e">
        <f>+#REF!-'[1]Приложение №1'!$P696</f>
        <v>#REF!</v>
      </c>
      <c r="Z327" s="31">
        <f t="shared" si="144"/>
        <v>7345879.3544120006</v>
      </c>
      <c r="AA327" s="27">
        <v>0</v>
      </c>
      <c r="AB327" s="27">
        <v>0</v>
      </c>
      <c r="AC327" s="27">
        <v>0</v>
      </c>
      <c r="AD327" s="27">
        <v>0</v>
      </c>
      <c r="AE327" s="27">
        <v>491444.9</v>
      </c>
      <c r="AF327" s="27"/>
      <c r="AG327" s="27">
        <v>0</v>
      </c>
      <c r="AH327" s="27">
        <v>0</v>
      </c>
      <c r="AI327" s="27">
        <v>0</v>
      </c>
      <c r="AJ327" s="27">
        <v>0</v>
      </c>
      <c r="AK327" s="27">
        <v>2817572.53491042</v>
      </c>
      <c r="AL327" s="27">
        <v>3039081.7867057198</v>
      </c>
      <c r="AM327" s="27">
        <v>797894.04099999997</v>
      </c>
      <c r="AN327" s="32">
        <v>68910.799100000004</v>
      </c>
      <c r="AO327" s="33">
        <v>130975.29269586</v>
      </c>
      <c r="AP327" s="84">
        <f>+N327-'Приложение №2'!E327</f>
        <v>0</v>
      </c>
      <c r="AQ327" s="1">
        <v>547627.87</v>
      </c>
      <c r="AR327" s="1">
        <f t="shared" si="142"/>
        <v>127510.2</v>
      </c>
      <c r="AS327" s="1">
        <f t="shared" si="143"/>
        <v>4500360</v>
      </c>
      <c r="AT327" s="29">
        <f t="shared" si="127"/>
        <v>-4500360</v>
      </c>
      <c r="AU327" s="29">
        <f>+P327-'[6]Приложение №1'!$P316</f>
        <v>0</v>
      </c>
      <c r="AV327" s="29">
        <f>+Q327-'[6]Приложение №1'!$Q316</f>
        <v>0</v>
      </c>
      <c r="AW327" s="29">
        <f>+R327-'[6]Приложение №1'!$R316</f>
        <v>0</v>
      </c>
      <c r="AX327" s="29">
        <f>+S327-'[6]Приложение №1'!$S316</f>
        <v>0</v>
      </c>
      <c r="AY327" s="29">
        <f>+T327-'[6]Приложение №1'!$T316</f>
        <v>0</v>
      </c>
    </row>
    <row r="328" spans="1:51" x14ac:dyDescent="0.25">
      <c r="A328" s="135">
        <f t="shared" ref="A328:B343" si="145">+A327+1</f>
        <v>311</v>
      </c>
      <c r="B328" s="134">
        <f t="shared" si="145"/>
        <v>123</v>
      </c>
      <c r="C328" s="77" t="s">
        <v>72</v>
      </c>
      <c r="D328" s="77" t="s">
        <v>369</v>
      </c>
      <c r="E328" s="78">
        <v>1993</v>
      </c>
      <c r="F328" s="78">
        <v>2013</v>
      </c>
      <c r="G328" s="78" t="s">
        <v>44</v>
      </c>
      <c r="H328" s="78">
        <v>5</v>
      </c>
      <c r="I328" s="78">
        <v>2</v>
      </c>
      <c r="J328" s="44">
        <v>2382.6999999999998</v>
      </c>
      <c r="K328" s="44">
        <v>2177.75</v>
      </c>
      <c r="L328" s="44">
        <v>0</v>
      </c>
      <c r="M328" s="79">
        <v>103</v>
      </c>
      <c r="N328" s="72">
        <f t="shared" si="124"/>
        <v>3954803.0756240012</v>
      </c>
      <c r="O328" s="44"/>
      <c r="P328" s="68">
        <f>+'Приложение №2'!E328-'Приложение №1'!R328</f>
        <v>2826319.835624001</v>
      </c>
      <c r="Q328" s="68"/>
      <c r="R328" s="68">
        <f>+AQ328+AR328-137216.27</f>
        <v>1128483.24</v>
      </c>
      <c r="S328" s="68">
        <f>+'Приложение №2'!E328-'Приложение №1'!P328-'Приложение №1'!Q328-'Приложение №1'!R328</f>
        <v>0</v>
      </c>
      <c r="T328" s="68">
        <f>+'Приложение №2'!E328-'Приложение №1'!P328-'Приложение №1'!Q328-'Приложение №1'!R328-'Приложение №1'!S328</f>
        <v>-2.3283064365386963E-10</v>
      </c>
      <c r="U328" s="44">
        <f t="shared" si="140"/>
        <v>1816.0041674315239</v>
      </c>
      <c r="V328" s="44">
        <f t="shared" si="140"/>
        <v>1816.0041674315239</v>
      </c>
      <c r="W328" s="80">
        <v>2023</v>
      </c>
      <c r="X328" s="29" t="e">
        <f>+#REF!-'[1]Приложение №1'!$P1288</f>
        <v>#REF!</v>
      </c>
      <c r="Z328" s="31">
        <f t="shared" si="144"/>
        <v>22932892.859999996</v>
      </c>
      <c r="AA328" s="27">
        <v>5269271.9163684594</v>
      </c>
      <c r="AB328" s="27">
        <v>1877658.2087747399</v>
      </c>
      <c r="AC328" s="27">
        <v>1961735.0389824603</v>
      </c>
      <c r="AD328" s="27">
        <v>1228170.1704375602</v>
      </c>
      <c r="AE328" s="27"/>
      <c r="AF328" s="27"/>
      <c r="AG328" s="27">
        <v>202196.39026187998</v>
      </c>
      <c r="AH328" s="27">
        <v>0</v>
      </c>
      <c r="AI328" s="27">
        <v>9633030.8035121989</v>
      </c>
      <c r="AJ328" s="27">
        <v>0</v>
      </c>
      <c r="AK328" s="27">
        <v>0</v>
      </c>
      <c r="AL328" s="27">
        <v>0</v>
      </c>
      <c r="AM328" s="27">
        <v>2090379.2508999999</v>
      </c>
      <c r="AN328" s="32">
        <v>229328.92859999998</v>
      </c>
      <c r="AO328" s="33">
        <v>441122.15216270008</v>
      </c>
      <c r="AP328" s="84">
        <f>+N328-'Приложение №2'!E328</f>
        <v>0</v>
      </c>
      <c r="AQ328" s="1">
        <v>1043569.01</v>
      </c>
      <c r="AR328" s="1">
        <f t="shared" si="142"/>
        <v>222130.5</v>
      </c>
      <c r="AS328" s="1">
        <f t="shared" si="143"/>
        <v>7839900</v>
      </c>
      <c r="AT328" s="29">
        <f t="shared" si="127"/>
        <v>-7839900</v>
      </c>
      <c r="AU328" s="29">
        <f>+P328-'[6]Приложение №1'!$P317</f>
        <v>0</v>
      </c>
      <c r="AV328" s="29">
        <f>+Q328-'[6]Приложение №1'!$Q317</f>
        <v>0</v>
      </c>
      <c r="AW328" s="29">
        <f>+R328-'[6]Приложение №1'!$R317</f>
        <v>0</v>
      </c>
      <c r="AX328" s="29">
        <f>+S328-'[6]Приложение №1'!$S317</f>
        <v>0</v>
      </c>
      <c r="AY328" s="29">
        <f>+T328-'[6]Приложение №1'!$T317</f>
        <v>0</v>
      </c>
    </row>
    <row r="329" spans="1:51" x14ac:dyDescent="0.25">
      <c r="A329" s="135">
        <f t="shared" si="145"/>
        <v>312</v>
      </c>
      <c r="B329" s="134">
        <f t="shared" si="145"/>
        <v>124</v>
      </c>
      <c r="C329" s="77" t="s">
        <v>72</v>
      </c>
      <c r="D329" s="77" t="s">
        <v>371</v>
      </c>
      <c r="E329" s="78">
        <v>1984</v>
      </c>
      <c r="F329" s="78">
        <v>1984</v>
      </c>
      <c r="G329" s="78" t="s">
        <v>51</v>
      </c>
      <c r="H329" s="78">
        <v>5</v>
      </c>
      <c r="I329" s="78">
        <v>6</v>
      </c>
      <c r="J329" s="44">
        <v>7096.75</v>
      </c>
      <c r="K329" s="44">
        <v>6228.7</v>
      </c>
      <c r="L329" s="44">
        <v>0</v>
      </c>
      <c r="M329" s="79">
        <v>298</v>
      </c>
      <c r="N329" s="72">
        <f t="shared" si="124"/>
        <v>16015618.41</v>
      </c>
      <c r="O329" s="44"/>
      <c r="P329" s="68"/>
      <c r="Q329" s="68"/>
      <c r="R329" s="68">
        <f>+AQ329+AR329</f>
        <v>3618454.07</v>
      </c>
      <c r="S329" s="68">
        <f>+'Приложение №2'!E329-'Приложение №1'!R329</f>
        <v>12397164.34</v>
      </c>
      <c r="T329" s="68">
        <v>4.6566128730773926E-10</v>
      </c>
      <c r="U329" s="44">
        <f t="shared" si="140"/>
        <v>2571.2618058342832</v>
      </c>
      <c r="V329" s="44">
        <f t="shared" si="140"/>
        <v>2571.2618058342832</v>
      </c>
      <c r="W329" s="80">
        <v>2023</v>
      </c>
      <c r="X329" s="29" t="e">
        <f>+#REF!-'[1]Приложение №1'!$P1099</f>
        <v>#REF!</v>
      </c>
      <c r="Z329" s="31">
        <f t="shared" si="144"/>
        <v>16247767.73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/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14151058.29551442</v>
      </c>
      <c r="AM329" s="27">
        <v>1624776.773</v>
      </c>
      <c r="AN329" s="32">
        <v>162477.67730000001</v>
      </c>
      <c r="AO329" s="33">
        <v>309454.98418557999</v>
      </c>
      <c r="AP329" s="84">
        <f>+N329-'Приложение №2'!E329</f>
        <v>0</v>
      </c>
      <c r="AQ329" s="1">
        <v>2983126.67</v>
      </c>
      <c r="AR329" s="1">
        <f t="shared" si="142"/>
        <v>635327.4</v>
      </c>
      <c r="AS329" s="1">
        <f t="shared" si="143"/>
        <v>22423320</v>
      </c>
      <c r="AT329" s="29">
        <f t="shared" si="127"/>
        <v>-10026155.66</v>
      </c>
      <c r="AU329" s="29">
        <f>+P329-'[6]Приложение №1'!$P318</f>
        <v>0</v>
      </c>
      <c r="AV329" s="29">
        <f>+Q329-'[6]Приложение №1'!$Q318</f>
        <v>0</v>
      </c>
      <c r="AW329" s="29">
        <f>+R329-'[6]Приложение №1'!$R318</f>
        <v>0</v>
      </c>
      <c r="AX329" s="29">
        <f>+S329-'[6]Приложение №1'!$S318</f>
        <v>0</v>
      </c>
      <c r="AY329" s="29">
        <f>+T329-'[6]Приложение №1'!$T318</f>
        <v>0</v>
      </c>
    </row>
    <row r="330" spans="1:51" x14ac:dyDescent="0.25">
      <c r="A330" s="135">
        <f t="shared" si="145"/>
        <v>313</v>
      </c>
      <c r="B330" s="134">
        <f t="shared" si="145"/>
        <v>125</v>
      </c>
      <c r="C330" s="77" t="s">
        <v>72</v>
      </c>
      <c r="D330" s="77" t="s">
        <v>207</v>
      </c>
      <c r="E330" s="78">
        <v>1973</v>
      </c>
      <c r="F330" s="78">
        <v>2011</v>
      </c>
      <c r="G330" s="78" t="s">
        <v>44</v>
      </c>
      <c r="H330" s="78">
        <v>5</v>
      </c>
      <c r="I330" s="78">
        <v>4</v>
      </c>
      <c r="J330" s="44">
        <v>3343.7</v>
      </c>
      <c r="K330" s="44">
        <v>3061.9</v>
      </c>
      <c r="L330" s="44">
        <v>0</v>
      </c>
      <c r="M330" s="79">
        <v>160</v>
      </c>
      <c r="N330" s="72">
        <f t="shared" si="124"/>
        <v>7682194.3148301998</v>
      </c>
      <c r="O330" s="44"/>
      <c r="P330" s="68">
        <v>614563.23999999987</v>
      </c>
      <c r="Q330" s="68"/>
      <c r="R330" s="68">
        <f>+AQ330+AR330</f>
        <v>1696801.81</v>
      </c>
      <c r="S330" s="68">
        <f>+'Приложение №2'!E330-'Приложение №1'!P330-'Приложение №1'!Q330-'Приложение №1'!R330</f>
        <v>5370829.2648302</v>
      </c>
      <c r="T330" s="68">
        <f>+'Приложение №2'!E330-'Приложение №1'!P330-'Приложение №1'!Q330-'Приложение №1'!R330-'Приложение №1'!S330</f>
        <v>0</v>
      </c>
      <c r="U330" s="44">
        <f t="shared" si="140"/>
        <v>2508.9631649727944</v>
      </c>
      <c r="V330" s="44">
        <f t="shared" si="140"/>
        <v>2508.9631649727944</v>
      </c>
      <c r="W330" s="80">
        <v>2023</v>
      </c>
      <c r="X330" s="29" t="e">
        <f>+#REF!-'[1]Приложение №1'!$P900</f>
        <v>#REF!</v>
      </c>
      <c r="Z330" s="31">
        <f t="shared" si="144"/>
        <v>26291754.259999998</v>
      </c>
      <c r="AA330" s="27">
        <v>0</v>
      </c>
      <c r="AB330" s="27">
        <v>0</v>
      </c>
      <c r="AC330" s="27">
        <v>2724296.2008204604</v>
      </c>
      <c r="AD330" s="27">
        <v>0</v>
      </c>
      <c r="AE330" s="27">
        <v>0</v>
      </c>
      <c r="AF330" s="27"/>
      <c r="AG330" s="27">
        <v>0</v>
      </c>
      <c r="AH330" s="27">
        <v>0</v>
      </c>
      <c r="AI330" s="27">
        <v>13377560.538169799</v>
      </c>
      <c r="AJ330" s="27">
        <v>0</v>
      </c>
      <c r="AK330" s="27">
        <v>6945691.3623090005</v>
      </c>
      <c r="AL330" s="27">
        <v>0</v>
      </c>
      <c r="AM330" s="27">
        <v>2477285.4183</v>
      </c>
      <c r="AN330" s="32">
        <v>262917.54259999999</v>
      </c>
      <c r="AO330" s="33">
        <v>504003.19780074002</v>
      </c>
      <c r="AP330" s="84">
        <f>+N330-'Приложение №2'!E330</f>
        <v>0</v>
      </c>
      <c r="AQ330" s="1">
        <v>1384488.01</v>
      </c>
      <c r="AR330" s="1">
        <f t="shared" si="142"/>
        <v>312313.8</v>
      </c>
      <c r="AS330" s="1">
        <f t="shared" si="143"/>
        <v>11022840</v>
      </c>
      <c r="AT330" s="29">
        <f t="shared" si="127"/>
        <v>-5652010.7351698</v>
      </c>
      <c r="AU330" s="29">
        <f>+P330-'[6]Приложение №1'!$P319</f>
        <v>0</v>
      </c>
      <c r="AV330" s="29">
        <f>+Q330-'[6]Приложение №1'!$Q319</f>
        <v>0</v>
      </c>
      <c r="AW330" s="29">
        <f>+R330-'[6]Приложение №1'!$R319</f>
        <v>0</v>
      </c>
      <c r="AX330" s="29">
        <f>+S330-'[6]Приложение №1'!$S319</f>
        <v>0</v>
      </c>
      <c r="AY330" s="29">
        <f>+T330-'[6]Приложение №1'!$T319</f>
        <v>0</v>
      </c>
    </row>
    <row r="331" spans="1:51" x14ac:dyDescent="0.25">
      <c r="A331" s="135">
        <f t="shared" si="145"/>
        <v>314</v>
      </c>
      <c r="B331" s="134">
        <f t="shared" si="145"/>
        <v>126</v>
      </c>
      <c r="C331" s="77" t="s">
        <v>72</v>
      </c>
      <c r="D331" s="77" t="s">
        <v>478</v>
      </c>
      <c r="E331" s="78">
        <v>1966</v>
      </c>
      <c r="F331" s="78">
        <v>2013</v>
      </c>
      <c r="G331" s="78" t="s">
        <v>44</v>
      </c>
      <c r="H331" s="78">
        <v>4</v>
      </c>
      <c r="I331" s="78">
        <v>6</v>
      </c>
      <c r="J331" s="44">
        <v>2829.5</v>
      </c>
      <c r="K331" s="44">
        <v>2537.8000000000002</v>
      </c>
      <c r="L331" s="44">
        <v>230.6</v>
      </c>
      <c r="M331" s="79">
        <v>144</v>
      </c>
      <c r="N331" s="72">
        <f t="shared" si="124"/>
        <v>2498104.0629126206</v>
      </c>
      <c r="O331" s="44"/>
      <c r="P331" s="68"/>
      <c r="Q331" s="68"/>
      <c r="R331" s="68">
        <f>+AQ331+AR331</f>
        <v>102987.15999999992</v>
      </c>
      <c r="S331" s="68">
        <f>+'Приложение №2'!E331-'Приложение №1'!R331</f>
        <v>2395116.9029126205</v>
      </c>
      <c r="T331" s="68">
        <v>0</v>
      </c>
      <c r="U331" s="44">
        <f t="shared" si="140"/>
        <v>902.36384298245218</v>
      </c>
      <c r="V331" s="44">
        <f t="shared" si="140"/>
        <v>902.36384298245218</v>
      </c>
      <c r="W331" s="80">
        <v>2023</v>
      </c>
      <c r="X331" s="29" t="e">
        <f>+#REF!-'[1]Приложение №1'!$P1637</f>
        <v>#REF!</v>
      </c>
      <c r="Z331" s="31">
        <f t="shared" si="144"/>
        <v>15087934.029999999</v>
      </c>
      <c r="AA331" s="27">
        <v>6065034.6402882598</v>
      </c>
      <c r="AB331" s="27">
        <v>2161221.1824524999</v>
      </c>
      <c r="AC331" s="27">
        <v>2257995.2503873804</v>
      </c>
      <c r="AD331" s="27">
        <v>1413647.7960217199</v>
      </c>
      <c r="AE331" s="27">
        <v>864921.32273358025</v>
      </c>
      <c r="AF331" s="27"/>
      <c r="AG331" s="27">
        <v>232731.98563608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1657316.1065</v>
      </c>
      <c r="AN331" s="32">
        <v>150879.34030000001</v>
      </c>
      <c r="AO331" s="33">
        <v>284186.40568048006</v>
      </c>
      <c r="AP331" s="84">
        <f>+N331-'Приложение №2'!E331</f>
        <v>0</v>
      </c>
      <c r="AQ331" s="29">
        <f>1303433.04-R118</f>
        <v>-202910.84000000008</v>
      </c>
      <c r="AR331" s="1">
        <f t="shared" si="142"/>
        <v>305898</v>
      </c>
      <c r="AS331" s="1">
        <f>+(K331*10+L331*20)*12*30-S118</f>
        <v>7839932.5389768397</v>
      </c>
      <c r="AT331" s="29">
        <f t="shared" si="127"/>
        <v>-5444815.6360642193</v>
      </c>
      <c r="AU331" s="29">
        <f>+P331-'[6]Приложение №1'!$P320</f>
        <v>0</v>
      </c>
      <c r="AV331" s="29">
        <f>+Q331-'[6]Приложение №1'!$Q320</f>
        <v>0</v>
      </c>
      <c r="AW331" s="29">
        <f>+R331-'[6]Приложение №1'!$R320</f>
        <v>0</v>
      </c>
      <c r="AX331" s="29">
        <f>+S331-'[6]Приложение №1'!$S320</f>
        <v>0</v>
      </c>
      <c r="AY331" s="29">
        <f>+T331-'[6]Приложение №1'!$T320</f>
        <v>0</v>
      </c>
    </row>
    <row r="332" spans="1:51" x14ac:dyDescent="0.25">
      <c r="A332" s="135">
        <f t="shared" si="145"/>
        <v>315</v>
      </c>
      <c r="B332" s="134">
        <f t="shared" si="145"/>
        <v>127</v>
      </c>
      <c r="C332" s="77" t="s">
        <v>72</v>
      </c>
      <c r="D332" s="77" t="s">
        <v>209</v>
      </c>
      <c r="E332" s="78">
        <v>1971</v>
      </c>
      <c r="F332" s="78">
        <v>2013</v>
      </c>
      <c r="G332" s="78" t="s">
        <v>44</v>
      </c>
      <c r="H332" s="78">
        <v>4</v>
      </c>
      <c r="I332" s="78">
        <v>4</v>
      </c>
      <c r="J332" s="44">
        <v>3003.8</v>
      </c>
      <c r="K332" s="44">
        <v>2693.7</v>
      </c>
      <c r="L332" s="44">
        <v>0</v>
      </c>
      <c r="M332" s="79">
        <v>120</v>
      </c>
      <c r="N332" s="72">
        <f t="shared" si="124"/>
        <v>1024499.247894</v>
      </c>
      <c r="O332" s="44"/>
      <c r="P332" s="68">
        <v>0</v>
      </c>
      <c r="Q332" s="68"/>
      <c r="R332" s="68">
        <f>+'Приложение №2'!E332</f>
        <v>1024499.247894</v>
      </c>
      <c r="S332" s="68">
        <f>+'Приложение №2'!E332-'Приложение №1'!R332</f>
        <v>0</v>
      </c>
      <c r="T332" s="68">
        <v>0</v>
      </c>
      <c r="U332" s="44">
        <f t="shared" si="140"/>
        <v>380.3316063013699</v>
      </c>
      <c r="V332" s="44">
        <f t="shared" si="140"/>
        <v>380.3316063013699</v>
      </c>
      <c r="W332" s="80">
        <v>2023</v>
      </c>
      <c r="X332" s="29" t="e">
        <f>+#REF!-'[1]Приложение №1'!$P701</f>
        <v>#REF!</v>
      </c>
      <c r="Z332" s="31">
        <f t="shared" si="144"/>
        <v>21441082.737894002</v>
      </c>
      <c r="AA332" s="27">
        <v>0</v>
      </c>
      <c r="AB332" s="27">
        <v>2296919.6304310197</v>
      </c>
      <c r="AC332" s="27">
        <v>2399769.9437850602</v>
      </c>
      <c r="AD332" s="27">
        <v>0</v>
      </c>
      <c r="AE332" s="27">
        <v>1020388.92</v>
      </c>
      <c r="AF332" s="27"/>
      <c r="AG332" s="27">
        <v>247344.72404292002</v>
      </c>
      <c r="AH332" s="27">
        <v>0</v>
      </c>
      <c r="AI332" s="27">
        <v>0</v>
      </c>
      <c r="AJ332" s="27">
        <v>0</v>
      </c>
      <c r="AK332" s="27">
        <v>6118299.9556223992</v>
      </c>
      <c r="AL332" s="27">
        <v>6599302.6705422606</v>
      </c>
      <c r="AM332" s="27">
        <v>2162864.8599</v>
      </c>
      <c r="AN332" s="32">
        <v>205857.47699999998</v>
      </c>
      <c r="AO332" s="33">
        <v>390334.55657033995</v>
      </c>
      <c r="AP332" s="84">
        <f>+N332-'Приложение №2'!E332</f>
        <v>0</v>
      </c>
      <c r="AQ332" s="1">
        <f>1245150.45-129665.9434</f>
        <v>1115484.5066</v>
      </c>
      <c r="AR332" s="1">
        <f t="shared" si="142"/>
        <v>274757.39999999997</v>
      </c>
      <c r="AS332" s="1">
        <f>+(K332*10+L332*20)*12*30-552777.2166</f>
        <v>9144542.7833999991</v>
      </c>
      <c r="AT332" s="29">
        <f t="shared" si="127"/>
        <v>-9144542.7833999991</v>
      </c>
      <c r="AU332" s="29">
        <f>+P332-'[6]Приложение №1'!$P321</f>
        <v>0</v>
      </c>
      <c r="AV332" s="29">
        <f>+Q332-'[6]Приложение №1'!$Q321</f>
        <v>0</v>
      </c>
      <c r="AW332" s="29">
        <f>+R332-'[6]Приложение №1'!$R321</f>
        <v>0</v>
      </c>
      <c r="AX332" s="29">
        <f>+S332-'[6]Приложение №1'!$S321</f>
        <v>0</v>
      </c>
      <c r="AY332" s="29">
        <f>+T332-'[6]Приложение №1'!$T321</f>
        <v>0</v>
      </c>
    </row>
    <row r="333" spans="1:51" s="35" customFormat="1" x14ac:dyDescent="0.25">
      <c r="A333" s="135">
        <f t="shared" si="145"/>
        <v>316</v>
      </c>
      <c r="B333" s="134">
        <f t="shared" si="145"/>
        <v>128</v>
      </c>
      <c r="C333" s="77" t="s">
        <v>72</v>
      </c>
      <c r="D333" s="77" t="s">
        <v>652</v>
      </c>
      <c r="E333" s="78" t="s">
        <v>594</v>
      </c>
      <c r="F333" s="78"/>
      <c r="G333" s="78" t="s">
        <v>570</v>
      </c>
      <c r="H333" s="78" t="s">
        <v>579</v>
      </c>
      <c r="I333" s="78" t="s">
        <v>579</v>
      </c>
      <c r="J333" s="44">
        <v>2630.5</v>
      </c>
      <c r="K333" s="44">
        <v>2361.1</v>
      </c>
      <c r="L333" s="44">
        <v>37.5</v>
      </c>
      <c r="M333" s="79">
        <v>122</v>
      </c>
      <c r="N333" s="72">
        <f t="shared" ref="N333:N396" si="146">+P333+Q333+R333+S333+T333</f>
        <v>11931064.43</v>
      </c>
      <c r="O333" s="44">
        <v>0</v>
      </c>
      <c r="P333" s="68">
        <f>+'Приложение №2'!E333-'Приложение №1'!R333-'Приложение №1'!S333</f>
        <v>1780478.1500000004</v>
      </c>
      <c r="Q333" s="68">
        <v>0</v>
      </c>
      <c r="R333" s="68">
        <f>+AQ333+AR333</f>
        <v>1380626.28</v>
      </c>
      <c r="S333" s="68">
        <f>+AS333</f>
        <v>8769960</v>
      </c>
      <c r="T333" s="68">
        <v>0</v>
      </c>
      <c r="U333" s="44">
        <f t="shared" si="140"/>
        <v>4974.1784499291252</v>
      </c>
      <c r="V333" s="44">
        <f t="shared" si="140"/>
        <v>4974.1784499291252</v>
      </c>
      <c r="W333" s="80">
        <v>2023</v>
      </c>
      <c r="X333" s="35">
        <v>898574.26</v>
      </c>
      <c r="Y333" s="35">
        <f>+(K333*9.1+L333*18.19)*12</f>
        <v>266017.62</v>
      </c>
      <c r="AA333" s="36">
        <f>+N333-'[5]Приложение № 2'!E305</f>
        <v>-13837459.350000001</v>
      </c>
      <c r="AD333" s="36">
        <f>+N333-'[5]Приложение № 2'!E305</f>
        <v>-13837459.350000001</v>
      </c>
      <c r="AP333" s="84">
        <f>+N333-'Приложение №2'!E333</f>
        <v>0</v>
      </c>
      <c r="AQ333" s="35">
        <v>1132144.08</v>
      </c>
      <c r="AR333" s="1">
        <f t="shared" si="142"/>
        <v>248482.19999999998</v>
      </c>
      <c r="AS333" s="1">
        <f>+(K333*10+L333*20)*12*30</f>
        <v>8769960</v>
      </c>
      <c r="AT333" s="29">
        <f t="shared" si="127"/>
        <v>0</v>
      </c>
      <c r="AU333" s="29">
        <f>+P333-'[6]Приложение №1'!$P322</f>
        <v>0</v>
      </c>
      <c r="AV333" s="29">
        <f>+Q333-'[6]Приложение №1'!$Q322</f>
        <v>0</v>
      </c>
      <c r="AW333" s="29">
        <f>+R333-'[6]Приложение №1'!$R322</f>
        <v>0</v>
      </c>
      <c r="AX333" s="29">
        <f>+S333-'[6]Приложение №1'!$S322</f>
        <v>0</v>
      </c>
      <c r="AY333" s="29">
        <f>+T333-'[6]Приложение №1'!$T322</f>
        <v>0</v>
      </c>
    </row>
    <row r="334" spans="1:51" x14ac:dyDescent="0.25">
      <c r="A334" s="135">
        <f t="shared" si="145"/>
        <v>317</v>
      </c>
      <c r="B334" s="134">
        <f t="shared" si="145"/>
        <v>129</v>
      </c>
      <c r="C334" s="77" t="s">
        <v>72</v>
      </c>
      <c r="D334" s="77" t="s">
        <v>372</v>
      </c>
      <c r="E334" s="78">
        <v>1995</v>
      </c>
      <c r="F334" s="78">
        <v>2013</v>
      </c>
      <c r="G334" s="78" t="s">
        <v>44</v>
      </c>
      <c r="H334" s="78">
        <v>5</v>
      </c>
      <c r="I334" s="78">
        <v>2</v>
      </c>
      <c r="J334" s="44">
        <v>2325.6999999999998</v>
      </c>
      <c r="K334" s="44">
        <v>1861.6</v>
      </c>
      <c r="L334" s="44">
        <v>0</v>
      </c>
      <c r="M334" s="79">
        <v>45</v>
      </c>
      <c r="N334" s="72">
        <f t="shared" si="146"/>
        <v>1835710.56090784</v>
      </c>
      <c r="O334" s="44"/>
      <c r="P334" s="68"/>
      <c r="Q334" s="68"/>
      <c r="R334" s="68">
        <f>+AQ334+AR334</f>
        <v>907762.26</v>
      </c>
      <c r="S334" s="68">
        <f>+'Приложение №2'!E334-'Приложение №1'!R334</f>
        <v>927948.30090784002</v>
      </c>
      <c r="T334" s="68">
        <f>+'Приложение №2'!E334-'Приложение №1'!P334-'Приложение №1'!Q334-'Приложение №1'!R334-'Приложение №1'!S334</f>
        <v>0</v>
      </c>
      <c r="U334" s="44">
        <f t="shared" si="140"/>
        <v>986.09290981297818</v>
      </c>
      <c r="V334" s="44">
        <f t="shared" si="140"/>
        <v>986.09290981297818</v>
      </c>
      <c r="W334" s="80">
        <v>2023</v>
      </c>
      <c r="X334" s="29" t="e">
        <f>+#REF!-'[1]Приложение №1'!$P1294</f>
        <v>#REF!</v>
      </c>
      <c r="Z334" s="31">
        <f>SUM(AA334:AO334)</f>
        <v>24619973.59</v>
      </c>
      <c r="AA334" s="27">
        <v>4453931.4770332193</v>
      </c>
      <c r="AB334" s="27">
        <v>1587118.89355698</v>
      </c>
      <c r="AC334" s="27">
        <v>1658186.10096636</v>
      </c>
      <c r="AD334" s="27">
        <v>1038129.3440137201</v>
      </c>
      <c r="AE334" s="27">
        <v>0</v>
      </c>
      <c r="AF334" s="27"/>
      <c r="AG334" s="27">
        <v>170909.54989416001</v>
      </c>
      <c r="AH334" s="27">
        <v>0</v>
      </c>
      <c r="AI334" s="27">
        <v>8142464.4194249995</v>
      </c>
      <c r="AJ334" s="27">
        <v>0</v>
      </c>
      <c r="AK334" s="27">
        <v>0</v>
      </c>
      <c r="AL334" s="27">
        <v>4559967.0846529808</v>
      </c>
      <c r="AM334" s="27">
        <v>2290484.5943999998</v>
      </c>
      <c r="AN334" s="32">
        <v>246199.7359</v>
      </c>
      <c r="AO334" s="33">
        <v>472582.39015758003</v>
      </c>
      <c r="AP334" s="84">
        <f>+N334-'Приложение №2'!E334</f>
        <v>0</v>
      </c>
      <c r="AQ334" s="1">
        <v>717879.06</v>
      </c>
      <c r="AR334" s="1">
        <f t="shared" si="142"/>
        <v>189883.19999999998</v>
      </c>
      <c r="AS334" s="1">
        <f>+(K334*10+L334*20)*12*30</f>
        <v>6701760</v>
      </c>
      <c r="AT334" s="29">
        <f t="shared" si="127"/>
        <v>-5773811.69909216</v>
      </c>
      <c r="AU334" s="29">
        <f>+P334-'[6]Приложение №1'!$P323</f>
        <v>0</v>
      </c>
      <c r="AV334" s="29">
        <f>+Q334-'[6]Приложение №1'!$Q323</f>
        <v>0</v>
      </c>
      <c r="AW334" s="29">
        <f>+R334-'[6]Приложение №1'!$R323</f>
        <v>0</v>
      </c>
      <c r="AX334" s="29">
        <f>+S334-'[6]Приложение №1'!$S323</f>
        <v>0</v>
      </c>
      <c r="AY334" s="29">
        <f>+T334-'[6]Приложение №1'!$T323</f>
        <v>0</v>
      </c>
    </row>
    <row r="335" spans="1:51" x14ac:dyDescent="0.25">
      <c r="A335" s="135">
        <f t="shared" si="145"/>
        <v>318</v>
      </c>
      <c r="B335" s="134">
        <f t="shared" si="145"/>
        <v>130</v>
      </c>
      <c r="C335" s="77" t="s">
        <v>72</v>
      </c>
      <c r="D335" s="77" t="s">
        <v>210</v>
      </c>
      <c r="E335" s="78">
        <v>1976</v>
      </c>
      <c r="F335" s="78">
        <v>2013</v>
      </c>
      <c r="G335" s="78" t="s">
        <v>44</v>
      </c>
      <c r="H335" s="78">
        <v>4</v>
      </c>
      <c r="I335" s="78">
        <v>4</v>
      </c>
      <c r="J335" s="44">
        <v>2850.8</v>
      </c>
      <c r="K335" s="44">
        <v>2612.3000000000002</v>
      </c>
      <c r="L335" s="44">
        <v>0</v>
      </c>
      <c r="M335" s="79">
        <v>135</v>
      </c>
      <c r="N335" s="72">
        <f t="shared" si="146"/>
        <v>1024198.037306</v>
      </c>
      <c r="O335" s="44"/>
      <c r="P335" s="68"/>
      <c r="Q335" s="68"/>
      <c r="R335" s="68">
        <f>+'Приложение №2'!E335</f>
        <v>1024198.037306</v>
      </c>
      <c r="S335" s="68">
        <f>+'Приложение №2'!E335-'Приложение №1'!R335</f>
        <v>0</v>
      </c>
      <c r="T335" s="68">
        <v>0</v>
      </c>
      <c r="U335" s="44">
        <f t="shared" ref="U335:V356" si="147">$N335/($K335+$L335)</f>
        <v>392.06754098151055</v>
      </c>
      <c r="V335" s="44">
        <f t="shared" si="147"/>
        <v>392.06754098151055</v>
      </c>
      <c r="W335" s="80">
        <v>2023</v>
      </c>
      <c r="X335" s="29" t="e">
        <f>+#REF!-'[1]Приложение №1'!$P704</f>
        <v>#REF!</v>
      </c>
      <c r="Z335" s="31">
        <f>SUM(AA335:AO335)</f>
        <v>9718452.3328623008</v>
      </c>
      <c r="AA335" s="27">
        <v>0</v>
      </c>
      <c r="AB335" s="27"/>
      <c r="AC335" s="27">
        <v>0</v>
      </c>
      <c r="AD335" s="27"/>
      <c r="AE335" s="27">
        <v>1013323.25</v>
      </c>
      <c r="AF335" s="27"/>
      <c r="AG335" s="27">
        <v>237743.37685980002</v>
      </c>
      <c r="AH335" s="27">
        <v>0</v>
      </c>
      <c r="AI335" s="27">
        <v>0</v>
      </c>
      <c r="AJ335" s="27">
        <v>0</v>
      </c>
      <c r="AK335" s="27">
        <v>5880801.6867473992</v>
      </c>
      <c r="AL335" s="27"/>
      <c r="AM335" s="27">
        <v>2042532.0290000001</v>
      </c>
      <c r="AN335" s="32">
        <v>187559.97450000001</v>
      </c>
      <c r="AO335" s="33">
        <v>356492.0157551</v>
      </c>
      <c r="AP335" s="84">
        <f>+N335-'Приложение №2'!E335</f>
        <v>0</v>
      </c>
      <c r="AQ335" s="1">
        <f>1147783.87-88084.66</f>
        <v>1059699.2100000002</v>
      </c>
      <c r="AR335" s="1">
        <f t="shared" si="142"/>
        <v>266454.59999999998</v>
      </c>
      <c r="AS335" s="1">
        <f>+(K335*10+L335*20)*12*30-2038331.33</f>
        <v>7365948.6699999999</v>
      </c>
      <c r="AT335" s="29">
        <f t="shared" si="127"/>
        <v>-7365948.6699999999</v>
      </c>
      <c r="AU335" s="29">
        <f>+P335-'[6]Приложение №1'!$P324</f>
        <v>0</v>
      </c>
      <c r="AV335" s="29">
        <f>+Q335-'[6]Приложение №1'!$Q324</f>
        <v>0</v>
      </c>
      <c r="AW335" s="29">
        <f>+R335-'[6]Приложение №1'!$R324</f>
        <v>0</v>
      </c>
      <c r="AX335" s="29">
        <f>+S335-'[6]Приложение №1'!$S324</f>
        <v>0</v>
      </c>
      <c r="AY335" s="29">
        <f>+T335-'[6]Приложение №1'!$T324</f>
        <v>0</v>
      </c>
    </row>
    <row r="336" spans="1:51" x14ac:dyDescent="0.25">
      <c r="A336" s="135">
        <f t="shared" si="145"/>
        <v>319</v>
      </c>
      <c r="B336" s="134">
        <f t="shared" si="145"/>
        <v>131</v>
      </c>
      <c r="C336" s="77" t="s">
        <v>72</v>
      </c>
      <c r="D336" s="77" t="s">
        <v>84</v>
      </c>
      <c r="E336" s="78">
        <v>1968</v>
      </c>
      <c r="F336" s="78">
        <v>2013</v>
      </c>
      <c r="G336" s="78" t="s">
        <v>44</v>
      </c>
      <c r="H336" s="78">
        <v>5</v>
      </c>
      <c r="I336" s="78">
        <v>5</v>
      </c>
      <c r="J336" s="44">
        <v>3261.1</v>
      </c>
      <c r="K336" s="44">
        <v>2512.5</v>
      </c>
      <c r="L336" s="44">
        <v>664.8</v>
      </c>
      <c r="M336" s="79">
        <v>128</v>
      </c>
      <c r="N336" s="72">
        <f t="shared" si="146"/>
        <v>1245038.665028</v>
      </c>
      <c r="O336" s="44"/>
      <c r="P336" s="68"/>
      <c r="Q336" s="68"/>
      <c r="R336" s="68">
        <f>+'Приложение №2'!E336</f>
        <v>1245038.665028</v>
      </c>
      <c r="S336" s="68">
        <f>+'Приложение №2'!E336-'Приложение №1'!R336</f>
        <v>0</v>
      </c>
      <c r="T336" s="68">
        <v>0</v>
      </c>
      <c r="U336" s="44">
        <f t="shared" si="147"/>
        <v>391.85429925660151</v>
      </c>
      <c r="V336" s="44">
        <f t="shared" si="147"/>
        <v>391.85429925660151</v>
      </c>
      <c r="W336" s="80">
        <v>2023</v>
      </c>
      <c r="X336" s="29" t="e">
        <f>+#REF!-'[1]Приложение №1'!$P430</f>
        <v>#REF!</v>
      </c>
      <c r="Z336" s="31">
        <f>SUM(AA336:AO336)</f>
        <v>30275329.636437476</v>
      </c>
      <c r="AA336" s="27">
        <v>6028027.9685480399</v>
      </c>
      <c r="AB336" s="27">
        <v>0</v>
      </c>
      <c r="AC336" s="27">
        <v>2244217.7771235602</v>
      </c>
      <c r="AD336" s="27">
        <v>0</v>
      </c>
      <c r="AE336" s="27">
        <v>1240916.79</v>
      </c>
      <c r="AF336" s="27"/>
      <c r="AG336" s="27">
        <v>0</v>
      </c>
      <c r="AH336" s="27">
        <v>0</v>
      </c>
      <c r="AI336" s="27">
        <v>11020152.319356598</v>
      </c>
      <c r="AJ336" s="27">
        <v>0</v>
      </c>
      <c r="AK336" s="27">
        <v>5721714.1000613989</v>
      </c>
      <c r="AL336" s="27">
        <v>0</v>
      </c>
      <c r="AM336" s="27">
        <v>3056047.9632999999</v>
      </c>
      <c r="AN336" s="32">
        <v>328671.8125</v>
      </c>
      <c r="AO336" s="33">
        <v>635580.90554787999</v>
      </c>
      <c r="AP336" s="84">
        <f>+N336-'Приложение №2'!E336</f>
        <v>0</v>
      </c>
      <c r="AQ336" s="1">
        <v>1018647.82</v>
      </c>
      <c r="AR336" s="1">
        <f t="shared" si="142"/>
        <v>391894.2</v>
      </c>
      <c r="AS336" s="1">
        <f>+(K336*10+L336*20)*12*30</f>
        <v>13831560</v>
      </c>
      <c r="AT336" s="29">
        <f t="shared" si="127"/>
        <v>-13831560</v>
      </c>
      <c r="AU336" s="29">
        <f>+P336-'[6]Приложение №1'!$P325</f>
        <v>0</v>
      </c>
      <c r="AV336" s="29">
        <f>+Q336-'[6]Приложение №1'!$Q325</f>
        <v>0</v>
      </c>
      <c r="AW336" s="29">
        <f>+R336-'[6]Приложение №1'!$R325</f>
        <v>0</v>
      </c>
      <c r="AX336" s="29">
        <f>+S336-'[6]Приложение №1'!$S325</f>
        <v>0</v>
      </c>
      <c r="AY336" s="29">
        <f>+T336-'[6]Приложение №1'!$T325</f>
        <v>0</v>
      </c>
    </row>
    <row r="337" spans="1:51" s="35" customFormat="1" x14ac:dyDescent="0.25">
      <c r="A337" s="135">
        <f t="shared" si="145"/>
        <v>320</v>
      </c>
      <c r="B337" s="134">
        <f t="shared" si="145"/>
        <v>132</v>
      </c>
      <c r="C337" s="77" t="s">
        <v>72</v>
      </c>
      <c r="D337" s="77" t="s">
        <v>479</v>
      </c>
      <c r="E337" s="78" t="s">
        <v>594</v>
      </c>
      <c r="F337" s="78"/>
      <c r="G337" s="78" t="s">
        <v>573</v>
      </c>
      <c r="H337" s="78" t="s">
        <v>579</v>
      </c>
      <c r="I337" s="78" t="s">
        <v>583</v>
      </c>
      <c r="J337" s="44">
        <v>5678.2</v>
      </c>
      <c r="K337" s="44">
        <v>4923.8</v>
      </c>
      <c r="L337" s="44">
        <v>69.900000000000006</v>
      </c>
      <c r="M337" s="79">
        <v>205</v>
      </c>
      <c r="N337" s="72">
        <f t="shared" si="146"/>
        <v>73380912.513798714</v>
      </c>
      <c r="O337" s="44">
        <v>0</v>
      </c>
      <c r="P337" s="68">
        <v>17605158.597932905</v>
      </c>
      <c r="Q337" s="68">
        <v>0</v>
      </c>
      <c r="R337" s="68">
        <f>+AQ337+AR337</f>
        <v>2797375.72</v>
      </c>
      <c r="S337" s="68">
        <f>+AS337</f>
        <v>18228960</v>
      </c>
      <c r="T337" s="68">
        <f>+'Приложение №2'!E337-'Приложение №1'!P337-'Приложение №1'!Q337-'Приложение №1'!R337-'Приложение №1'!S337</f>
        <v>34749418.19586581</v>
      </c>
      <c r="U337" s="44">
        <f t="shared" si="147"/>
        <v>14694.697822015483</v>
      </c>
      <c r="V337" s="44">
        <f t="shared" si="147"/>
        <v>14694.697822015483</v>
      </c>
      <c r="W337" s="80">
        <v>2023</v>
      </c>
      <c r="X337" s="35">
        <v>1831927.01</v>
      </c>
      <c r="Y337" s="35">
        <f>+(K337*9.1+L337*18.19)*12</f>
        <v>552936.73200000008</v>
      </c>
      <c r="AA337" s="36">
        <f>+N337-'[5]Приложение № 2'!E307</f>
        <v>71422771.353798717</v>
      </c>
      <c r="AD337" s="36">
        <f>+N337-'[5]Приложение № 2'!E307</f>
        <v>71422771.353798717</v>
      </c>
      <c r="AP337" s="84">
        <f>+N337-'Приложение №2'!E337</f>
        <v>0</v>
      </c>
      <c r="AQ337" s="35">
        <v>2280888.52</v>
      </c>
      <c r="AR337" s="1">
        <f t="shared" ref="AR337:AR386" si="148">+(K337*10+L337*20)*12*0.85</f>
        <v>516487.2</v>
      </c>
      <c r="AS337" s="1">
        <f>+(K337*10+L337*20)*12*30</f>
        <v>18228960</v>
      </c>
      <c r="AT337" s="29">
        <f t="shared" si="127"/>
        <v>0</v>
      </c>
      <c r="AU337" s="29">
        <f>+P337-'[6]Приложение №1'!$P327</f>
        <v>0</v>
      </c>
      <c r="AV337" s="29">
        <f>+Q337-'[6]Приложение №1'!$Q327</f>
        <v>0</v>
      </c>
      <c r="AW337" s="29">
        <f>+R337-'[6]Приложение №1'!$R327</f>
        <v>0</v>
      </c>
      <c r="AX337" s="29">
        <f>+S337-'[6]Приложение №1'!$S327</f>
        <v>0</v>
      </c>
      <c r="AY337" s="29">
        <f>+T337-'[6]Приложение №1'!$T327</f>
        <v>0</v>
      </c>
    </row>
    <row r="338" spans="1:51" s="35" customFormat="1" x14ac:dyDescent="0.25">
      <c r="A338" s="135">
        <f t="shared" si="145"/>
        <v>321</v>
      </c>
      <c r="B338" s="134">
        <f t="shared" si="145"/>
        <v>133</v>
      </c>
      <c r="C338" s="77" t="s">
        <v>72</v>
      </c>
      <c r="D338" s="77" t="s">
        <v>689</v>
      </c>
      <c r="E338" s="78" t="s">
        <v>594</v>
      </c>
      <c r="F338" s="78"/>
      <c r="G338" s="78" t="s">
        <v>573</v>
      </c>
      <c r="H338" s="78" t="s">
        <v>579</v>
      </c>
      <c r="I338" s="78" t="s">
        <v>583</v>
      </c>
      <c r="J338" s="44">
        <v>5563.5</v>
      </c>
      <c r="K338" s="44">
        <v>4878.8999999999996</v>
      </c>
      <c r="L338" s="44">
        <v>141.30000000000001</v>
      </c>
      <c r="M338" s="79">
        <v>202</v>
      </c>
      <c r="N338" s="72">
        <f t="shared" si="146"/>
        <v>71696112.560389429</v>
      </c>
      <c r="O338" s="44">
        <v>0</v>
      </c>
      <c r="P338" s="68">
        <v>17148929.116796475</v>
      </c>
      <c r="Q338" s="68">
        <v>0</v>
      </c>
      <c r="R338" s="68">
        <f>+AQ338+AR338</f>
        <v>2911056.81</v>
      </c>
      <c r="S338" s="68">
        <f>+AS338</f>
        <v>18581400</v>
      </c>
      <c r="T338" s="68">
        <f>+'Приложение №2'!E338-'Приложение №1'!P338-'Приложение №1'!Q338-'Приложение №1'!R338-'Приложение №1'!S338</f>
        <v>33054726.633592948</v>
      </c>
      <c r="U338" s="44">
        <f t="shared" si="147"/>
        <v>14281.525150469988</v>
      </c>
      <c r="V338" s="44">
        <f t="shared" si="147"/>
        <v>14281.525150469988</v>
      </c>
      <c r="W338" s="80">
        <v>2023</v>
      </c>
      <c r="X338" s="35">
        <v>1863663.58</v>
      </c>
      <c r="Y338" s="35">
        <f>+(K338*9.1+L338*18.19)*12</f>
        <v>563618.84400000004</v>
      </c>
      <c r="AA338" s="36">
        <f>+N338-'[5]Приложение № 2'!E308</f>
        <v>66850723.220389426</v>
      </c>
      <c r="AD338" s="36">
        <f>+N338-'[5]Приложение № 2'!E308</f>
        <v>66850723.220389426</v>
      </c>
      <c r="AP338" s="84">
        <f>+N338-'Приложение №2'!E338</f>
        <v>0</v>
      </c>
      <c r="AQ338" s="35">
        <v>2384583.81</v>
      </c>
      <c r="AR338" s="1">
        <f t="shared" si="148"/>
        <v>526473</v>
      </c>
      <c r="AS338" s="1">
        <f>+(K338*10+L338*20)*12*30</f>
        <v>18581400</v>
      </c>
      <c r="AT338" s="29">
        <f t="shared" si="127"/>
        <v>0</v>
      </c>
      <c r="AU338" s="29">
        <f>+P338-'[6]Приложение №1'!$P328</f>
        <v>0</v>
      </c>
      <c r="AV338" s="29">
        <f>+Q338-'[6]Приложение №1'!$Q328</f>
        <v>0</v>
      </c>
      <c r="AW338" s="29">
        <f>+R338-'[6]Приложение №1'!$R328</f>
        <v>0</v>
      </c>
      <c r="AX338" s="29">
        <f>+S338-'[6]Приложение №1'!$S328</f>
        <v>0</v>
      </c>
      <c r="AY338" s="29">
        <f>+T338-'[6]Приложение №1'!$T328</f>
        <v>0</v>
      </c>
    </row>
    <row r="339" spans="1:51" s="35" customFormat="1" x14ac:dyDescent="0.25">
      <c r="A339" s="135">
        <f t="shared" si="145"/>
        <v>322</v>
      </c>
      <c r="B339" s="134">
        <f t="shared" si="145"/>
        <v>134</v>
      </c>
      <c r="C339" s="77" t="s">
        <v>72</v>
      </c>
      <c r="D339" s="77" t="s">
        <v>657</v>
      </c>
      <c r="E339" s="78" t="s">
        <v>610</v>
      </c>
      <c r="F339" s="78"/>
      <c r="G339" s="78" t="s">
        <v>573</v>
      </c>
      <c r="H339" s="78" t="s">
        <v>579</v>
      </c>
      <c r="I339" s="78" t="s">
        <v>583</v>
      </c>
      <c r="J339" s="44">
        <v>5677.5</v>
      </c>
      <c r="K339" s="44">
        <v>4896.3999999999996</v>
      </c>
      <c r="L339" s="44">
        <v>72</v>
      </c>
      <c r="M339" s="79">
        <v>216</v>
      </c>
      <c r="N339" s="72">
        <f t="shared" si="146"/>
        <v>4757098.5299999993</v>
      </c>
      <c r="O339" s="44">
        <v>0</v>
      </c>
      <c r="P339" s="68"/>
      <c r="Q339" s="68">
        <v>0</v>
      </c>
      <c r="R339" s="68">
        <f>+AQ339+AR339</f>
        <v>233316.44000000012</v>
      </c>
      <c r="S339" s="68">
        <f>+AS339</f>
        <v>0</v>
      </c>
      <c r="T339" s="68">
        <f>+'Приложение №2'!E339-'Приложение №1'!P339-'Приложение №1'!Q339-'Приложение №1'!R339-'Приложение №1'!S339</f>
        <v>4523782.0899999989</v>
      </c>
      <c r="U339" s="44">
        <f t="shared" si="147"/>
        <v>957.47092222848391</v>
      </c>
      <c r="V339" s="44">
        <f t="shared" si="147"/>
        <v>957.47092222848391</v>
      </c>
      <c r="W339" s="80">
        <v>2023</v>
      </c>
      <c r="X339" s="35">
        <v>1825680.39</v>
      </c>
      <c r="Y339" s="35">
        <f>+(K339*9.1+L339*18.19)*12</f>
        <v>550403.04</v>
      </c>
      <c r="AA339" s="36">
        <f>+N339-'[5]Приложение № 2'!E309</f>
        <v>3440266.9299999992</v>
      </c>
      <c r="AD339" s="36">
        <f>+N339-'[5]Приложение № 2'!E309</f>
        <v>3440266.9299999992</v>
      </c>
      <c r="AP339" s="84">
        <f>+N339-'Приложение №2'!E339</f>
        <v>0</v>
      </c>
      <c r="AQ339" s="37">
        <f>2265420.6-R121</f>
        <v>-280804.35999999987</v>
      </c>
      <c r="AR339" s="1">
        <f t="shared" si="148"/>
        <v>514120.8</v>
      </c>
      <c r="AS339" s="1">
        <f>+(K339*10+L339*20)*12*30-S121</f>
        <v>0</v>
      </c>
      <c r="AT339" s="29">
        <f t="shared" ref="AT339:AT407" si="149">+S339-AS339</f>
        <v>0</v>
      </c>
      <c r="AU339" s="29">
        <f>+P339-'[6]Приложение №1'!$P329</f>
        <v>0</v>
      </c>
      <c r="AV339" s="29">
        <f>+Q339-'[6]Приложение №1'!$Q329</f>
        <v>0</v>
      </c>
      <c r="AW339" s="29">
        <f>+R339-'[6]Приложение №1'!$R329</f>
        <v>233316.44000000012</v>
      </c>
      <c r="AX339" s="29">
        <f>+S339-'[6]Приложение №1'!$S329</f>
        <v>0</v>
      </c>
      <c r="AY339" s="29">
        <f>+T339-'[6]Приложение №1'!$T329</f>
        <v>2244476.3399999989</v>
      </c>
    </row>
    <row r="340" spans="1:51" x14ac:dyDescent="0.25">
      <c r="A340" s="135">
        <f t="shared" si="145"/>
        <v>323</v>
      </c>
      <c r="B340" s="134">
        <f t="shared" si="145"/>
        <v>135</v>
      </c>
      <c r="C340" s="77" t="s">
        <v>72</v>
      </c>
      <c r="D340" s="77" t="s">
        <v>374</v>
      </c>
      <c r="E340" s="78">
        <v>1968</v>
      </c>
      <c r="F340" s="78">
        <v>2013</v>
      </c>
      <c r="G340" s="78" t="s">
        <v>44</v>
      </c>
      <c r="H340" s="78">
        <v>4</v>
      </c>
      <c r="I340" s="78">
        <v>3</v>
      </c>
      <c r="J340" s="44">
        <v>2488.5</v>
      </c>
      <c r="K340" s="44">
        <v>2348.1999999999998</v>
      </c>
      <c r="L340" s="44">
        <v>69.599999999999994</v>
      </c>
      <c r="M340" s="79">
        <v>56</v>
      </c>
      <c r="N340" s="72">
        <f t="shared" si="146"/>
        <v>1545862.696208</v>
      </c>
      <c r="O340" s="44"/>
      <c r="P340" s="68"/>
      <c r="Q340" s="68"/>
      <c r="R340" s="68"/>
      <c r="S340" s="68">
        <v>1545862.696208</v>
      </c>
      <c r="T340" s="44">
        <f>+'Приложение №2'!E340-'Приложение №1'!P340-'Приложение №1'!Q340-'Приложение №1'!R340-'Приложение №1'!S340</f>
        <v>0</v>
      </c>
      <c r="U340" s="68">
        <f t="shared" si="147"/>
        <v>639.36748126726786</v>
      </c>
      <c r="V340" s="68">
        <f t="shared" si="147"/>
        <v>639.36748126726786</v>
      </c>
      <c r="W340" s="80">
        <v>2023</v>
      </c>
      <c r="X340" s="29" t="e">
        <f>+#REF!-'[1]Приложение №1'!$P1315</f>
        <v>#REF!</v>
      </c>
      <c r="Z340" s="31">
        <f>SUM(AA340:AO340)</f>
        <v>5047649.354092991</v>
      </c>
      <c r="AA340" s="27">
        <v>0</v>
      </c>
      <c r="AB340" s="27">
        <v>2080965.3426794703</v>
      </c>
      <c r="AC340" s="27">
        <v>0</v>
      </c>
      <c r="AD340" s="27">
        <v>1397905.6390375202</v>
      </c>
      <c r="AE340" s="27">
        <v>1036272.8319720001</v>
      </c>
      <c r="AF340" s="27"/>
      <c r="AG340" s="27">
        <v>210866.25214200001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173345.08000000002</v>
      </c>
      <c r="AN340" s="27">
        <v>44945.94</v>
      </c>
      <c r="AO340" s="33">
        <v>103348.268262</v>
      </c>
      <c r="AP340" s="84">
        <f>+N340-'Приложение №2'!E340</f>
        <v>0</v>
      </c>
      <c r="AQ340" s="1">
        <v>1248740.06</v>
      </c>
      <c r="AR340" s="1">
        <f t="shared" si="148"/>
        <v>253714.8</v>
      </c>
      <c r="AS340" s="1">
        <f>+(K340*10+L340*20)*12*30</f>
        <v>8954640</v>
      </c>
      <c r="AT340" s="29">
        <f t="shared" si="149"/>
        <v>-7408777.3037919998</v>
      </c>
      <c r="AU340" s="29">
        <f>+P340-'[6]Приложение №1'!$P330</f>
        <v>0</v>
      </c>
      <c r="AV340" s="29">
        <f>+Q340-'[6]Приложение №1'!$Q330</f>
        <v>0</v>
      </c>
      <c r="AW340" s="29">
        <f>+R340-'[6]Приложение №1'!$R330</f>
        <v>0</v>
      </c>
      <c r="AX340" s="29">
        <f>+S340-'[6]Приложение №1'!$S330</f>
        <v>0</v>
      </c>
      <c r="AY340" s="29">
        <f>+T340-'[6]Приложение №1'!$T330</f>
        <v>0</v>
      </c>
    </row>
    <row r="341" spans="1:51" s="35" customFormat="1" x14ac:dyDescent="0.25">
      <c r="A341" s="135">
        <f t="shared" si="145"/>
        <v>324</v>
      </c>
      <c r="B341" s="134">
        <f t="shared" si="145"/>
        <v>136</v>
      </c>
      <c r="C341" s="77" t="s">
        <v>72</v>
      </c>
      <c r="D341" s="77" t="s">
        <v>658</v>
      </c>
      <c r="E341" s="78" t="s">
        <v>585</v>
      </c>
      <c r="F341" s="78"/>
      <c r="G341" s="78" t="s">
        <v>570</v>
      </c>
      <c r="H341" s="78" t="s">
        <v>582</v>
      </c>
      <c r="I341" s="78" t="s">
        <v>579</v>
      </c>
      <c r="J341" s="44">
        <v>4831.3</v>
      </c>
      <c r="K341" s="44">
        <v>4321.7</v>
      </c>
      <c r="L341" s="44">
        <v>0</v>
      </c>
      <c r="M341" s="79">
        <v>196</v>
      </c>
      <c r="N341" s="72">
        <f t="shared" si="146"/>
        <v>2151481.9070239998</v>
      </c>
      <c r="O341" s="44">
        <v>0</v>
      </c>
      <c r="P341" s="68"/>
      <c r="Q341" s="68">
        <v>0</v>
      </c>
      <c r="R341" s="68">
        <f>+AQ341+AR341</f>
        <v>1333089.1699999997</v>
      </c>
      <c r="S341" s="68">
        <f>+'Приложение №2'!E341-'Приложение №1'!R341</f>
        <v>818392.73702400015</v>
      </c>
      <c r="T341" s="68">
        <v>0</v>
      </c>
      <c r="U341" s="44">
        <f t="shared" si="147"/>
        <v>497.83231298424232</v>
      </c>
      <c r="V341" s="44">
        <f t="shared" si="147"/>
        <v>497.83231298424232</v>
      </c>
      <c r="W341" s="80">
        <v>2023</v>
      </c>
      <c r="X341" s="35">
        <v>1600156.79</v>
      </c>
      <c r="Y341" s="35">
        <f>+(K341*9.1+L341*18.19)*12</f>
        <v>471929.6399999999</v>
      </c>
      <c r="AA341" s="36">
        <f>+N341-'[5]Приложение № 2'!E310</f>
        <v>858040.46702400013</v>
      </c>
      <c r="AD341" s="36">
        <f>+N341-'[5]Приложение № 2'!E310</f>
        <v>858040.46702400013</v>
      </c>
      <c r="AP341" s="84">
        <f>+N341-'Приложение №2'!E341</f>
        <v>0</v>
      </c>
      <c r="AQ341" s="35">
        <f>2071971.63-1179695.86</f>
        <v>892275.76999999979</v>
      </c>
      <c r="AR341" s="1">
        <f t="shared" si="148"/>
        <v>440813.39999999997</v>
      </c>
      <c r="AS341" s="1">
        <f>+(K341*10+L341*20)*12*30-1591931.69</f>
        <v>13966188.310000001</v>
      </c>
      <c r="AT341" s="29">
        <f t="shared" si="149"/>
        <v>-13147795.572976001</v>
      </c>
      <c r="AU341" s="29">
        <f>+P341-'[6]Приложение №1'!$P331</f>
        <v>0</v>
      </c>
      <c r="AV341" s="29">
        <f>+Q341-'[6]Приложение №1'!$Q331</f>
        <v>0</v>
      </c>
      <c r="AW341" s="29">
        <f>+R341-'[6]Приложение №1'!$R331</f>
        <v>0</v>
      </c>
      <c r="AX341" s="29">
        <f>+S341-'[6]Приложение №1'!$S331</f>
        <v>0</v>
      </c>
      <c r="AY341" s="29">
        <f>+T341-'[6]Приложение №1'!$T331</f>
        <v>0</v>
      </c>
    </row>
    <row r="342" spans="1:51" s="35" customFormat="1" x14ac:dyDescent="0.25">
      <c r="A342" s="135">
        <f t="shared" si="145"/>
        <v>325</v>
      </c>
      <c r="B342" s="134">
        <f t="shared" si="145"/>
        <v>137</v>
      </c>
      <c r="C342" s="77" t="s">
        <v>72</v>
      </c>
      <c r="D342" s="77" t="s">
        <v>690</v>
      </c>
      <c r="E342" s="78" t="s">
        <v>578</v>
      </c>
      <c r="F342" s="78"/>
      <c r="G342" s="78" t="s">
        <v>570</v>
      </c>
      <c r="H342" s="78" t="s">
        <v>582</v>
      </c>
      <c r="I342" s="78" t="s">
        <v>579</v>
      </c>
      <c r="J342" s="44">
        <v>4859.5</v>
      </c>
      <c r="K342" s="44">
        <v>4274.3</v>
      </c>
      <c r="L342" s="44">
        <v>0</v>
      </c>
      <c r="M342" s="79">
        <v>197</v>
      </c>
      <c r="N342" s="72">
        <f t="shared" si="146"/>
        <v>2154465.066112</v>
      </c>
      <c r="O342" s="44">
        <v>0</v>
      </c>
      <c r="P342" s="68"/>
      <c r="Q342" s="68">
        <v>0</v>
      </c>
      <c r="R342" s="68">
        <f>+'Приложение №2'!E342</f>
        <v>2154465.066112</v>
      </c>
      <c r="S342" s="68">
        <f>+'Приложение №2'!E342-'Приложение №1'!R342</f>
        <v>0</v>
      </c>
      <c r="T342" s="68">
        <v>0</v>
      </c>
      <c r="U342" s="44">
        <f t="shared" si="147"/>
        <v>504.05097117937436</v>
      </c>
      <c r="V342" s="44">
        <f t="shared" si="147"/>
        <v>504.05097117937436</v>
      </c>
      <c r="W342" s="80">
        <v>2023</v>
      </c>
      <c r="X342" s="35">
        <v>1625579.3</v>
      </c>
      <c r="Y342" s="35">
        <f>+(K342*9.1+L342*18.19)*12</f>
        <v>466753.55999999994</v>
      </c>
      <c r="AA342" s="36">
        <f>+N342-'[5]Приложение № 2'!E311</f>
        <v>1010441.4261120001</v>
      </c>
      <c r="AD342" s="36">
        <f>+N342-'[5]Приложение № 2'!E311</f>
        <v>1010441.4261120001</v>
      </c>
      <c r="AP342" s="84">
        <f>+N342-'Приложение №2'!E342</f>
        <v>0</v>
      </c>
      <c r="AQ342" s="35">
        <v>2094059.07</v>
      </c>
      <c r="AR342" s="1">
        <f t="shared" si="148"/>
        <v>435978.6</v>
      </c>
      <c r="AS342" s="1">
        <f>+(K342*10+L342*20)*12*30</f>
        <v>15387480</v>
      </c>
      <c r="AT342" s="29">
        <f t="shared" si="149"/>
        <v>-15387480</v>
      </c>
      <c r="AU342" s="29">
        <f>+P342-'[6]Приложение №1'!$P332</f>
        <v>0</v>
      </c>
      <c r="AV342" s="29">
        <f>+Q342-'[6]Приложение №1'!$Q332</f>
        <v>0</v>
      </c>
      <c r="AW342" s="29">
        <f>+R342-'[6]Приложение №1'!$R332</f>
        <v>0</v>
      </c>
      <c r="AX342" s="29">
        <f>+S342-'[6]Приложение №1'!$S332</f>
        <v>0</v>
      </c>
      <c r="AY342" s="29">
        <f>+T342-'[6]Приложение №1'!$T332</f>
        <v>0</v>
      </c>
    </row>
    <row r="343" spans="1:51" s="35" customFormat="1" x14ac:dyDescent="0.25">
      <c r="A343" s="135">
        <f t="shared" si="145"/>
        <v>326</v>
      </c>
      <c r="B343" s="134">
        <f t="shared" si="145"/>
        <v>138</v>
      </c>
      <c r="C343" s="77" t="s">
        <v>72</v>
      </c>
      <c r="D343" s="77" t="s">
        <v>653</v>
      </c>
      <c r="E343" s="78" t="s">
        <v>609</v>
      </c>
      <c r="F343" s="78"/>
      <c r="G343" s="78" t="s">
        <v>570</v>
      </c>
      <c r="H343" s="78" t="s">
        <v>579</v>
      </c>
      <c r="I343" s="78" t="s">
        <v>579</v>
      </c>
      <c r="J343" s="44">
        <v>2960.3</v>
      </c>
      <c r="K343" s="44">
        <v>2725</v>
      </c>
      <c r="L343" s="44">
        <v>0</v>
      </c>
      <c r="M343" s="79">
        <v>121</v>
      </c>
      <c r="N343" s="72">
        <f t="shared" si="146"/>
        <v>17851669.850000001</v>
      </c>
      <c r="O343" s="44">
        <v>0</v>
      </c>
      <c r="P343" s="68">
        <v>2155250.5499999993</v>
      </c>
      <c r="Q343" s="68">
        <v>0</v>
      </c>
      <c r="R343" s="68">
        <f t="shared" ref="R343:R361" si="150">+AQ343+AR343</f>
        <v>1611087.2</v>
      </c>
      <c r="S343" s="68">
        <f>+AS343</f>
        <v>9810000</v>
      </c>
      <c r="T343" s="68">
        <f>+'Приложение №2'!E343-'Приложение №1'!P343-'Приложение №1'!Q343-'Приложение №1'!R343-'Приложение №1'!S343</f>
        <v>4275332.0999999996</v>
      </c>
      <c r="U343" s="44">
        <f t="shared" si="147"/>
        <v>6551.0715045871566</v>
      </c>
      <c r="V343" s="44">
        <f t="shared" si="147"/>
        <v>6551.0715045871566</v>
      </c>
      <c r="W343" s="80">
        <v>2023</v>
      </c>
      <c r="X343" s="35">
        <v>1033423.53</v>
      </c>
      <c r="Y343" s="35">
        <f>+(K343*9.1+L343*18.19)*12</f>
        <v>297570</v>
      </c>
      <c r="AA343" s="36">
        <f>+N343-'[5]Приложение № 2'!E312</f>
        <v>16505164.150000002</v>
      </c>
      <c r="AD343" s="36">
        <f>+N343-'[5]Приложение № 2'!E312</f>
        <v>16505164.150000002</v>
      </c>
      <c r="AP343" s="84">
        <f>+N343-'Приложение №2'!E343</f>
        <v>0</v>
      </c>
      <c r="AQ343" s="35">
        <v>1333137.2</v>
      </c>
      <c r="AR343" s="1">
        <f t="shared" si="148"/>
        <v>277950</v>
      </c>
      <c r="AS343" s="1">
        <f>+(K343*10+L343*20)*12*30</f>
        <v>9810000</v>
      </c>
      <c r="AT343" s="29">
        <f t="shared" si="149"/>
        <v>0</v>
      </c>
      <c r="AU343" s="29">
        <f>+P343-'[6]Приложение №1'!$P333</f>
        <v>0</v>
      </c>
      <c r="AV343" s="29">
        <f>+Q343-'[6]Приложение №1'!$Q333</f>
        <v>0</v>
      </c>
      <c r="AW343" s="29">
        <f>+R343-'[6]Приложение №1'!$R333</f>
        <v>0</v>
      </c>
      <c r="AX343" s="29">
        <f>+S343-'[6]Приложение №1'!$S333</f>
        <v>0</v>
      </c>
      <c r="AY343" s="29">
        <f>+T343-'[6]Приложение №1'!$T333</f>
        <v>0</v>
      </c>
    </row>
    <row r="344" spans="1:51" x14ac:dyDescent="0.25">
      <c r="A344" s="135">
        <f t="shared" ref="A344:B359" si="151">+A343+1</f>
        <v>327</v>
      </c>
      <c r="B344" s="134">
        <f t="shared" si="151"/>
        <v>139</v>
      </c>
      <c r="C344" s="77" t="s">
        <v>72</v>
      </c>
      <c r="D344" s="77" t="s">
        <v>377</v>
      </c>
      <c r="E344" s="78">
        <v>1975</v>
      </c>
      <c r="F344" s="78">
        <v>2013</v>
      </c>
      <c r="G344" s="78" t="s">
        <v>51</v>
      </c>
      <c r="H344" s="78">
        <v>4</v>
      </c>
      <c r="I344" s="78">
        <v>6</v>
      </c>
      <c r="J344" s="44">
        <v>5531.3</v>
      </c>
      <c r="K344" s="44">
        <v>4842.7</v>
      </c>
      <c r="L344" s="44">
        <v>189.7</v>
      </c>
      <c r="M344" s="79">
        <v>224</v>
      </c>
      <c r="N344" s="72">
        <f t="shared" si="146"/>
        <v>43610106.900000006</v>
      </c>
      <c r="O344" s="44"/>
      <c r="P344" s="68">
        <v>8083380.5966666685</v>
      </c>
      <c r="Q344" s="68"/>
      <c r="R344" s="68">
        <f t="shared" si="150"/>
        <v>2600624.41</v>
      </c>
      <c r="S344" s="68">
        <f>+AS344</f>
        <v>18799560</v>
      </c>
      <c r="T344" s="68">
        <f>+'Приложение №2'!E344-'Приложение №1'!P344-'Приложение №1'!Q344-'Приложение №1'!R344-'Приложение №1'!S344</f>
        <v>14126541.893333334</v>
      </c>
      <c r="U344" s="44">
        <f t="shared" si="147"/>
        <v>8665.8665646609988</v>
      </c>
      <c r="V344" s="44">
        <f t="shared" si="147"/>
        <v>8665.8665646609988</v>
      </c>
      <c r="W344" s="80">
        <v>2023</v>
      </c>
      <c r="X344" s="29" t="e">
        <f>+#REF!-'[1]Приложение №1'!$P1106</f>
        <v>#REF!</v>
      </c>
      <c r="Z344" s="31">
        <f t="shared" ref="Z344:Z361" si="152">SUM(AA344:AO344)</f>
        <v>87511152.000000015</v>
      </c>
      <c r="AA344" s="27">
        <v>8013494.3878080007</v>
      </c>
      <c r="AB344" s="27">
        <v>4634422.8779520001</v>
      </c>
      <c r="AC344" s="27">
        <v>4898928.1239359993</v>
      </c>
      <c r="AD344" s="27">
        <v>3735474.3417600002</v>
      </c>
      <c r="AE344" s="27">
        <v>1492245.5325120001</v>
      </c>
      <c r="AF344" s="27"/>
      <c r="AG344" s="27">
        <v>398188.42560000002</v>
      </c>
      <c r="AH344" s="27">
        <v>0</v>
      </c>
      <c r="AI344" s="27">
        <v>14265240.0912</v>
      </c>
      <c r="AJ344" s="27">
        <v>0</v>
      </c>
      <c r="AK344" s="27">
        <v>27696044.559456002</v>
      </c>
      <c r="AL344" s="27">
        <v>10892499.105599999</v>
      </c>
      <c r="AM344" s="27">
        <v>8946956.6400000006</v>
      </c>
      <c r="AN344" s="32">
        <v>875111.52</v>
      </c>
      <c r="AO344" s="33">
        <v>1662546.394176</v>
      </c>
      <c r="AP344" s="84">
        <f>+N344-'Приложение №2'!E344</f>
        <v>0</v>
      </c>
      <c r="AQ344" s="1">
        <f>2505054.36-114158.29-322925.86</f>
        <v>2067970.21</v>
      </c>
      <c r="AR344" s="1">
        <f t="shared" si="148"/>
        <v>532654.19999999995</v>
      </c>
      <c r="AS344" s="1">
        <f>+(K344*10+L344*20)*12*30</f>
        <v>18799560</v>
      </c>
      <c r="AT344" s="29">
        <f t="shared" si="149"/>
        <v>0</v>
      </c>
      <c r="AU344" s="29">
        <f>+P344-'[6]Приложение №1'!$P334</f>
        <v>0</v>
      </c>
      <c r="AV344" s="29">
        <f>+Q344-'[6]Приложение №1'!$Q334</f>
        <v>0</v>
      </c>
      <c r="AW344" s="29">
        <f>+R344-'[6]Приложение №1'!$R334</f>
        <v>0</v>
      </c>
      <c r="AX344" s="29">
        <f>+S344-'[6]Приложение №1'!$S334</f>
        <v>0</v>
      </c>
      <c r="AY344" s="29">
        <f>+T344-'[6]Приложение №1'!$T334</f>
        <v>0</v>
      </c>
    </row>
    <row r="345" spans="1:51" x14ac:dyDescent="0.25">
      <c r="A345" s="135">
        <f t="shared" si="151"/>
        <v>328</v>
      </c>
      <c r="B345" s="134">
        <f t="shared" si="151"/>
        <v>140</v>
      </c>
      <c r="C345" s="77" t="s">
        <v>72</v>
      </c>
      <c r="D345" s="77" t="s">
        <v>379</v>
      </c>
      <c r="E345" s="78">
        <v>1974</v>
      </c>
      <c r="F345" s="78">
        <v>2013</v>
      </c>
      <c r="G345" s="78" t="s">
        <v>51</v>
      </c>
      <c r="H345" s="78">
        <v>4</v>
      </c>
      <c r="I345" s="78">
        <v>4</v>
      </c>
      <c r="J345" s="44">
        <v>3940.9</v>
      </c>
      <c r="K345" s="44">
        <v>3373.8</v>
      </c>
      <c r="L345" s="44">
        <v>212.7</v>
      </c>
      <c r="M345" s="79">
        <v>140</v>
      </c>
      <c r="N345" s="72">
        <f t="shared" si="146"/>
        <v>5731758.5462407395</v>
      </c>
      <c r="O345" s="44"/>
      <c r="P345" s="68">
        <f>+'Приложение №2'!E345-'Приложение №1'!S345</f>
        <v>3407178.5424814783</v>
      </c>
      <c r="Q345" s="68"/>
      <c r="R345" s="68">
        <f t="shared" si="150"/>
        <v>0</v>
      </c>
      <c r="S345" s="68">
        <f>+AS345</f>
        <v>2324580.0037592612</v>
      </c>
      <c r="T345" s="68"/>
      <c r="U345" s="44">
        <f t="shared" si="147"/>
        <v>1598.1482075117076</v>
      </c>
      <c r="V345" s="44">
        <f t="shared" si="147"/>
        <v>1598.1482075117076</v>
      </c>
      <c r="W345" s="80">
        <v>2023</v>
      </c>
      <c r="X345" s="29" t="e">
        <f>+#REF!-'[1]Приложение №1'!$P1306</f>
        <v>#REF!</v>
      </c>
      <c r="Z345" s="31">
        <f t="shared" si="152"/>
        <v>62533714.207893997</v>
      </c>
      <c r="AA345" s="27">
        <v>6056878.3300000001</v>
      </c>
      <c r="AB345" s="27">
        <v>3324136.3562038802</v>
      </c>
      <c r="AC345" s="27">
        <v>3513858.2605085401</v>
      </c>
      <c r="AD345" s="27">
        <v>2679346.7940094802</v>
      </c>
      <c r="AE345" s="27">
        <v>1070344.1973180603</v>
      </c>
      <c r="AF345" s="27"/>
      <c r="AG345" s="27">
        <v>285608.94385380001</v>
      </c>
      <c r="AH345" s="27">
        <v>0</v>
      </c>
      <c r="AI345" s="27">
        <v>10232040.652318798</v>
      </c>
      <c r="AJ345" s="27">
        <v>0</v>
      </c>
      <c r="AK345" s="27">
        <v>19865564.963811003</v>
      </c>
      <c r="AL345" s="27">
        <v>7812871.9105562996</v>
      </c>
      <c r="AM345" s="27">
        <v>5963728.8811999997</v>
      </c>
      <c r="AN345" s="32">
        <v>570673.40870000003</v>
      </c>
      <c r="AO345" s="33">
        <v>1158661.5094141401</v>
      </c>
      <c r="AP345" s="84">
        <f>+N345-'Приложение №2'!E345</f>
        <v>0</v>
      </c>
      <c r="AQ345" s="29">
        <f>1707386.79-112573.23-R131</f>
        <v>-387518.39999999991</v>
      </c>
      <c r="AR345" s="1">
        <f t="shared" si="148"/>
        <v>387518.39999999997</v>
      </c>
      <c r="AS345" s="1">
        <f>+(K345*10+L345*20)*12*30-810211.65-S131</f>
        <v>2324580.0037592612</v>
      </c>
      <c r="AT345" s="29">
        <f t="shared" si="149"/>
        <v>0</v>
      </c>
      <c r="AU345" s="29">
        <f>+P345-'[6]Приложение №1'!$P335</f>
        <v>3407178.5424814783</v>
      </c>
      <c r="AV345" s="29">
        <f>+Q345-'[6]Приложение №1'!$Q335</f>
        <v>0</v>
      </c>
      <c r="AW345" s="29">
        <f>+R345-'[6]Приложение №1'!$R335</f>
        <v>-1982331.96</v>
      </c>
      <c r="AX345" s="29">
        <f>+S345-'[6]Приложение №1'!$S335</f>
        <v>2103937.6175185214</v>
      </c>
      <c r="AY345" s="29">
        <f>+T345-'[6]Приложение №1'!$T335</f>
        <v>0</v>
      </c>
    </row>
    <row r="346" spans="1:51" x14ac:dyDescent="0.25">
      <c r="A346" s="135">
        <f t="shared" si="151"/>
        <v>329</v>
      </c>
      <c r="B346" s="134">
        <f t="shared" si="151"/>
        <v>141</v>
      </c>
      <c r="C346" s="77" t="s">
        <v>72</v>
      </c>
      <c r="D346" s="77" t="s">
        <v>216</v>
      </c>
      <c r="E346" s="78">
        <v>1977</v>
      </c>
      <c r="F346" s="78">
        <v>2013</v>
      </c>
      <c r="G346" s="78" t="s">
        <v>44</v>
      </c>
      <c r="H346" s="78">
        <v>9</v>
      </c>
      <c r="I346" s="78">
        <v>1</v>
      </c>
      <c r="J346" s="44">
        <v>2362.6</v>
      </c>
      <c r="K346" s="44">
        <v>1902.4</v>
      </c>
      <c r="L346" s="44">
        <v>195.5</v>
      </c>
      <c r="M346" s="79">
        <v>72</v>
      </c>
      <c r="N346" s="129">
        <f t="shared" si="146"/>
        <v>5272961.0065099401</v>
      </c>
      <c r="O346" s="44"/>
      <c r="P346" s="68">
        <v>2967693.21</v>
      </c>
      <c r="Q346" s="68"/>
      <c r="R346" s="68">
        <v>312117.43999999994</v>
      </c>
      <c r="S346" s="68">
        <f>+'Приложение №2'!E346-'Приложение №1'!P346-'Приложение №1'!Q346-'Приложение №1'!R346</f>
        <v>1993150.3565099402</v>
      </c>
      <c r="T346" s="44">
        <f>+'Приложение №2'!E346-'Приложение №1'!P346-'Приложение №1'!Q346-'Приложение №1'!R346-'Приложение №1'!S346</f>
        <v>0</v>
      </c>
      <c r="U346" s="68">
        <f t="shared" si="147"/>
        <v>2513.4472598836646</v>
      </c>
      <c r="V346" s="68">
        <f t="shared" si="147"/>
        <v>2513.4472598836646</v>
      </c>
      <c r="W346" s="80">
        <v>2023</v>
      </c>
      <c r="X346" s="29" t="e">
        <f>+#REF!-'[1]Приложение №1'!$P948</f>
        <v>#REF!</v>
      </c>
      <c r="Z346" s="31">
        <f t="shared" si="152"/>
        <v>28501175.670387998</v>
      </c>
      <c r="AA346" s="27">
        <v>3719699.05</v>
      </c>
      <c r="AB346" s="27">
        <v>2447938.8995804396</v>
      </c>
      <c r="AC346" s="27">
        <v>1490138.3398477801</v>
      </c>
      <c r="AD346" s="27">
        <v>1344414.3471276001</v>
      </c>
      <c r="AE346" s="27">
        <v>490934.10601116001</v>
      </c>
      <c r="AF346" s="27"/>
      <c r="AG346" s="27">
        <v>205256.04442223997</v>
      </c>
      <c r="AH346" s="27">
        <v>0</v>
      </c>
      <c r="AI346" s="27">
        <v>0</v>
      </c>
      <c r="AJ346" s="27">
        <v>0</v>
      </c>
      <c r="AK346" s="27">
        <v>15105792.339437097</v>
      </c>
      <c r="AL346" s="27">
        <v>0</v>
      </c>
      <c r="AM346" s="27">
        <v>2953956.3437999999</v>
      </c>
      <c r="AN346" s="32">
        <v>246262.91500000001</v>
      </c>
      <c r="AO346" s="33">
        <v>496783.28516168008</v>
      </c>
      <c r="AP346" s="84">
        <f>+N346-'Приложение №2'!E346</f>
        <v>0</v>
      </c>
      <c r="AQ346" s="29">
        <f>1288619.08-658887.88-R132</f>
        <v>629731.20000000007</v>
      </c>
      <c r="AR346" s="1">
        <f>+(K346*13.29+L346*22.52)*12*0.85</f>
        <v>302792.67119999998</v>
      </c>
      <c r="AS346" s="1">
        <f>+(K346*13.29+L346*22.52)*12*30-8648.871-S132</f>
        <v>8860770.8324900605</v>
      </c>
      <c r="AT346" s="29">
        <f t="shared" si="149"/>
        <v>-6867620.4759801198</v>
      </c>
    </row>
    <row r="347" spans="1:51" x14ac:dyDescent="0.25">
      <c r="A347" s="135">
        <f t="shared" si="151"/>
        <v>330</v>
      </c>
      <c r="B347" s="134">
        <f t="shared" si="151"/>
        <v>142</v>
      </c>
      <c r="C347" s="77" t="s">
        <v>72</v>
      </c>
      <c r="D347" s="77" t="s">
        <v>213</v>
      </c>
      <c r="E347" s="78">
        <v>1977</v>
      </c>
      <c r="F347" s="78">
        <v>2013</v>
      </c>
      <c r="G347" s="78" t="s">
        <v>44</v>
      </c>
      <c r="H347" s="78">
        <v>9</v>
      </c>
      <c r="I347" s="78">
        <v>1</v>
      </c>
      <c r="J347" s="44">
        <v>2365.9899999999998</v>
      </c>
      <c r="K347" s="44">
        <v>1903.5</v>
      </c>
      <c r="L347" s="44">
        <v>136</v>
      </c>
      <c r="M347" s="79">
        <v>70</v>
      </c>
      <c r="N347" s="129">
        <f t="shared" si="146"/>
        <v>5463977.5993955806</v>
      </c>
      <c r="O347" s="44"/>
      <c r="P347" s="68">
        <v>3041730.66</v>
      </c>
      <c r="Q347" s="68"/>
      <c r="R347" s="68"/>
      <c r="S347" s="68">
        <f>+'Приложение №2'!E347-'Приложение №1'!P347-'Приложение №1'!Q347-'Приложение №1'!R347</f>
        <v>2422246.9393955804</v>
      </c>
      <c r="T347" s="44">
        <f>+'Приложение №2'!E347-'Приложение №1'!P347-'Приложение №1'!Q347-'Приложение №1'!R347-'Приложение №1'!S347</f>
        <v>0</v>
      </c>
      <c r="U347" s="68">
        <f t="shared" si="147"/>
        <v>2679.0770283871443</v>
      </c>
      <c r="V347" s="68">
        <f t="shared" si="147"/>
        <v>2679.0770283871443</v>
      </c>
      <c r="W347" s="80">
        <v>2023</v>
      </c>
      <c r="X347" s="29" t="e">
        <f>+#REF!-'[1]Приложение №1'!$P950</f>
        <v>#REF!</v>
      </c>
      <c r="Z347" s="31">
        <f t="shared" si="152"/>
        <v>26854433.359999996</v>
      </c>
      <c r="AA347" s="27">
        <v>3681294.5645548799</v>
      </c>
      <c r="AB347" s="27">
        <v>2450899.70770344</v>
      </c>
      <c r="AC347" s="27">
        <v>0</v>
      </c>
      <c r="AD347" s="27">
        <v>1346040.4200070801</v>
      </c>
      <c r="AE347" s="27">
        <v>491527.90003842005</v>
      </c>
      <c r="AF347" s="27"/>
      <c r="AG347" s="27">
        <v>205504.30800059999</v>
      </c>
      <c r="AH347" s="27">
        <v>0</v>
      </c>
      <c r="AI347" s="27">
        <v>0</v>
      </c>
      <c r="AJ347" s="27">
        <v>0</v>
      </c>
      <c r="AK347" s="27">
        <v>15124062.916324738</v>
      </c>
      <c r="AL347" s="27">
        <v>0</v>
      </c>
      <c r="AM347" s="27">
        <v>2777050.0558000002</v>
      </c>
      <c r="AN347" s="32">
        <v>268544.33360000001</v>
      </c>
      <c r="AO347" s="33">
        <v>509509.15397084004</v>
      </c>
      <c r="AP347" s="84">
        <f>+N347-'Приложение №2'!E347</f>
        <v>0</v>
      </c>
      <c r="AQ347" s="4">
        <f>1333569.91-680973.2372-75663.69-R127</f>
        <v>398156.45340441982</v>
      </c>
      <c r="AR347" s="1">
        <f>+(K347*13.29+L347*22.52)*12*0.85</f>
        <v>289274.397</v>
      </c>
      <c r="AS347" s="1">
        <f>+(K347*13.29+L347*22.52)*12*30-6485.14-39928.49-S127</f>
        <v>9663087.5599999987</v>
      </c>
      <c r="AT347" s="29">
        <f t="shared" si="149"/>
        <v>-7240840.6206044182</v>
      </c>
    </row>
    <row r="348" spans="1:51" x14ac:dyDescent="0.25">
      <c r="A348" s="135">
        <f t="shared" si="151"/>
        <v>331</v>
      </c>
      <c r="B348" s="134">
        <f t="shared" si="151"/>
        <v>143</v>
      </c>
      <c r="C348" s="77" t="s">
        <v>72</v>
      </c>
      <c r="D348" s="77" t="s">
        <v>214</v>
      </c>
      <c r="E348" s="78">
        <v>1977</v>
      </c>
      <c r="F348" s="78">
        <v>2013</v>
      </c>
      <c r="G348" s="78" t="s">
        <v>44</v>
      </c>
      <c r="H348" s="78">
        <v>9</v>
      </c>
      <c r="I348" s="78">
        <v>1</v>
      </c>
      <c r="J348" s="44">
        <v>2366.89</v>
      </c>
      <c r="K348" s="44">
        <v>1904.8</v>
      </c>
      <c r="L348" s="44">
        <v>41.8</v>
      </c>
      <c r="M348" s="79">
        <v>59</v>
      </c>
      <c r="N348" s="129">
        <f t="shared" si="146"/>
        <v>6918791.5024397802</v>
      </c>
      <c r="O348" s="44"/>
      <c r="P348" s="68">
        <v>3841991.13</v>
      </c>
      <c r="Q348" s="68"/>
      <c r="R348" s="68">
        <v>228553.42</v>
      </c>
      <c r="S348" s="68">
        <f>+'Приложение №2'!E348-'Приложение №1'!P348-'Приложение №1'!R348</f>
        <v>2848246.9524397803</v>
      </c>
      <c r="T348" s="68">
        <f>+'Приложение №2'!E348-'Приложение №1'!P348-'Приложение №1'!Q348-'Приложение №1'!R348-'Приложение №1'!S348</f>
        <v>0</v>
      </c>
      <c r="U348" s="68">
        <f t="shared" si="147"/>
        <v>3554.2954394532931</v>
      </c>
      <c r="V348" s="68">
        <f t="shared" si="147"/>
        <v>3554.2954394532931</v>
      </c>
      <c r="W348" s="80">
        <v>2023</v>
      </c>
      <c r="X348" s="29" t="e">
        <f>+#REF!-'[1]Приложение №1'!$P951</f>
        <v>#REF!</v>
      </c>
      <c r="Z348" s="31">
        <f t="shared" si="152"/>
        <v>28541976.041246004</v>
      </c>
      <c r="AA348" s="27">
        <v>3719699.05</v>
      </c>
      <c r="AB348" s="27">
        <v>2452058.27684286</v>
      </c>
      <c r="AC348" s="27">
        <v>1492645.9296378</v>
      </c>
      <c r="AD348" s="27">
        <v>1346676.7170788401</v>
      </c>
      <c r="AE348" s="27">
        <v>491760.24805782002</v>
      </c>
      <c r="AF348" s="27"/>
      <c r="AG348" s="27">
        <v>205601.44794671997</v>
      </c>
      <c r="AH348" s="27">
        <v>0</v>
      </c>
      <c r="AI348" s="27">
        <v>0</v>
      </c>
      <c r="AJ348" s="27">
        <v>0</v>
      </c>
      <c r="AK348" s="27">
        <v>15131212.272876842</v>
      </c>
      <c r="AL348" s="27">
        <v>0</v>
      </c>
      <c r="AM348" s="27">
        <v>2959194.6140999999</v>
      </c>
      <c r="AN348" s="32">
        <v>245562.47510000001</v>
      </c>
      <c r="AO348" s="33">
        <v>497565.00960512011</v>
      </c>
      <c r="AP348" s="84">
        <f>+N348-'Приложение №2'!E348</f>
        <v>0</v>
      </c>
      <c r="AQ348" s="1">
        <f>1227927.06-726007.6004</f>
        <v>501919.45960000006</v>
      </c>
      <c r="AR348" s="1">
        <f>+(K348*13.29+L348*22.52)*12*0.85</f>
        <v>267812.50559999997</v>
      </c>
      <c r="AS348" s="1">
        <f>+(K348*13.29+L348*22.52)*12*30-9115.31</f>
        <v>9443090.7699999977</v>
      </c>
      <c r="AT348" s="29">
        <f t="shared" si="149"/>
        <v>-6594843.8175602173</v>
      </c>
    </row>
    <row r="349" spans="1:51" x14ac:dyDescent="0.25">
      <c r="A349" s="135">
        <f t="shared" si="151"/>
        <v>332</v>
      </c>
      <c r="B349" s="134">
        <f t="shared" si="151"/>
        <v>144</v>
      </c>
      <c r="C349" s="77" t="s">
        <v>220</v>
      </c>
      <c r="D349" s="77" t="s">
        <v>382</v>
      </c>
      <c r="E349" s="78">
        <v>1985</v>
      </c>
      <c r="F349" s="78">
        <v>1985</v>
      </c>
      <c r="G349" s="78" t="s">
        <v>44</v>
      </c>
      <c r="H349" s="78">
        <v>2</v>
      </c>
      <c r="I349" s="78">
        <v>2</v>
      </c>
      <c r="J349" s="44">
        <v>914.7</v>
      </c>
      <c r="K349" s="44">
        <v>845.7</v>
      </c>
      <c r="L349" s="44">
        <v>0</v>
      </c>
      <c r="M349" s="79">
        <v>33</v>
      </c>
      <c r="N349" s="72">
        <f t="shared" si="146"/>
        <v>5484113.5199999996</v>
      </c>
      <c r="O349" s="44"/>
      <c r="P349" s="68">
        <v>1932870.1700000009</v>
      </c>
      <c r="Q349" s="68"/>
      <c r="R349" s="68">
        <f t="shared" si="150"/>
        <v>515460.06999999995</v>
      </c>
      <c r="S349" s="68">
        <f>+'Приложение №2'!E349-'Приложение №1'!R349-P349</f>
        <v>3035783.2799999993</v>
      </c>
      <c r="T349" s="68">
        <v>0</v>
      </c>
      <c r="U349" s="44">
        <f t="shared" si="147"/>
        <v>6484.703228095068</v>
      </c>
      <c r="V349" s="44">
        <f t="shared" si="147"/>
        <v>6484.703228095068</v>
      </c>
      <c r="W349" s="80">
        <v>2023</v>
      </c>
      <c r="X349" s="29" t="e">
        <f>+#REF!-'[1]Приложение №1'!$P1120</f>
        <v>#REF!</v>
      </c>
      <c r="Z349" s="31">
        <f t="shared" si="152"/>
        <v>6296342.7100000009</v>
      </c>
      <c r="AA349" s="27">
        <v>2467275.9651212404</v>
      </c>
      <c r="AB349" s="27">
        <v>1501302.4198296599</v>
      </c>
      <c r="AC349" s="27">
        <v>707414.26194726001</v>
      </c>
      <c r="AD349" s="27">
        <v>602877.17677656002</v>
      </c>
      <c r="AE349" s="27">
        <v>0</v>
      </c>
      <c r="AF349" s="27"/>
      <c r="AG349" s="27">
        <v>262232.90488164005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571103.86029999994</v>
      </c>
      <c r="AN349" s="32">
        <v>62963.427100000008</v>
      </c>
      <c r="AO349" s="33">
        <v>121172.69404364003</v>
      </c>
      <c r="AP349" s="84">
        <f>+N349-'Приложение №2'!E349</f>
        <v>0</v>
      </c>
      <c r="AQ349" s="34">
        <v>429198.67</v>
      </c>
      <c r="AR349" s="1">
        <f t="shared" si="148"/>
        <v>86261.4</v>
      </c>
      <c r="AS349" s="1">
        <f t="shared" ref="AS349:AS354" si="153">+(K349*10+L349*20)*12*30</f>
        <v>3044520</v>
      </c>
      <c r="AT349" s="29">
        <f t="shared" si="149"/>
        <v>-8736.7200000006706</v>
      </c>
      <c r="AU349" s="29">
        <f>+P349-'[6]Приложение №1'!$P337</f>
        <v>0</v>
      </c>
      <c r="AV349" s="29">
        <f>+Q349-'[6]Приложение №1'!$Q337</f>
        <v>0</v>
      </c>
      <c r="AW349" s="29">
        <f>+R349-'[6]Приложение №1'!$R337</f>
        <v>0</v>
      </c>
      <c r="AX349" s="29">
        <f>+S349-'[6]Приложение №1'!$S337</f>
        <v>0</v>
      </c>
      <c r="AY349" s="29">
        <f>+T349-'[6]Приложение №1'!$T337</f>
        <v>0</v>
      </c>
    </row>
    <row r="350" spans="1:51" x14ac:dyDescent="0.25">
      <c r="A350" s="135">
        <f t="shared" si="151"/>
        <v>333</v>
      </c>
      <c r="B350" s="134">
        <f t="shared" si="151"/>
        <v>145</v>
      </c>
      <c r="C350" s="77" t="s">
        <v>220</v>
      </c>
      <c r="D350" s="77" t="s">
        <v>481</v>
      </c>
      <c r="E350" s="78">
        <v>1985</v>
      </c>
      <c r="F350" s="78">
        <v>2009</v>
      </c>
      <c r="G350" s="78" t="s">
        <v>44</v>
      </c>
      <c r="H350" s="78">
        <v>2</v>
      </c>
      <c r="I350" s="78">
        <v>3</v>
      </c>
      <c r="J350" s="44">
        <v>1493.5</v>
      </c>
      <c r="K350" s="44">
        <v>1376.8</v>
      </c>
      <c r="L350" s="44">
        <v>0</v>
      </c>
      <c r="M350" s="79">
        <v>60</v>
      </c>
      <c r="N350" s="72">
        <f t="shared" si="146"/>
        <v>10279133.729999999</v>
      </c>
      <c r="O350" s="44"/>
      <c r="P350" s="68">
        <v>1491506.5999999996</v>
      </c>
      <c r="Q350" s="68"/>
      <c r="R350" s="68">
        <f t="shared" si="150"/>
        <v>848133.92999999993</v>
      </c>
      <c r="S350" s="68">
        <f>+AS350</f>
        <v>4956480</v>
      </c>
      <c r="T350" s="68">
        <f>+'Приложение №2'!E350-'Приложение №1'!P350-'Приложение №1'!Q350-'Приложение №1'!R350-'Приложение №1'!S350</f>
        <v>2983013.1999999993</v>
      </c>
      <c r="U350" s="44">
        <f t="shared" si="147"/>
        <v>7465.9600014526432</v>
      </c>
      <c r="V350" s="44">
        <f t="shared" si="147"/>
        <v>7465.9600014526432</v>
      </c>
      <c r="W350" s="80">
        <v>2023</v>
      </c>
      <c r="X350" s="29" t="e">
        <f>+#REF!-'[1]Приложение №1'!$P1515</f>
        <v>#REF!</v>
      </c>
      <c r="Z350" s="31">
        <f t="shared" si="152"/>
        <v>10279133.73</v>
      </c>
      <c r="AA350" s="27">
        <v>4027966.8255372001</v>
      </c>
      <c r="AB350" s="27">
        <v>2450960.6744834399</v>
      </c>
      <c r="AC350" s="27">
        <v>1154893.5828968999</v>
      </c>
      <c r="AD350" s="27">
        <v>984230.91881016002</v>
      </c>
      <c r="AE350" s="27">
        <v>0</v>
      </c>
      <c r="AF350" s="27"/>
      <c r="AG350" s="27">
        <v>428109.96493607998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932359.18539999996</v>
      </c>
      <c r="AN350" s="32">
        <v>102791.33730000001</v>
      </c>
      <c r="AO350" s="33">
        <v>197821.24063622003</v>
      </c>
      <c r="AP350" s="84">
        <f>+N350-'Приложение №2'!E350</f>
        <v>0</v>
      </c>
      <c r="AQ350" s="34">
        <v>707700.33</v>
      </c>
      <c r="AR350" s="1">
        <f t="shared" si="148"/>
        <v>140433.60000000001</v>
      </c>
      <c r="AS350" s="1">
        <f t="shared" si="153"/>
        <v>4956480</v>
      </c>
      <c r="AT350" s="29">
        <f t="shared" si="149"/>
        <v>0</v>
      </c>
      <c r="AU350" s="29">
        <f>+P350-'[6]Приложение №1'!$P338</f>
        <v>0</v>
      </c>
      <c r="AV350" s="29">
        <f>+Q350-'[6]Приложение №1'!$Q338</f>
        <v>0</v>
      </c>
      <c r="AW350" s="29">
        <f>+R350-'[6]Приложение №1'!$R338</f>
        <v>0</v>
      </c>
      <c r="AX350" s="29">
        <f>+S350-'[6]Приложение №1'!$S338</f>
        <v>0</v>
      </c>
      <c r="AY350" s="29">
        <f>+T350-'[6]Приложение №1'!$T338</f>
        <v>0</v>
      </c>
    </row>
    <row r="351" spans="1:51" x14ac:dyDescent="0.25">
      <c r="A351" s="135">
        <f t="shared" si="151"/>
        <v>334</v>
      </c>
      <c r="B351" s="134">
        <f t="shared" si="151"/>
        <v>146</v>
      </c>
      <c r="C351" s="77" t="s">
        <v>220</v>
      </c>
      <c r="D351" s="77" t="s">
        <v>482</v>
      </c>
      <c r="E351" s="78">
        <v>1975</v>
      </c>
      <c r="F351" s="78">
        <v>1975</v>
      </c>
      <c r="G351" s="78" t="s">
        <v>44</v>
      </c>
      <c r="H351" s="78">
        <v>2</v>
      </c>
      <c r="I351" s="78">
        <v>2</v>
      </c>
      <c r="J351" s="44">
        <v>785.47</v>
      </c>
      <c r="K351" s="44">
        <v>729.06</v>
      </c>
      <c r="L351" s="44">
        <v>0</v>
      </c>
      <c r="M351" s="79">
        <v>32</v>
      </c>
      <c r="N351" s="72">
        <f t="shared" si="146"/>
        <v>5796292.5199999996</v>
      </c>
      <c r="O351" s="44"/>
      <c r="P351" s="68">
        <f>+'Приложение №2'!E351-'Приложение №1'!R351-'Приложение №1'!S351</f>
        <v>2735629.5699999994</v>
      </c>
      <c r="Q351" s="68"/>
      <c r="R351" s="68">
        <f t="shared" si="150"/>
        <v>436046.95</v>
      </c>
      <c r="S351" s="68">
        <f>+AS351</f>
        <v>2624616</v>
      </c>
      <c r="T351" s="68">
        <v>0</v>
      </c>
      <c r="U351" s="44">
        <f t="shared" si="147"/>
        <v>7950.3641949908097</v>
      </c>
      <c r="V351" s="44">
        <f t="shared" si="147"/>
        <v>7950.3641949908097</v>
      </c>
      <c r="W351" s="80">
        <v>2023</v>
      </c>
      <c r="X351" s="29" t="e">
        <f>+#REF!-'[1]Приложение №1'!$P1516</f>
        <v>#REF!</v>
      </c>
      <c r="Z351" s="31">
        <f t="shared" si="152"/>
        <v>5796292.5199999996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/>
      <c r="AG351" s="27">
        <v>0</v>
      </c>
      <c r="AH351" s="27">
        <v>0</v>
      </c>
      <c r="AI351" s="27">
        <v>0</v>
      </c>
      <c r="AJ351" s="27">
        <v>0</v>
      </c>
      <c r="AK351" s="27">
        <v>5048304.1554640792</v>
      </c>
      <c r="AL351" s="27">
        <v>0</v>
      </c>
      <c r="AM351" s="27">
        <v>579629.25199999998</v>
      </c>
      <c r="AN351" s="32">
        <v>57962.925199999998</v>
      </c>
      <c r="AO351" s="33">
        <v>110396.18733591998</v>
      </c>
      <c r="AP351" s="84">
        <f>+N351-'Приложение №2'!E351</f>
        <v>0</v>
      </c>
      <c r="AQ351" s="34">
        <v>361682.83</v>
      </c>
      <c r="AR351" s="1">
        <f t="shared" si="148"/>
        <v>74364.12</v>
      </c>
      <c r="AS351" s="1">
        <f t="shared" si="153"/>
        <v>2624616</v>
      </c>
      <c r="AT351" s="29">
        <f t="shared" si="149"/>
        <v>0</v>
      </c>
      <c r="AU351" s="29">
        <f>+P351-'[6]Приложение №1'!$P339</f>
        <v>0</v>
      </c>
      <c r="AV351" s="29">
        <f>+Q351-'[6]Приложение №1'!$Q339</f>
        <v>0</v>
      </c>
      <c r="AW351" s="29">
        <f>+R351-'[6]Приложение №1'!$R339</f>
        <v>0</v>
      </c>
      <c r="AX351" s="29">
        <f>+S351-'[6]Приложение №1'!$S339</f>
        <v>0</v>
      </c>
      <c r="AY351" s="29">
        <f>+T351-'[6]Приложение №1'!$T339</f>
        <v>0</v>
      </c>
    </row>
    <row r="352" spans="1:51" x14ac:dyDescent="0.25">
      <c r="A352" s="135">
        <f t="shared" si="151"/>
        <v>335</v>
      </c>
      <c r="B352" s="134">
        <f t="shared" si="151"/>
        <v>147</v>
      </c>
      <c r="C352" s="77" t="s">
        <v>89</v>
      </c>
      <c r="D352" s="77" t="s">
        <v>386</v>
      </c>
      <c r="E352" s="78">
        <v>1989</v>
      </c>
      <c r="F352" s="78">
        <v>1989</v>
      </c>
      <c r="G352" s="78" t="s">
        <v>44</v>
      </c>
      <c r="H352" s="78">
        <v>2</v>
      </c>
      <c r="I352" s="78">
        <v>2</v>
      </c>
      <c r="J352" s="44">
        <v>915</v>
      </c>
      <c r="K352" s="44">
        <v>892.81</v>
      </c>
      <c r="L352" s="44">
        <v>0</v>
      </c>
      <c r="M352" s="79">
        <v>32</v>
      </c>
      <c r="N352" s="129">
        <f t="shared" si="146"/>
        <v>7543619.078160001</v>
      </c>
      <c r="O352" s="44"/>
      <c r="P352" s="68">
        <v>1628827.3633333335</v>
      </c>
      <c r="Q352" s="68"/>
      <c r="R352" s="68">
        <v>458392.32000000001</v>
      </c>
      <c r="S352" s="68">
        <v>3214115.9999999995</v>
      </c>
      <c r="T352" s="44">
        <v>2242283.3948266669</v>
      </c>
      <c r="U352" s="68">
        <f t="shared" si="147"/>
        <v>8449.2994905523028</v>
      </c>
      <c r="V352" s="68">
        <f t="shared" si="147"/>
        <v>8449.2994905523028</v>
      </c>
      <c r="W352" s="80">
        <v>2023</v>
      </c>
      <c r="X352" s="29" t="e">
        <f>+#REF!-'[1]Приложение №1'!$P1351</f>
        <v>#REF!</v>
      </c>
      <c r="Z352" s="31">
        <f t="shared" si="152"/>
        <v>8546292.5500000007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/>
      <c r="AG352" s="27">
        <v>0</v>
      </c>
      <c r="AH352" s="27">
        <v>0</v>
      </c>
      <c r="AI352" s="27">
        <v>7527061.7004870009</v>
      </c>
      <c r="AJ352" s="27">
        <v>0</v>
      </c>
      <c r="AK352" s="27">
        <v>0</v>
      </c>
      <c r="AL352" s="27">
        <v>0</v>
      </c>
      <c r="AM352" s="27">
        <v>769166.32949999999</v>
      </c>
      <c r="AN352" s="32">
        <v>85462.925500000012</v>
      </c>
      <c r="AO352" s="33">
        <v>164601.59451300002</v>
      </c>
      <c r="AP352" s="84">
        <f>+N352-'Приложение №2'!E352</f>
        <v>0</v>
      </c>
      <c r="AQ352" s="1">
        <v>367325.7</v>
      </c>
      <c r="AR352" s="1">
        <f t="shared" si="148"/>
        <v>91066.619999999981</v>
      </c>
      <c r="AS352" s="1">
        <f t="shared" si="153"/>
        <v>3214115.9999999995</v>
      </c>
      <c r="AT352" s="29">
        <f t="shared" si="149"/>
        <v>0</v>
      </c>
    </row>
    <row r="353" spans="1:51" x14ac:dyDescent="0.25">
      <c r="A353" s="135">
        <f t="shared" si="151"/>
        <v>336</v>
      </c>
      <c r="B353" s="134">
        <f t="shared" si="151"/>
        <v>148</v>
      </c>
      <c r="C353" s="77" t="s">
        <v>89</v>
      </c>
      <c r="D353" s="77" t="s">
        <v>387</v>
      </c>
      <c r="E353" s="78">
        <v>1989</v>
      </c>
      <c r="F353" s="78">
        <v>1989</v>
      </c>
      <c r="G353" s="78" t="s">
        <v>44</v>
      </c>
      <c r="H353" s="78">
        <v>3</v>
      </c>
      <c r="I353" s="78">
        <v>2</v>
      </c>
      <c r="J353" s="44">
        <v>1225.2</v>
      </c>
      <c r="K353" s="44">
        <v>861.78</v>
      </c>
      <c r="L353" s="44">
        <v>363.42</v>
      </c>
      <c r="M353" s="79">
        <v>38</v>
      </c>
      <c r="N353" s="72">
        <f t="shared" si="146"/>
        <v>4448664.1270599999</v>
      </c>
      <c r="O353" s="44"/>
      <c r="P353" s="68">
        <v>1136928.2899999998</v>
      </c>
      <c r="Q353" s="68"/>
      <c r="R353" s="68">
        <f t="shared" si="150"/>
        <v>496995.11</v>
      </c>
      <c r="S353" s="68">
        <f>+'Приложение №2'!E353-'Приложение №1'!P353-'Приложение №1'!Q353-'Приложение №1'!R353</f>
        <v>2814740.7270599999</v>
      </c>
      <c r="T353" s="44">
        <f>+'Приложение №2'!E353-'Приложение №1'!P353-'Приложение №1'!Q353-'Приложение №1'!R353-'Приложение №1'!S353</f>
        <v>0</v>
      </c>
      <c r="U353" s="68">
        <f t="shared" si="147"/>
        <v>3630.9697413157032</v>
      </c>
      <c r="V353" s="68">
        <f t="shared" si="147"/>
        <v>3630.9697413157032</v>
      </c>
      <c r="W353" s="80">
        <v>2023</v>
      </c>
      <c r="X353" s="29" t="e">
        <f>+#REF!-'[1]Приложение №1'!$P1134</f>
        <v>#REF!</v>
      </c>
      <c r="Z353" s="31">
        <f t="shared" si="152"/>
        <v>8281653.2599999998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/>
      <c r="AG353" s="27">
        <v>0</v>
      </c>
      <c r="AH353" s="27">
        <v>0</v>
      </c>
      <c r="AI353" s="27">
        <v>7293983.2922124006</v>
      </c>
      <c r="AJ353" s="27">
        <v>0</v>
      </c>
      <c r="AK353" s="27">
        <v>0</v>
      </c>
      <c r="AL353" s="27">
        <v>0</v>
      </c>
      <c r="AM353" s="27">
        <v>745348.79339999997</v>
      </c>
      <c r="AN353" s="32">
        <v>82816.532600000006</v>
      </c>
      <c r="AO353" s="33">
        <v>159504.64178760001</v>
      </c>
      <c r="AP353" s="84">
        <f>+N353-'Приложение №2'!E353</f>
        <v>0</v>
      </c>
      <c r="AQ353" s="1">
        <v>334955.87</v>
      </c>
      <c r="AR353" s="1">
        <f t="shared" si="148"/>
        <v>162039.24000000002</v>
      </c>
      <c r="AS353" s="1">
        <f t="shared" si="153"/>
        <v>5719032.0000000009</v>
      </c>
      <c r="AT353" s="29">
        <f t="shared" si="149"/>
        <v>-2904291.272940001</v>
      </c>
      <c r="AU353" s="29">
        <f>+P353-'[6]Приложение №1'!$P340</f>
        <v>0</v>
      </c>
      <c r="AV353" s="29">
        <f>+Q353-'[6]Приложение №1'!$Q340</f>
        <v>0</v>
      </c>
      <c r="AW353" s="29">
        <f>+R353-'[6]Приложение №1'!$R340</f>
        <v>0</v>
      </c>
      <c r="AX353" s="29">
        <f>+S353-'[6]Приложение №1'!$S340</f>
        <v>0</v>
      </c>
      <c r="AY353" s="29">
        <f>+T353-'[6]Приложение №1'!$T340</f>
        <v>0</v>
      </c>
    </row>
    <row r="354" spans="1:51" x14ac:dyDescent="0.25">
      <c r="A354" s="135">
        <f t="shared" si="151"/>
        <v>337</v>
      </c>
      <c r="B354" s="134">
        <f t="shared" si="151"/>
        <v>149</v>
      </c>
      <c r="C354" s="77" t="s">
        <v>89</v>
      </c>
      <c r="D354" s="77" t="s">
        <v>483</v>
      </c>
      <c r="E354" s="78">
        <v>1984</v>
      </c>
      <c r="F354" s="78">
        <v>2009</v>
      </c>
      <c r="G354" s="78" t="s">
        <v>44</v>
      </c>
      <c r="H354" s="78">
        <v>2</v>
      </c>
      <c r="I354" s="78">
        <v>2</v>
      </c>
      <c r="J354" s="44">
        <v>1164.7</v>
      </c>
      <c r="K354" s="44">
        <v>745.9</v>
      </c>
      <c r="L354" s="44">
        <v>304.10000000000002</v>
      </c>
      <c r="M354" s="79">
        <v>37</v>
      </c>
      <c r="N354" s="72">
        <f t="shared" si="146"/>
        <v>11230594.252708003</v>
      </c>
      <c r="O354" s="44"/>
      <c r="P354" s="68">
        <v>2329938.9142360003</v>
      </c>
      <c r="Q354" s="68"/>
      <c r="R354" s="68">
        <f t="shared" si="150"/>
        <v>535849.51</v>
      </c>
      <c r="S354" s="68">
        <f>+AS354</f>
        <v>4874760</v>
      </c>
      <c r="T354" s="68">
        <f>+'Приложение №2'!E354-'Приложение №1'!P354-'Приложение №1'!Q354-'Приложение №1'!R354-'Приложение №1'!S354</f>
        <v>3490045.8284720015</v>
      </c>
      <c r="U354" s="44">
        <f t="shared" si="147"/>
        <v>10695.804050198098</v>
      </c>
      <c r="V354" s="44">
        <f t="shared" si="147"/>
        <v>10695.804050198098</v>
      </c>
      <c r="W354" s="80">
        <v>2023</v>
      </c>
      <c r="X354" s="29" t="e">
        <f>+#REF!-'[1]Приложение №1'!$P1524</f>
        <v>#REF!</v>
      </c>
      <c r="Z354" s="31">
        <f t="shared" si="152"/>
        <v>12533218.82</v>
      </c>
      <c r="AA354" s="27">
        <v>2147390.7974610003</v>
      </c>
      <c r="AB354" s="27">
        <v>1306656.8383722</v>
      </c>
      <c r="AC354" s="27">
        <v>615697.18809396005</v>
      </c>
      <c r="AD354" s="27">
        <v>524713.46015088004</v>
      </c>
      <c r="AE354" s="27">
        <v>0</v>
      </c>
      <c r="AF354" s="27"/>
      <c r="AG354" s="27">
        <v>228234.10595495999</v>
      </c>
      <c r="AH354" s="27">
        <v>0</v>
      </c>
      <c r="AI354" s="27">
        <v>6212039.0494932001</v>
      </c>
      <c r="AJ354" s="27">
        <v>0</v>
      </c>
      <c r="AK354" s="27">
        <v>0</v>
      </c>
      <c r="AL354" s="27">
        <v>0</v>
      </c>
      <c r="AM354" s="27">
        <v>1131847.9648</v>
      </c>
      <c r="AN354" s="32">
        <v>125332.1882</v>
      </c>
      <c r="AO354" s="33">
        <v>241307.22747379998</v>
      </c>
      <c r="AP354" s="84">
        <f>+N354-'Приложение №2'!E354</f>
        <v>0</v>
      </c>
      <c r="AQ354" s="1">
        <v>397731.31</v>
      </c>
      <c r="AR354" s="1">
        <f t="shared" si="148"/>
        <v>138118.19999999998</v>
      </c>
      <c r="AS354" s="1">
        <f t="shared" si="153"/>
        <v>4874760</v>
      </c>
      <c r="AT354" s="29">
        <f t="shared" si="149"/>
        <v>0</v>
      </c>
      <c r="AU354" s="29">
        <f>+P354-'[6]Приложение №1'!$P341</f>
        <v>0</v>
      </c>
      <c r="AV354" s="29">
        <f>+Q354-'[6]Приложение №1'!$Q341</f>
        <v>0</v>
      </c>
      <c r="AW354" s="29">
        <f>+R354-'[6]Приложение №1'!$R341</f>
        <v>0</v>
      </c>
      <c r="AX354" s="29">
        <f>+S354-'[6]Приложение №1'!$S341</f>
        <v>0</v>
      </c>
      <c r="AY354" s="29">
        <f>+T354-'[6]Приложение №1'!$T341</f>
        <v>0</v>
      </c>
    </row>
    <row r="355" spans="1:51" x14ac:dyDescent="0.25">
      <c r="A355" s="135">
        <f t="shared" si="151"/>
        <v>338</v>
      </c>
      <c r="B355" s="134">
        <f t="shared" si="151"/>
        <v>150</v>
      </c>
      <c r="C355" s="77" t="s">
        <v>89</v>
      </c>
      <c r="D355" s="77" t="s">
        <v>227</v>
      </c>
      <c r="E355" s="78">
        <v>1976</v>
      </c>
      <c r="F355" s="78">
        <v>2008</v>
      </c>
      <c r="G355" s="78" t="s">
        <v>44</v>
      </c>
      <c r="H355" s="78">
        <v>4</v>
      </c>
      <c r="I355" s="78">
        <v>4</v>
      </c>
      <c r="J355" s="44">
        <v>4257.32</v>
      </c>
      <c r="K355" s="44">
        <v>3128.38</v>
      </c>
      <c r="L355" s="44">
        <v>991.08</v>
      </c>
      <c r="M355" s="79">
        <v>124</v>
      </c>
      <c r="N355" s="72">
        <f t="shared" si="146"/>
        <v>3488921.0602397402</v>
      </c>
      <c r="O355" s="44"/>
      <c r="P355" s="68"/>
      <c r="Q355" s="68"/>
      <c r="R355" s="68">
        <f t="shared" si="150"/>
        <v>0</v>
      </c>
      <c r="S355" s="68">
        <f>+'Приложение №2'!E355-'Приложение №1'!R355</f>
        <v>3488921.0602397402</v>
      </c>
      <c r="T355" s="68">
        <v>0</v>
      </c>
      <c r="U355" s="44">
        <f t="shared" si="147"/>
        <v>846.9365062993063</v>
      </c>
      <c r="V355" s="44">
        <f t="shared" si="147"/>
        <v>846.9365062993063</v>
      </c>
      <c r="W355" s="80">
        <v>2023</v>
      </c>
      <c r="X355" s="29" t="e">
        <f>+#REF!-'[1]Приложение №1'!$P752</f>
        <v>#REF!</v>
      </c>
      <c r="Z355" s="31">
        <f t="shared" si="152"/>
        <v>16411728.570000004</v>
      </c>
      <c r="AA355" s="27">
        <v>7185234.1705489811</v>
      </c>
      <c r="AB355" s="27">
        <v>2542217.2836664799</v>
      </c>
      <c r="AC355" s="27">
        <v>0</v>
      </c>
      <c r="AD355" s="27">
        <v>1662855.463857</v>
      </c>
      <c r="AE355" s="27">
        <v>2127796.9824119406</v>
      </c>
      <c r="AF355" s="27"/>
      <c r="AG355" s="27">
        <v>285097.02429768001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2142562.3114999998</v>
      </c>
      <c r="AN355" s="32">
        <v>164117.28570000004</v>
      </c>
      <c r="AO355" s="33">
        <v>301848.04801792005</v>
      </c>
      <c r="AP355" s="84">
        <f>+N355-'Приложение №2'!E355</f>
        <v>0</v>
      </c>
      <c r="AQ355" s="29">
        <f>1377282.4-565094.81-R139</f>
        <v>-521275.08000000007</v>
      </c>
      <c r="AR355" s="1">
        <f t="shared" si="148"/>
        <v>521275.08</v>
      </c>
      <c r="AS355" s="1">
        <f>+(K355*10+L355*20)*12*30-180969.62-S139</f>
        <v>14075368.085616259</v>
      </c>
      <c r="AT355" s="29">
        <f t="shared" si="149"/>
        <v>-10586447.025376519</v>
      </c>
      <c r="AU355" s="29">
        <f>+P355-'[6]Приложение №1'!$P342</f>
        <v>0</v>
      </c>
      <c r="AV355" s="29">
        <f>+Q355-'[6]Приложение №1'!$Q342</f>
        <v>0</v>
      </c>
      <c r="AW355" s="29">
        <f>+R355-'[6]Приложение №1'!$R342</f>
        <v>-1333462.67</v>
      </c>
      <c r="AX355" s="29">
        <f>+S355-'[6]Приложение №1'!$S342</f>
        <v>2784196.59</v>
      </c>
      <c r="AY355" s="29">
        <f>+T355-'[6]Приложение №1'!$T342</f>
        <v>0</v>
      </c>
    </row>
    <row r="356" spans="1:51" x14ac:dyDescent="0.25">
      <c r="A356" s="135">
        <f t="shared" si="151"/>
        <v>339</v>
      </c>
      <c r="B356" s="134">
        <f t="shared" si="151"/>
        <v>151</v>
      </c>
      <c r="C356" s="77" t="s">
        <v>89</v>
      </c>
      <c r="D356" s="77" t="s">
        <v>228</v>
      </c>
      <c r="E356" s="78">
        <v>1964</v>
      </c>
      <c r="F356" s="78">
        <v>1964</v>
      </c>
      <c r="G356" s="78" t="s">
        <v>44</v>
      </c>
      <c r="H356" s="78">
        <v>2</v>
      </c>
      <c r="I356" s="78">
        <v>2</v>
      </c>
      <c r="J356" s="44">
        <v>816.77</v>
      </c>
      <c r="K356" s="44">
        <v>598.04999999999995</v>
      </c>
      <c r="L356" s="44">
        <v>218.72</v>
      </c>
      <c r="M356" s="79">
        <v>23</v>
      </c>
      <c r="N356" s="72">
        <f t="shared" si="146"/>
        <v>578480.11581599992</v>
      </c>
      <c r="O356" s="44"/>
      <c r="P356" s="68"/>
      <c r="Q356" s="68"/>
      <c r="R356" s="68">
        <f t="shared" si="150"/>
        <v>229835.71999999997</v>
      </c>
      <c r="S356" s="68">
        <f>+'Приложение №2'!E356-'Приложение №1'!R356</f>
        <v>348644.39581599995</v>
      </c>
      <c r="T356" s="68"/>
      <c r="U356" s="44">
        <f t="shared" si="147"/>
        <v>708.25338322416337</v>
      </c>
      <c r="V356" s="44">
        <f t="shared" si="147"/>
        <v>708.25338322416337</v>
      </c>
      <c r="W356" s="80">
        <v>2023</v>
      </c>
      <c r="X356" s="29" t="e">
        <f>+#REF!-'[1]Приложение №1'!$P753</f>
        <v>#REF!</v>
      </c>
      <c r="Z356" s="31">
        <f t="shared" si="152"/>
        <v>6301561.3699999992</v>
      </c>
      <c r="AA356" s="27">
        <v>0</v>
      </c>
      <c r="AB356" s="27">
        <v>0</v>
      </c>
      <c r="AC356" s="27">
        <v>499972.95528431999</v>
      </c>
      <c r="AD356" s="27">
        <v>0</v>
      </c>
      <c r="AE356" s="27">
        <v>0</v>
      </c>
      <c r="AF356" s="27"/>
      <c r="AG356" s="27">
        <v>0</v>
      </c>
      <c r="AH356" s="27">
        <v>0</v>
      </c>
      <c r="AI356" s="27">
        <v>5044446.5320746005</v>
      </c>
      <c r="AJ356" s="27">
        <v>0</v>
      </c>
      <c r="AK356" s="27">
        <v>0</v>
      </c>
      <c r="AL356" s="27">
        <v>0</v>
      </c>
      <c r="AM356" s="27">
        <v>572881.04409999994</v>
      </c>
      <c r="AN356" s="32">
        <v>63015.613700000002</v>
      </c>
      <c r="AO356" s="33">
        <v>121245.22484108002</v>
      </c>
      <c r="AP356" s="84">
        <f>+N356-'Приложение №2'!E356</f>
        <v>0</v>
      </c>
      <c r="AQ356" s="1">
        <f>223283.02-99067.28</f>
        <v>124215.73999999999</v>
      </c>
      <c r="AR356" s="1">
        <f t="shared" si="148"/>
        <v>105619.97999999998</v>
      </c>
      <c r="AS356" s="1">
        <f>+(K356*10+L356*20)*12*30-29457.72</f>
        <v>3698306.2799999993</v>
      </c>
      <c r="AT356" s="29">
        <f t="shared" si="149"/>
        <v>-3349661.8841839992</v>
      </c>
      <c r="AU356" s="29">
        <f>+P356-'[6]Приложение №1'!$P343</f>
        <v>0</v>
      </c>
      <c r="AV356" s="29">
        <f>+Q356-'[6]Приложение №1'!$Q343</f>
        <v>0</v>
      </c>
      <c r="AW356" s="29">
        <f>+R356-'[6]Приложение №1'!$R343</f>
        <v>0</v>
      </c>
      <c r="AX356" s="29">
        <f>+S356-'[6]Приложение №1'!$S343</f>
        <v>0</v>
      </c>
      <c r="AY356" s="29">
        <f>+T356-'[6]Приложение №1'!$T343</f>
        <v>0</v>
      </c>
    </row>
    <row r="357" spans="1:51" x14ac:dyDescent="0.25">
      <c r="A357" s="135">
        <f t="shared" si="151"/>
        <v>340</v>
      </c>
      <c r="B357" s="134">
        <f t="shared" si="151"/>
        <v>152</v>
      </c>
      <c r="C357" s="77" t="s">
        <v>89</v>
      </c>
      <c r="D357" s="77" t="s">
        <v>229</v>
      </c>
      <c r="E357" s="78">
        <v>1975</v>
      </c>
      <c r="F357" s="78">
        <v>2008</v>
      </c>
      <c r="G357" s="78" t="s">
        <v>44</v>
      </c>
      <c r="H357" s="78">
        <v>4</v>
      </c>
      <c r="I357" s="78">
        <v>4</v>
      </c>
      <c r="J357" s="44">
        <v>4182.96</v>
      </c>
      <c r="K357" s="44">
        <v>3048.03</v>
      </c>
      <c r="L357" s="44">
        <v>978.37</v>
      </c>
      <c r="M357" s="79">
        <v>135</v>
      </c>
      <c r="N357" s="72">
        <f t="shared" si="146"/>
        <v>6447490.537716561</v>
      </c>
      <c r="O357" s="44"/>
      <c r="P357" s="68"/>
      <c r="Q357" s="68"/>
      <c r="R357" s="68">
        <f t="shared" si="150"/>
        <v>1566212.3599999999</v>
      </c>
      <c r="S357" s="68">
        <f>+'Приложение №2'!E357-'Приложение №1'!R357</f>
        <v>4881278.1777165607</v>
      </c>
      <c r="T357" s="68">
        <v>9.3132257461547852E-10</v>
      </c>
      <c r="U357" s="44">
        <f t="shared" ref="U357:V378" si="154">$N357/($K357+$L357)</f>
        <v>1601.3040278453609</v>
      </c>
      <c r="V357" s="44">
        <f t="shared" si="154"/>
        <v>1601.3040278453609</v>
      </c>
      <c r="W357" s="80">
        <v>2023</v>
      </c>
      <c r="X357" s="29" t="e">
        <f>+#REF!-'[1]Приложение №1'!$P754</f>
        <v>#REF!</v>
      </c>
      <c r="Z357" s="31">
        <f t="shared" si="152"/>
        <v>16048675.259999996</v>
      </c>
      <c r="AA357" s="27">
        <v>7026285.4671664191</v>
      </c>
      <c r="AB357" s="27">
        <v>2485979.4267953397</v>
      </c>
      <c r="AC357" s="27">
        <v>0</v>
      </c>
      <c r="AD357" s="27">
        <v>1626070.4809313999</v>
      </c>
      <c r="AE357" s="27">
        <v>2080726.7578889399</v>
      </c>
      <c r="AF357" s="27"/>
      <c r="AG357" s="27">
        <v>278790.22600296006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2095165.4553</v>
      </c>
      <c r="AN357" s="32">
        <v>160486.75260000001</v>
      </c>
      <c r="AO357" s="33">
        <v>295170.69331494003</v>
      </c>
      <c r="AP357" s="84">
        <f>+N357-'Приложение №2'!E357</f>
        <v>0</v>
      </c>
      <c r="AQ357" s="1">
        <f>1500891.17-445165.35</f>
        <v>1055725.8199999998</v>
      </c>
      <c r="AR357" s="1">
        <f t="shared" si="148"/>
        <v>510486.54</v>
      </c>
      <c r="AS357" s="1">
        <f>+(K357*10+L357*20)*12*30-179374.89</f>
        <v>17837797.109999999</v>
      </c>
      <c r="AT357" s="29">
        <f t="shared" si="149"/>
        <v>-12956518.932283439</v>
      </c>
      <c r="AU357" s="29">
        <f>+P357-'[6]Приложение №1'!$P344</f>
        <v>0</v>
      </c>
      <c r="AV357" s="29">
        <f>+Q357-'[6]Приложение №1'!$Q344</f>
        <v>0</v>
      </c>
      <c r="AW357" s="29">
        <f>+R357-'[6]Приложение №1'!$R344</f>
        <v>0</v>
      </c>
      <c r="AX357" s="29">
        <f>+S357-'[6]Приложение №1'!$S344</f>
        <v>0</v>
      </c>
      <c r="AY357" s="29">
        <f>+T357-'[6]Приложение №1'!$T344</f>
        <v>0</v>
      </c>
    </row>
    <row r="358" spans="1:51" x14ac:dyDescent="0.25">
      <c r="A358" s="135">
        <f t="shared" si="151"/>
        <v>341</v>
      </c>
      <c r="B358" s="134">
        <f t="shared" si="151"/>
        <v>153</v>
      </c>
      <c r="C358" s="77" t="s">
        <v>89</v>
      </c>
      <c r="D358" s="77" t="s">
        <v>230</v>
      </c>
      <c r="E358" s="78">
        <v>1978</v>
      </c>
      <c r="F358" s="78">
        <v>2007</v>
      </c>
      <c r="G358" s="78" t="s">
        <v>44</v>
      </c>
      <c r="H358" s="78">
        <v>4</v>
      </c>
      <c r="I358" s="78">
        <v>4</v>
      </c>
      <c r="J358" s="44">
        <v>3576.31</v>
      </c>
      <c r="K358" s="44">
        <v>2733.31</v>
      </c>
      <c r="L358" s="44">
        <v>843</v>
      </c>
      <c r="M358" s="79">
        <v>110</v>
      </c>
      <c r="N358" s="72">
        <f t="shared" si="146"/>
        <v>3056253.8263249598</v>
      </c>
      <c r="O358" s="44"/>
      <c r="P358" s="68"/>
      <c r="Q358" s="68"/>
      <c r="R358" s="68">
        <f t="shared" si="150"/>
        <v>1244325.77</v>
      </c>
      <c r="S358" s="68">
        <f>+'Приложение №2'!E358-'Приложение №1'!R358</f>
        <v>1811928.0563249597</v>
      </c>
      <c r="T358" s="68">
        <v>0</v>
      </c>
      <c r="U358" s="44">
        <f t="shared" si="154"/>
        <v>854.5830272892897</v>
      </c>
      <c r="V358" s="44">
        <f t="shared" si="154"/>
        <v>854.5830272892897</v>
      </c>
      <c r="W358" s="80">
        <v>2023</v>
      </c>
      <c r="X358" s="29" t="e">
        <f>+#REF!-'[1]Приложение №1'!$P755</f>
        <v>#REF!</v>
      </c>
      <c r="Z358" s="31">
        <f t="shared" si="152"/>
        <v>14323988.610000001</v>
      </c>
      <c r="AA358" s="27">
        <v>6271198.8006540602</v>
      </c>
      <c r="AB358" s="27">
        <v>2218821.2026700997</v>
      </c>
      <c r="AC358" s="27">
        <v>0</v>
      </c>
      <c r="AD358" s="27">
        <v>1451323.2211791598</v>
      </c>
      <c r="AE358" s="27">
        <v>1857119.41303938</v>
      </c>
      <c r="AF358" s="27"/>
      <c r="AG358" s="27">
        <v>248829.75972035999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1870006.4417999999</v>
      </c>
      <c r="AN358" s="32">
        <v>143239.88609999997</v>
      </c>
      <c r="AO358" s="33">
        <v>263449.88483693998</v>
      </c>
      <c r="AP358" s="84">
        <f>+N358-'Приложение №2'!E358</f>
        <v>0</v>
      </c>
      <c r="AQ358" s="1">
        <f>1278728.82-485172.67</f>
        <v>793556.15000000014</v>
      </c>
      <c r="AR358" s="1">
        <f t="shared" si="148"/>
        <v>450769.61999999994</v>
      </c>
      <c r="AS358" s="1">
        <f>+(K358*10+L358*20)*12*30-175262.76</f>
        <v>15734253.239999998</v>
      </c>
      <c r="AT358" s="29">
        <f t="shared" si="149"/>
        <v>-13922325.18367504</v>
      </c>
      <c r="AU358" s="29">
        <f>+P358-'[6]Приложение №1'!$P345</f>
        <v>0</v>
      </c>
      <c r="AV358" s="29">
        <f>+Q358-'[6]Приложение №1'!$Q345</f>
        <v>0</v>
      </c>
      <c r="AW358" s="29">
        <f>+R358-'[6]Приложение №1'!$R345</f>
        <v>0</v>
      </c>
      <c r="AX358" s="29">
        <f>+S358-'[6]Приложение №1'!$S345</f>
        <v>0</v>
      </c>
      <c r="AY358" s="29">
        <f>+T358-'[6]Приложение №1'!$T345</f>
        <v>0</v>
      </c>
    </row>
    <row r="359" spans="1:51" x14ac:dyDescent="0.25">
      <c r="A359" s="135">
        <f t="shared" si="151"/>
        <v>342</v>
      </c>
      <c r="B359" s="134">
        <f t="shared" si="151"/>
        <v>154</v>
      </c>
      <c r="C359" s="77" t="s">
        <v>89</v>
      </c>
      <c r="D359" s="77" t="s">
        <v>231</v>
      </c>
      <c r="E359" s="78">
        <v>1964</v>
      </c>
      <c r="F359" s="78">
        <v>1964</v>
      </c>
      <c r="G359" s="78" t="s">
        <v>44</v>
      </c>
      <c r="H359" s="78">
        <v>2</v>
      </c>
      <c r="I359" s="78">
        <v>2</v>
      </c>
      <c r="J359" s="44">
        <v>868.87</v>
      </c>
      <c r="K359" s="44">
        <v>613.55999999999995</v>
      </c>
      <c r="L359" s="44">
        <v>255.31</v>
      </c>
      <c r="M359" s="79">
        <v>26</v>
      </c>
      <c r="N359" s="72">
        <f t="shared" si="146"/>
        <v>601192.01953599998</v>
      </c>
      <c r="O359" s="44"/>
      <c r="P359" s="68"/>
      <c r="Q359" s="68"/>
      <c r="R359" s="68">
        <f t="shared" si="150"/>
        <v>292223.84999999998</v>
      </c>
      <c r="S359" s="68">
        <f>+'Приложение №2'!E359-'Приложение №1'!R359</f>
        <v>308968.169536</v>
      </c>
      <c r="T359" s="68"/>
      <c r="U359" s="44">
        <f t="shared" si="154"/>
        <v>691.92401571696576</v>
      </c>
      <c r="V359" s="44">
        <f t="shared" si="154"/>
        <v>691.92401571696576</v>
      </c>
      <c r="W359" s="80">
        <v>2023</v>
      </c>
      <c r="X359" s="29" t="e">
        <f>+#REF!-'[1]Приложение №1'!$P756</f>
        <v>#REF!</v>
      </c>
      <c r="Z359" s="31">
        <f t="shared" si="152"/>
        <v>6504868.2400000012</v>
      </c>
      <c r="AA359" s="27">
        <v>0</v>
      </c>
      <c r="AB359" s="27">
        <v>0</v>
      </c>
      <c r="AC359" s="27">
        <v>516103.55464625999</v>
      </c>
      <c r="AD359" s="27">
        <v>0</v>
      </c>
      <c r="AE359" s="27">
        <v>0</v>
      </c>
      <c r="AF359" s="27"/>
      <c r="AG359" s="27">
        <v>0</v>
      </c>
      <c r="AH359" s="27">
        <v>0</v>
      </c>
      <c r="AI359" s="27">
        <v>5207195.1827070005</v>
      </c>
      <c r="AJ359" s="27">
        <v>0</v>
      </c>
      <c r="AK359" s="27">
        <v>0</v>
      </c>
      <c r="AL359" s="27">
        <v>0</v>
      </c>
      <c r="AM359" s="27">
        <v>591363.86849999998</v>
      </c>
      <c r="AN359" s="32">
        <v>65048.682400000005</v>
      </c>
      <c r="AO359" s="33">
        <v>125156.95174674</v>
      </c>
      <c r="AP359" s="84">
        <f>+N359-'Приложение №2'!E359</f>
        <v>0</v>
      </c>
      <c r="AQ359" s="1">
        <f>278417.8-100860.31</f>
        <v>177557.49</v>
      </c>
      <c r="AR359" s="1">
        <f t="shared" si="148"/>
        <v>114666.35999999997</v>
      </c>
      <c r="AS359" s="1">
        <f>+(K359*10+L359*20)*12*30-29524.86</f>
        <v>4017523.1399999992</v>
      </c>
      <c r="AT359" s="29">
        <f t="shared" si="149"/>
        <v>-3708554.9704639991</v>
      </c>
      <c r="AU359" s="29">
        <f>+P359-'[6]Приложение №1'!$P346</f>
        <v>0</v>
      </c>
      <c r="AV359" s="29">
        <f>+Q359-'[6]Приложение №1'!$Q346</f>
        <v>0</v>
      </c>
      <c r="AW359" s="29">
        <f>+R359-'[6]Приложение №1'!$R346</f>
        <v>0</v>
      </c>
      <c r="AX359" s="29">
        <f>+S359-'[6]Приложение №1'!$S346</f>
        <v>0</v>
      </c>
      <c r="AY359" s="29">
        <f>+T359-'[6]Приложение №1'!$T346</f>
        <v>0</v>
      </c>
    </row>
    <row r="360" spans="1:51" x14ac:dyDescent="0.25">
      <c r="A360" s="135">
        <f t="shared" ref="A360:B375" si="155">+A359+1</f>
        <v>343</v>
      </c>
      <c r="B360" s="134">
        <f t="shared" si="155"/>
        <v>155</v>
      </c>
      <c r="C360" s="77" t="s">
        <v>89</v>
      </c>
      <c r="D360" s="77" t="s">
        <v>232</v>
      </c>
      <c r="E360" s="78">
        <v>1962</v>
      </c>
      <c r="F360" s="78">
        <v>2017</v>
      </c>
      <c r="G360" s="78" t="s">
        <v>44</v>
      </c>
      <c r="H360" s="78">
        <v>2</v>
      </c>
      <c r="I360" s="78">
        <v>2</v>
      </c>
      <c r="J360" s="44">
        <v>1087.26</v>
      </c>
      <c r="K360" s="44">
        <v>641.25</v>
      </c>
      <c r="L360" s="44">
        <v>254.58</v>
      </c>
      <c r="M360" s="79">
        <v>29</v>
      </c>
      <c r="N360" s="72">
        <f t="shared" si="146"/>
        <v>549084.61</v>
      </c>
      <c r="O360" s="44"/>
      <c r="P360" s="68"/>
      <c r="Q360" s="68"/>
      <c r="R360" s="68">
        <f t="shared" si="150"/>
        <v>294150.18</v>
      </c>
      <c r="S360" s="68">
        <f>+'Приложение №2'!E360-'Приложение №1'!R360</f>
        <v>254934.43</v>
      </c>
      <c r="T360" s="68">
        <v>0</v>
      </c>
      <c r="U360" s="44">
        <f t="shared" si="154"/>
        <v>612.93393835884035</v>
      </c>
      <c r="V360" s="44">
        <f t="shared" si="154"/>
        <v>612.93393835884035</v>
      </c>
      <c r="W360" s="80">
        <v>2023</v>
      </c>
      <c r="X360" s="29" t="e">
        <f>+#REF!-'[1]Приложение №1'!$P757</f>
        <v>#REF!</v>
      </c>
      <c r="Z360" s="31">
        <f t="shared" si="152"/>
        <v>616949</v>
      </c>
      <c r="AA360" s="27">
        <v>0</v>
      </c>
      <c r="AB360" s="27">
        <v>0</v>
      </c>
      <c r="AC360" s="27">
        <v>537334.19934599998</v>
      </c>
      <c r="AD360" s="27">
        <v>0</v>
      </c>
      <c r="AE360" s="27">
        <v>0</v>
      </c>
      <c r="AF360" s="27"/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61694.9</v>
      </c>
      <c r="AN360" s="32">
        <v>6169.49</v>
      </c>
      <c r="AO360" s="33">
        <v>11750.410653999999</v>
      </c>
      <c r="AP360" s="84">
        <f>+N360-'Приложение №2'!E360</f>
        <v>0</v>
      </c>
      <c r="AQ360" s="1">
        <f>309756.66-132948.3</f>
        <v>176808.36</v>
      </c>
      <c r="AR360" s="1">
        <f t="shared" si="148"/>
        <v>117341.82</v>
      </c>
      <c r="AS360" s="1">
        <f>+(K360*10+L360*20)*12*30-30726.12</f>
        <v>4110749.8800000004</v>
      </c>
      <c r="AT360" s="29">
        <f t="shared" si="149"/>
        <v>-3855815.45</v>
      </c>
      <c r="AU360" s="29">
        <f>+P360-'[6]Приложение №1'!$P347</f>
        <v>0</v>
      </c>
      <c r="AV360" s="29">
        <f>+Q360-'[6]Приложение №1'!$Q347</f>
        <v>0</v>
      </c>
      <c r="AW360" s="29">
        <f>+R360-'[6]Приложение №1'!$R347</f>
        <v>0</v>
      </c>
      <c r="AX360" s="29">
        <f>+S360-'[6]Приложение №1'!$S347</f>
        <v>0</v>
      </c>
      <c r="AY360" s="29">
        <f>+T360-'[6]Приложение №1'!$T347</f>
        <v>0</v>
      </c>
    </row>
    <row r="361" spans="1:51" x14ac:dyDescent="0.25">
      <c r="A361" s="135">
        <f t="shared" si="155"/>
        <v>344</v>
      </c>
      <c r="B361" s="134">
        <f t="shared" si="155"/>
        <v>156</v>
      </c>
      <c r="C361" s="77" t="s">
        <v>234</v>
      </c>
      <c r="D361" s="77" t="s">
        <v>235</v>
      </c>
      <c r="E361" s="78">
        <v>1980</v>
      </c>
      <c r="F361" s="78">
        <v>2000</v>
      </c>
      <c r="G361" s="78" t="s">
        <v>44</v>
      </c>
      <c r="H361" s="78">
        <v>4</v>
      </c>
      <c r="I361" s="78">
        <v>2</v>
      </c>
      <c r="J361" s="44">
        <v>1287.7</v>
      </c>
      <c r="K361" s="44">
        <v>1277.9000000000001</v>
      </c>
      <c r="L361" s="44">
        <v>0</v>
      </c>
      <c r="M361" s="79">
        <v>40</v>
      </c>
      <c r="N361" s="72">
        <f t="shared" si="146"/>
        <v>4035248.7116984078</v>
      </c>
      <c r="O361" s="44"/>
      <c r="P361" s="68"/>
      <c r="Q361" s="68"/>
      <c r="R361" s="68">
        <f t="shared" si="150"/>
        <v>715787.88</v>
      </c>
      <c r="S361" s="68">
        <f>+'Приложение №2'!E361-'Приложение №1'!R361</f>
        <v>3319460.8316984079</v>
      </c>
      <c r="T361" s="68">
        <v>1.1641532182693481E-10</v>
      </c>
      <c r="U361" s="44">
        <f t="shared" si="154"/>
        <v>3157.7186882372703</v>
      </c>
      <c r="V361" s="44">
        <f t="shared" si="154"/>
        <v>3157.7186882372703</v>
      </c>
      <c r="W361" s="80">
        <v>2023</v>
      </c>
      <c r="X361" s="29" t="e">
        <f>+#REF!-'[1]Приложение №1'!$P787</f>
        <v>#REF!</v>
      </c>
      <c r="Z361" s="31">
        <f t="shared" si="152"/>
        <v>9299405.044942271</v>
      </c>
      <c r="AA361" s="27">
        <v>3595441.7299740082</v>
      </c>
      <c r="AB361" s="27">
        <v>1661086.1448613489</v>
      </c>
      <c r="AC361" s="27">
        <v>1682740.6874936828</v>
      </c>
      <c r="AD361" s="27">
        <v>1087023.0029267459</v>
      </c>
      <c r="AE361" s="27">
        <v>0</v>
      </c>
      <c r="AF361" s="27"/>
      <c r="AG361" s="27">
        <v>125708.39506661828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876143.30562875385</v>
      </c>
      <c r="AN361" s="32">
        <v>92994.050449422735</v>
      </c>
      <c r="AO361" s="33">
        <v>178267.72854169167</v>
      </c>
      <c r="AP361" s="84">
        <f>+N361-'Приложение №2'!E361</f>
        <v>0</v>
      </c>
      <c r="AQ361" s="1">
        <v>585442.07999999996</v>
      </c>
      <c r="AR361" s="1">
        <f t="shared" si="148"/>
        <v>130345.8</v>
      </c>
      <c r="AS361" s="1">
        <f t="shared" ref="AS361:AS375" si="156">+(K361*10+L361*20)*12*30</f>
        <v>4600440</v>
      </c>
      <c r="AT361" s="29">
        <f t="shared" si="149"/>
        <v>-1280979.1683015921</v>
      </c>
      <c r="AU361" s="29">
        <f>+P361-'[6]Приложение №1'!$P348</f>
        <v>0</v>
      </c>
      <c r="AV361" s="29">
        <f>+Q361-'[6]Приложение №1'!$Q348</f>
        <v>0</v>
      </c>
      <c r="AW361" s="29">
        <f>+R361-'[6]Приложение №1'!$R348</f>
        <v>0</v>
      </c>
      <c r="AX361" s="29">
        <f>+S361-'[6]Приложение №1'!$S348</f>
        <v>0</v>
      </c>
      <c r="AY361" s="29">
        <f>+T361-'[6]Приложение №1'!$T348</f>
        <v>0</v>
      </c>
    </row>
    <row r="362" spans="1:51" x14ac:dyDescent="0.25">
      <c r="A362" s="135">
        <f t="shared" si="155"/>
        <v>345</v>
      </c>
      <c r="B362" s="134">
        <f t="shared" si="155"/>
        <v>157</v>
      </c>
      <c r="C362" s="77" t="s">
        <v>234</v>
      </c>
      <c r="D362" s="77" t="s">
        <v>236</v>
      </c>
      <c r="E362" s="78">
        <v>1984</v>
      </c>
      <c r="F362" s="78">
        <v>2010</v>
      </c>
      <c r="G362" s="78" t="s">
        <v>44</v>
      </c>
      <c r="H362" s="78">
        <v>5</v>
      </c>
      <c r="I362" s="78">
        <v>4</v>
      </c>
      <c r="J362" s="44">
        <v>3209.1</v>
      </c>
      <c r="K362" s="44">
        <v>1814.6</v>
      </c>
      <c r="L362" s="44">
        <v>635</v>
      </c>
      <c r="M362" s="79">
        <v>66</v>
      </c>
      <c r="N362" s="129">
        <f t="shared" si="146"/>
        <v>526378.2994685102</v>
      </c>
      <c r="O362" s="44"/>
      <c r="P362" s="68"/>
      <c r="Q362" s="68"/>
      <c r="R362" s="68">
        <f>+'Приложение №2'!E362</f>
        <v>526378.2994685102</v>
      </c>
      <c r="S362" s="68"/>
      <c r="T362" s="44"/>
      <c r="U362" s="68">
        <f>$N362/($K362+$L362)</f>
        <v>214.88336849628928</v>
      </c>
      <c r="V362" s="68">
        <f>$N362/($K362+$L362)</f>
        <v>214.88336849628928</v>
      </c>
      <c r="W362" s="80">
        <v>2023</v>
      </c>
      <c r="X362" s="29" t="e">
        <f>+#REF!-'[1]Приложение №1'!$P1748</f>
        <v>#REF!</v>
      </c>
      <c r="Z362" s="31">
        <f>SUM(AA362:AO362)</f>
        <v>1865966.0654482848</v>
      </c>
      <c r="AA362" s="27"/>
      <c r="AB362" s="27"/>
      <c r="AC362" s="27"/>
      <c r="AD362" s="27">
        <v>1570389.5768170147</v>
      </c>
      <c r="AE362" s="27">
        <v>0</v>
      </c>
      <c r="AF362" s="27"/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242575.58850827703</v>
      </c>
      <c r="AN362" s="32">
        <v>18659.66065448285</v>
      </c>
      <c r="AO362" s="33">
        <v>34341.239468510234</v>
      </c>
      <c r="AP362" s="84">
        <f>+N362-'Приложение №2'!E362</f>
        <v>0</v>
      </c>
      <c r="AQ362" s="1">
        <v>1304593.93</v>
      </c>
      <c r="AR362" s="1">
        <f>+(K362*10+L362*20)*12*0.85</f>
        <v>314629.2</v>
      </c>
      <c r="AS362" s="1">
        <f>+(K362*10+L362*20)*12*30</f>
        <v>11104560</v>
      </c>
      <c r="AT362" s="29">
        <f>+S362-AS362</f>
        <v>-11104560</v>
      </c>
    </row>
    <row r="363" spans="1:51" x14ac:dyDescent="0.25">
      <c r="A363" s="135">
        <f t="shared" si="155"/>
        <v>346</v>
      </c>
      <c r="B363" s="134">
        <f t="shared" si="155"/>
        <v>158</v>
      </c>
      <c r="C363" s="77" t="s">
        <v>234</v>
      </c>
      <c r="D363" s="77" t="s">
        <v>729</v>
      </c>
      <c r="E363" s="78">
        <v>1982</v>
      </c>
      <c r="F363" s="78"/>
      <c r="G363" s="78" t="s">
        <v>44</v>
      </c>
      <c r="H363" s="78">
        <v>5</v>
      </c>
      <c r="I363" s="78">
        <v>4</v>
      </c>
      <c r="J363" s="44">
        <v>3359.7</v>
      </c>
      <c r="K363" s="44">
        <v>2436.8000000000002</v>
      </c>
      <c r="L363" s="44">
        <v>338.7</v>
      </c>
      <c r="M363" s="79">
        <v>80</v>
      </c>
      <c r="N363" s="72">
        <f t="shared" si="146"/>
        <v>520542.46</v>
      </c>
      <c r="O363" s="44"/>
      <c r="P363" s="68">
        <f>+'[7]Приложение №2'!E350-'[7]Приложение №1'!R350-'[7]Приложение №1'!S350</f>
        <v>0</v>
      </c>
      <c r="Q363" s="68"/>
      <c r="R363" s="68">
        <f>+'Приложение №2'!E363</f>
        <v>520542.46</v>
      </c>
      <c r="S363" s="68"/>
      <c r="T363" s="68"/>
      <c r="U363" s="44">
        <f t="shared" si="154"/>
        <v>187.5490758421906</v>
      </c>
      <c r="V363" s="44">
        <f t="shared" si="154"/>
        <v>187.5490758421906</v>
      </c>
      <c r="W363" s="80">
        <v>2023</v>
      </c>
      <c r="X363" s="29"/>
      <c r="Z363" s="31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32"/>
      <c r="AO363" s="33"/>
      <c r="AP363" s="84">
        <f>+N363-'Приложение №2'!E363</f>
        <v>0</v>
      </c>
      <c r="AQ363" s="24">
        <v>1709418.27</v>
      </c>
      <c r="AR363" s="1">
        <f t="shared" si="148"/>
        <v>317648.39999999997</v>
      </c>
      <c r="AS363" s="1">
        <f t="shared" si="156"/>
        <v>11211120</v>
      </c>
      <c r="AT363" s="29">
        <f t="shared" si="149"/>
        <v>-11211120</v>
      </c>
    </row>
    <row r="364" spans="1:51" x14ac:dyDescent="0.25">
      <c r="A364" s="135">
        <f t="shared" si="155"/>
        <v>347</v>
      </c>
      <c r="B364" s="134">
        <f t="shared" si="155"/>
        <v>159</v>
      </c>
      <c r="C364" s="77" t="s">
        <v>234</v>
      </c>
      <c r="D364" s="77" t="s">
        <v>388</v>
      </c>
      <c r="E364" s="78">
        <v>1970</v>
      </c>
      <c r="F364" s="78">
        <v>2013</v>
      </c>
      <c r="G364" s="78" t="s">
        <v>44</v>
      </c>
      <c r="H364" s="78">
        <v>4</v>
      </c>
      <c r="I364" s="78">
        <v>2</v>
      </c>
      <c r="J364" s="44">
        <v>1446.8</v>
      </c>
      <c r="K364" s="44">
        <v>1340.5</v>
      </c>
      <c r="L364" s="44">
        <v>0</v>
      </c>
      <c r="M364" s="79">
        <v>57</v>
      </c>
      <c r="N364" s="72">
        <f t="shared" si="146"/>
        <v>1947788.4374377709</v>
      </c>
      <c r="O364" s="44"/>
      <c r="P364" s="68"/>
      <c r="Q364" s="68"/>
      <c r="R364" s="68">
        <f t="shared" ref="R364:R377" si="157">+AQ364+AR364</f>
        <v>781595.57</v>
      </c>
      <c r="S364" s="68">
        <f>+'Приложение №2'!E364-'Приложение №1'!R364</f>
        <v>1166192.8674377711</v>
      </c>
      <c r="T364" s="68">
        <v>0</v>
      </c>
      <c r="U364" s="44">
        <f t="shared" si="154"/>
        <v>1453.0312849218731</v>
      </c>
      <c r="V364" s="44">
        <f t="shared" si="154"/>
        <v>1453.0312849218731</v>
      </c>
      <c r="W364" s="80">
        <v>2023</v>
      </c>
      <c r="X364" s="29" t="e">
        <f>+#REF!-'[1]Приложение №1'!$P1146</f>
        <v>#REF!</v>
      </c>
      <c r="Z364" s="31">
        <f t="shared" ref="Z364:Z377" si="158">SUM(AA364:AO364)</f>
        <v>1958621.6233209604</v>
      </c>
      <c r="AA364" s="27">
        <v>0</v>
      </c>
      <c r="AB364" s="27">
        <v>0</v>
      </c>
      <c r="AC364" s="27">
        <v>1705869.3373178835</v>
      </c>
      <c r="AD364" s="27">
        <v>0</v>
      </c>
      <c r="AE364" s="27">
        <v>0</v>
      </c>
      <c r="AF364" s="27"/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195862.16233209602</v>
      </c>
      <c r="AN364" s="32">
        <v>19586.216233209601</v>
      </c>
      <c r="AO364" s="33">
        <v>37303.907437771006</v>
      </c>
      <c r="AP364" s="84">
        <f>+N364-'Приложение №2'!E364</f>
        <v>0</v>
      </c>
      <c r="AQ364" s="1">
        <v>644864.56999999995</v>
      </c>
      <c r="AR364" s="1">
        <f t="shared" si="148"/>
        <v>136731</v>
      </c>
      <c r="AS364" s="1">
        <f t="shared" si="156"/>
        <v>4825800</v>
      </c>
      <c r="AT364" s="29">
        <f t="shared" si="149"/>
        <v>-3659607.1325622289</v>
      </c>
      <c r="AU364" s="29">
        <f>+P364-'[6]Приложение №1'!$P349</f>
        <v>0</v>
      </c>
      <c r="AV364" s="29">
        <f>+Q364-'[6]Приложение №1'!$Q349</f>
        <v>0</v>
      </c>
      <c r="AW364" s="29">
        <f>+R364-'[6]Приложение №1'!$R349</f>
        <v>0</v>
      </c>
      <c r="AX364" s="29">
        <f>+S364-'[6]Приложение №1'!$S349</f>
        <v>0</v>
      </c>
      <c r="AY364" s="29">
        <f>+T364-'[6]Приложение №1'!$T349</f>
        <v>0</v>
      </c>
    </row>
    <row r="365" spans="1:51" x14ac:dyDescent="0.25">
      <c r="A365" s="135">
        <f t="shared" si="155"/>
        <v>348</v>
      </c>
      <c r="B365" s="134">
        <f t="shared" si="155"/>
        <v>160</v>
      </c>
      <c r="C365" s="77" t="s">
        <v>234</v>
      </c>
      <c r="D365" s="77" t="s">
        <v>389</v>
      </c>
      <c r="E365" s="78">
        <v>1965</v>
      </c>
      <c r="F365" s="78">
        <v>2006</v>
      </c>
      <c r="G365" s="78" t="s">
        <v>44</v>
      </c>
      <c r="H365" s="78">
        <v>3</v>
      </c>
      <c r="I365" s="78">
        <v>2</v>
      </c>
      <c r="J365" s="44">
        <v>1057</v>
      </c>
      <c r="K365" s="44">
        <v>910.1</v>
      </c>
      <c r="L365" s="44">
        <v>0</v>
      </c>
      <c r="M365" s="79">
        <v>42</v>
      </c>
      <c r="N365" s="72">
        <f t="shared" si="146"/>
        <v>1365207.499136603</v>
      </c>
      <c r="O365" s="44"/>
      <c r="P365" s="68"/>
      <c r="Q365" s="68"/>
      <c r="R365" s="68">
        <f t="shared" si="157"/>
        <v>507657.83</v>
      </c>
      <c r="S365" s="68">
        <f>+'Приложение №2'!E365-'Приложение №1'!R365</f>
        <v>857549.6691366029</v>
      </c>
      <c r="T365" s="68">
        <v>0</v>
      </c>
      <c r="U365" s="44">
        <f t="shared" si="154"/>
        <v>1500.0631789216602</v>
      </c>
      <c r="V365" s="44">
        <f t="shared" si="154"/>
        <v>1500.0631789216602</v>
      </c>
      <c r="W365" s="80">
        <v>2023</v>
      </c>
      <c r="X365" s="29" t="e">
        <f>+#REF!-'[1]Приложение №1'!$P1147</f>
        <v>#REF!</v>
      </c>
      <c r="Z365" s="31">
        <f t="shared" si="158"/>
        <v>8816238.8611652162</v>
      </c>
      <c r="AA365" s="27">
        <v>4211114.5920837251</v>
      </c>
      <c r="AB365" s="27">
        <v>2542939.3447388657</v>
      </c>
      <c r="AC365" s="27">
        <v>1017036.5333214835</v>
      </c>
      <c r="AD365" s="27">
        <v>0</v>
      </c>
      <c r="AE365" s="27">
        <v>0</v>
      </c>
      <c r="AF365" s="27"/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787047.99294588482</v>
      </c>
      <c r="AN365" s="32">
        <v>88162.388611652161</v>
      </c>
      <c r="AO365" s="33">
        <v>169938.00946360437</v>
      </c>
      <c r="AP365" s="84">
        <f>+N365-'Приложение №2'!E365</f>
        <v>0</v>
      </c>
      <c r="AQ365" s="1">
        <v>414827.63</v>
      </c>
      <c r="AR365" s="1">
        <f t="shared" si="148"/>
        <v>92830.2</v>
      </c>
      <c r="AS365" s="1">
        <f t="shared" si="156"/>
        <v>3276360</v>
      </c>
      <c r="AT365" s="29">
        <f t="shared" si="149"/>
        <v>-2418810.3308633971</v>
      </c>
      <c r="AU365" s="29">
        <f>+P365-'[6]Приложение №1'!$P350</f>
        <v>0</v>
      </c>
      <c r="AV365" s="29">
        <f>+Q365-'[6]Приложение №1'!$Q350</f>
        <v>0</v>
      </c>
      <c r="AW365" s="29">
        <f>+R365-'[6]Приложение №1'!$R350</f>
        <v>0</v>
      </c>
      <c r="AX365" s="29">
        <f>+S365-'[6]Приложение №1'!$S350</f>
        <v>0</v>
      </c>
      <c r="AY365" s="29">
        <f>+T365-'[6]Приложение №1'!$T350</f>
        <v>0</v>
      </c>
    </row>
    <row r="366" spans="1:51" x14ac:dyDescent="0.25">
      <c r="A366" s="135">
        <f t="shared" si="155"/>
        <v>349</v>
      </c>
      <c r="B366" s="134">
        <f t="shared" si="155"/>
        <v>161</v>
      </c>
      <c r="C366" s="77" t="s">
        <v>234</v>
      </c>
      <c r="D366" s="77" t="s">
        <v>390</v>
      </c>
      <c r="E366" s="78">
        <v>1993</v>
      </c>
      <c r="F366" s="78">
        <v>2013</v>
      </c>
      <c r="G366" s="78" t="s">
        <v>44</v>
      </c>
      <c r="H366" s="78">
        <v>5</v>
      </c>
      <c r="I366" s="78">
        <v>4</v>
      </c>
      <c r="J366" s="44">
        <v>3395.5</v>
      </c>
      <c r="K366" s="44">
        <v>2227.23</v>
      </c>
      <c r="L366" s="44">
        <v>0</v>
      </c>
      <c r="M366" s="79">
        <v>37</v>
      </c>
      <c r="N366" s="72">
        <f t="shared" si="146"/>
        <v>6350031.4946001265</v>
      </c>
      <c r="O366" s="44"/>
      <c r="P366" s="68"/>
      <c r="Q366" s="68"/>
      <c r="R366" s="68">
        <f t="shared" si="157"/>
        <v>1000336.4099999999</v>
      </c>
      <c r="S366" s="68">
        <f>+'Приложение №2'!E366-'Приложение №1'!R366</f>
        <v>5349695.0846001264</v>
      </c>
      <c r="T366" s="68">
        <v>0</v>
      </c>
      <c r="U366" s="44">
        <f t="shared" si="154"/>
        <v>2851.0892429610444</v>
      </c>
      <c r="V366" s="44">
        <f t="shared" si="154"/>
        <v>2851.0892429610444</v>
      </c>
      <c r="W366" s="80">
        <v>2023</v>
      </c>
      <c r="X366" s="29" t="e">
        <f>+#REF!-'[1]Приложение №1'!$P1148</f>
        <v>#REF!</v>
      </c>
      <c r="Z366" s="31">
        <f t="shared" si="158"/>
        <v>6360267.7595478538</v>
      </c>
      <c r="AA366" s="27">
        <v>0</v>
      </c>
      <c r="AB366" s="27">
        <v>0</v>
      </c>
      <c r="AC366" s="27">
        <v>3320012.5520375175</v>
      </c>
      <c r="AD366" s="27">
        <v>2144673.8887888566</v>
      </c>
      <c r="AE366" s="27">
        <v>0</v>
      </c>
      <c r="AF366" s="27"/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712477.0165258738</v>
      </c>
      <c r="AN366" s="32">
        <v>63602.677595478541</v>
      </c>
      <c r="AO366" s="33">
        <v>119501.62460012714</v>
      </c>
      <c r="AP366" s="84">
        <f>+N366-'Приложение №2'!E366</f>
        <v>0</v>
      </c>
      <c r="AQ366" s="1">
        <v>773158.95</v>
      </c>
      <c r="AR366" s="1">
        <f t="shared" si="148"/>
        <v>227177.45999999996</v>
      </c>
      <c r="AS366" s="1">
        <f t="shared" si="156"/>
        <v>8018027.9999999991</v>
      </c>
      <c r="AT366" s="29">
        <f t="shared" si="149"/>
        <v>-2668332.9153998727</v>
      </c>
      <c r="AU366" s="29">
        <f>+P366-'[6]Приложение №1'!$P351</f>
        <v>0</v>
      </c>
      <c r="AV366" s="29">
        <f>+Q366-'[6]Приложение №1'!$Q351</f>
        <v>0</v>
      </c>
      <c r="AW366" s="29">
        <f>+R366-'[6]Приложение №1'!$R351</f>
        <v>0</v>
      </c>
      <c r="AX366" s="29">
        <f>+S366-'[6]Приложение №1'!$S351</f>
        <v>0</v>
      </c>
      <c r="AY366" s="29">
        <f>+T366-'[6]Приложение №1'!$T351</f>
        <v>0</v>
      </c>
    </row>
    <row r="367" spans="1:51" x14ac:dyDescent="0.25">
      <c r="A367" s="135">
        <f t="shared" si="155"/>
        <v>350</v>
      </c>
      <c r="B367" s="134">
        <f t="shared" si="155"/>
        <v>162</v>
      </c>
      <c r="C367" s="77" t="s">
        <v>234</v>
      </c>
      <c r="D367" s="77" t="s">
        <v>391</v>
      </c>
      <c r="E367" s="78">
        <v>1969</v>
      </c>
      <c r="F367" s="78">
        <v>2013</v>
      </c>
      <c r="G367" s="78" t="s">
        <v>44</v>
      </c>
      <c r="H367" s="78">
        <v>4</v>
      </c>
      <c r="I367" s="78">
        <v>2</v>
      </c>
      <c r="J367" s="44">
        <v>1421.6</v>
      </c>
      <c r="K367" s="44">
        <v>1089.9000000000001</v>
      </c>
      <c r="L367" s="44">
        <v>300.27999999999997</v>
      </c>
      <c r="M367" s="79">
        <v>49</v>
      </c>
      <c r="N367" s="72">
        <f t="shared" si="146"/>
        <v>1949615.1872890538</v>
      </c>
      <c r="O367" s="44"/>
      <c r="P367" s="68"/>
      <c r="Q367" s="68"/>
      <c r="R367" s="68">
        <f t="shared" si="157"/>
        <v>657903.43999999994</v>
      </c>
      <c r="S367" s="68">
        <f>+'Приложение №2'!E367-'Приложение №1'!R367</f>
        <v>1291711.7472890539</v>
      </c>
      <c r="T367" s="68">
        <v>0</v>
      </c>
      <c r="U367" s="44">
        <f t="shared" si="154"/>
        <v>1402.419245917114</v>
      </c>
      <c r="V367" s="44">
        <f t="shared" si="154"/>
        <v>1402.419245917114</v>
      </c>
      <c r="W367" s="80">
        <v>2023</v>
      </c>
      <c r="X367" s="29" t="e">
        <f>+#REF!-'[1]Приложение №1'!$P1149</f>
        <v>#REF!</v>
      </c>
      <c r="Z367" s="31">
        <f t="shared" si="158"/>
        <v>1959828.6931142404</v>
      </c>
      <c r="AA367" s="27">
        <v>0</v>
      </c>
      <c r="AB367" s="27">
        <v>0</v>
      </c>
      <c r="AC367" s="27">
        <v>1706920.6395826202</v>
      </c>
      <c r="AD367" s="27">
        <v>0</v>
      </c>
      <c r="AE367" s="27">
        <v>0</v>
      </c>
      <c r="AF367" s="27"/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195982.86931142406</v>
      </c>
      <c r="AN367" s="32">
        <v>19598.286931142404</v>
      </c>
      <c r="AO367" s="33">
        <v>37326.897289053828</v>
      </c>
      <c r="AP367" s="84">
        <f>+N367-'Приложение №2'!E367</f>
        <v>0</v>
      </c>
      <c r="AQ367" s="1">
        <v>485476.52</v>
      </c>
      <c r="AR367" s="1">
        <f t="shared" si="148"/>
        <v>172426.91999999998</v>
      </c>
      <c r="AS367" s="1">
        <f t="shared" si="156"/>
        <v>6085655.9999999991</v>
      </c>
      <c r="AT367" s="29">
        <f t="shared" si="149"/>
        <v>-4793944.252710945</v>
      </c>
      <c r="AU367" s="29">
        <f>+P367-'[6]Приложение №1'!$P352</f>
        <v>0</v>
      </c>
      <c r="AV367" s="29">
        <f>+Q367-'[6]Приложение №1'!$Q352</f>
        <v>0</v>
      </c>
      <c r="AW367" s="29">
        <f>+R367-'[6]Приложение №1'!$R352</f>
        <v>0</v>
      </c>
      <c r="AX367" s="29">
        <f>+S367-'[6]Приложение №1'!$S352</f>
        <v>0</v>
      </c>
      <c r="AY367" s="29">
        <f>+T367-'[6]Приложение №1'!$T352</f>
        <v>0</v>
      </c>
    </row>
    <row r="368" spans="1:51" x14ac:dyDescent="0.25">
      <c r="A368" s="135">
        <f t="shared" si="155"/>
        <v>351</v>
      </c>
      <c r="B368" s="134">
        <f t="shared" si="155"/>
        <v>163</v>
      </c>
      <c r="C368" s="77" t="s">
        <v>234</v>
      </c>
      <c r="D368" s="77" t="s">
        <v>392</v>
      </c>
      <c r="E368" s="78">
        <v>1967</v>
      </c>
      <c r="F368" s="78">
        <v>2013</v>
      </c>
      <c r="G368" s="78" t="s">
        <v>44</v>
      </c>
      <c r="H368" s="78">
        <v>3</v>
      </c>
      <c r="I368" s="78">
        <v>2</v>
      </c>
      <c r="J368" s="44">
        <v>1043.9000000000001</v>
      </c>
      <c r="K368" s="44">
        <v>633.5</v>
      </c>
      <c r="L368" s="44">
        <v>326.8</v>
      </c>
      <c r="M368" s="79">
        <v>24</v>
      </c>
      <c r="N368" s="72">
        <f t="shared" si="146"/>
        <v>948573.00123749382</v>
      </c>
      <c r="O368" s="44"/>
      <c r="P368" s="68"/>
      <c r="Q368" s="68"/>
      <c r="R368" s="68">
        <f t="shared" si="157"/>
        <v>721179.51</v>
      </c>
      <c r="S368" s="68">
        <f>+'Приложение №2'!E368-'Приложение №1'!R368</f>
        <v>227393.49123749381</v>
      </c>
      <c r="T368" s="68">
        <v>0</v>
      </c>
      <c r="U368" s="44">
        <f t="shared" si="154"/>
        <v>987.78819247890647</v>
      </c>
      <c r="V368" s="44">
        <f t="shared" si="154"/>
        <v>987.78819247890647</v>
      </c>
      <c r="W368" s="80">
        <v>2023</v>
      </c>
      <c r="X368" s="29" t="e">
        <f>+#REF!-'[1]Приложение №1'!$P1150</f>
        <v>#REF!</v>
      </c>
      <c r="Z368" s="31">
        <f t="shared" si="158"/>
        <v>823749.40866816009</v>
      </c>
      <c r="AA368" s="27">
        <v>0</v>
      </c>
      <c r="AB368" s="27">
        <v>0</v>
      </c>
      <c r="AC368" s="27">
        <v>717447.84247716866</v>
      </c>
      <c r="AD368" s="27">
        <v>0</v>
      </c>
      <c r="AE368" s="27">
        <v>0</v>
      </c>
      <c r="AF368" s="27"/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82374.940866816018</v>
      </c>
      <c r="AN368" s="32">
        <v>8237.4940866816014</v>
      </c>
      <c r="AO368" s="33">
        <v>15689.131237493779</v>
      </c>
      <c r="AP368" s="84">
        <f>+N368-'Приложение №2'!E368</f>
        <v>0</v>
      </c>
      <c r="AQ368" s="1">
        <v>589895.31000000006</v>
      </c>
      <c r="AR368" s="1">
        <f t="shared" si="148"/>
        <v>131284.19999999998</v>
      </c>
      <c r="AS368" s="1">
        <f t="shared" si="156"/>
        <v>4633560</v>
      </c>
      <c r="AT368" s="29">
        <f t="shared" si="149"/>
        <v>-4406166.5087625058</v>
      </c>
      <c r="AU368" s="29">
        <f>+P368-'[6]Приложение №1'!$P353</f>
        <v>0</v>
      </c>
      <c r="AV368" s="29">
        <f>+Q368-'[6]Приложение №1'!$Q353</f>
        <v>0</v>
      </c>
      <c r="AW368" s="29">
        <f>+R368-'[6]Приложение №1'!$R353</f>
        <v>0</v>
      </c>
      <c r="AX368" s="29">
        <f>+S368-'[6]Приложение №1'!$S353</f>
        <v>0</v>
      </c>
      <c r="AY368" s="29">
        <f>+T368-'[6]Приложение №1'!$T353</f>
        <v>0</v>
      </c>
    </row>
    <row r="369" spans="1:51" x14ac:dyDescent="0.25">
      <c r="A369" s="135">
        <f t="shared" si="155"/>
        <v>352</v>
      </c>
      <c r="B369" s="134">
        <f t="shared" si="155"/>
        <v>164</v>
      </c>
      <c r="C369" s="77" t="s">
        <v>234</v>
      </c>
      <c r="D369" s="77" t="s">
        <v>237</v>
      </c>
      <c r="E369" s="78">
        <v>1979</v>
      </c>
      <c r="F369" s="78">
        <v>2013</v>
      </c>
      <c r="G369" s="78" t="s">
        <v>44</v>
      </c>
      <c r="H369" s="78">
        <v>5</v>
      </c>
      <c r="I369" s="78">
        <v>4</v>
      </c>
      <c r="J369" s="44">
        <v>3313.8</v>
      </c>
      <c r="K369" s="44">
        <v>2402.9</v>
      </c>
      <c r="L369" s="44">
        <v>0</v>
      </c>
      <c r="M369" s="79">
        <v>83</v>
      </c>
      <c r="N369" s="129">
        <f t="shared" si="146"/>
        <v>466454.1786358984</v>
      </c>
      <c r="O369" s="44"/>
      <c r="P369" s="68"/>
      <c r="Q369" s="68"/>
      <c r="R369" s="68">
        <f>+'Приложение №2'!E369</f>
        <v>466454.1786358984</v>
      </c>
      <c r="S369" s="68">
        <f>+'Приложение №2'!E369-'Приложение №1'!R369</f>
        <v>0</v>
      </c>
      <c r="T369" s="44">
        <f>+'Приложение №2'!E369-'Приложение №1'!P369-'Приложение №1'!Q369-'Приложение №1'!R369-'Приложение №1'!S369</f>
        <v>0</v>
      </c>
      <c r="U369" s="68">
        <f>$N369/($K369+$L369)</f>
        <v>194.12134447371858</v>
      </c>
      <c r="V369" s="68">
        <f>$N369/($K369+$L369)</f>
        <v>194.12134447371858</v>
      </c>
      <c r="W369" s="80">
        <v>2023</v>
      </c>
      <c r="X369" s="29" t="e">
        <f>+#REF!-'[1]Приложение №1'!$P1539</f>
        <v>#REF!</v>
      </c>
      <c r="Z369" s="31">
        <f>SUM(AA369:AO369)</f>
        <v>2386447.4372907174</v>
      </c>
      <c r="AA369" s="27"/>
      <c r="AB369" s="27"/>
      <c r="AC369" s="27"/>
      <c r="AD369" s="27">
        <v>2008424.6174341184</v>
      </c>
      <c r="AE369" s="27">
        <v>0</v>
      </c>
      <c r="AF369" s="27"/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310238.16684779321</v>
      </c>
      <c r="AN369" s="32">
        <v>23864.474372907171</v>
      </c>
      <c r="AO369" s="33">
        <v>43920.178635898366</v>
      </c>
      <c r="AP369" s="84">
        <f>+N369-'Приложение №2'!E369</f>
        <v>0</v>
      </c>
      <c r="AQ369" s="1">
        <f>846724.36-198805.3544</f>
        <v>647919.00560000003</v>
      </c>
      <c r="AR369" s="1">
        <f>+(K369*10+L369*20)*12*0.85</f>
        <v>245095.8</v>
      </c>
      <c r="AS369" s="1">
        <f>+(K369*10+L369*20)*12*30-658098.6</f>
        <v>7992341.4000000004</v>
      </c>
      <c r="AT369" s="29">
        <f>+S369-AS369</f>
        <v>-7992341.4000000004</v>
      </c>
    </row>
    <row r="370" spans="1:51" x14ac:dyDescent="0.25">
      <c r="A370" s="135">
        <f t="shared" si="155"/>
        <v>353</v>
      </c>
      <c r="B370" s="134">
        <f t="shared" si="155"/>
        <v>165</v>
      </c>
      <c r="C370" s="77" t="s">
        <v>234</v>
      </c>
      <c r="D370" s="77" t="s">
        <v>393</v>
      </c>
      <c r="E370" s="78">
        <v>1971</v>
      </c>
      <c r="F370" s="78">
        <v>2013</v>
      </c>
      <c r="G370" s="78" t="s">
        <v>44</v>
      </c>
      <c r="H370" s="78">
        <v>3</v>
      </c>
      <c r="I370" s="78">
        <v>1</v>
      </c>
      <c r="J370" s="44">
        <v>536</v>
      </c>
      <c r="K370" s="44">
        <v>489.9</v>
      </c>
      <c r="L370" s="44">
        <v>0</v>
      </c>
      <c r="M370" s="79">
        <v>16</v>
      </c>
      <c r="N370" s="72">
        <f t="shared" si="146"/>
        <v>721601.24847460375</v>
      </c>
      <c r="O370" s="44"/>
      <c r="P370" s="68"/>
      <c r="Q370" s="68"/>
      <c r="R370" s="68">
        <f t="shared" si="157"/>
        <v>176134.18</v>
      </c>
      <c r="S370" s="68">
        <f>+'Приложение №2'!E370-'Приложение №1'!R370</f>
        <v>545467.06847460382</v>
      </c>
      <c r="T370" s="68">
        <v>2.9103830456733704E-11</v>
      </c>
      <c r="U370" s="44">
        <f t="shared" si="154"/>
        <v>1472.9562124405059</v>
      </c>
      <c r="V370" s="44">
        <f t="shared" si="154"/>
        <v>1472.9562124405059</v>
      </c>
      <c r="W370" s="80">
        <v>2023</v>
      </c>
      <c r="X370" s="29" t="e">
        <f>+#REF!-'[1]Приложение №1'!$P1151</f>
        <v>#REF!</v>
      </c>
      <c r="Z370" s="31">
        <f t="shared" si="158"/>
        <v>628529.26990464004</v>
      </c>
      <c r="AA370" s="27">
        <v>0</v>
      </c>
      <c r="AB370" s="27">
        <v>0</v>
      </c>
      <c r="AC370" s="27">
        <v>547420.0817405259</v>
      </c>
      <c r="AD370" s="27">
        <v>0</v>
      </c>
      <c r="AE370" s="27">
        <v>0</v>
      </c>
      <c r="AF370" s="27"/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62852.92699046401</v>
      </c>
      <c r="AN370" s="32">
        <v>6285.2926990464002</v>
      </c>
      <c r="AO370" s="33">
        <v>11970.968474603775</v>
      </c>
      <c r="AP370" s="84">
        <f>+N370-'Приложение №2'!E370</f>
        <v>0</v>
      </c>
      <c r="AQ370" s="1">
        <v>126164.38</v>
      </c>
      <c r="AR370" s="1">
        <f t="shared" si="148"/>
        <v>49969.799999999996</v>
      </c>
      <c r="AS370" s="1">
        <f t="shared" si="156"/>
        <v>1763640</v>
      </c>
      <c r="AT370" s="29">
        <f t="shared" si="149"/>
        <v>-1218172.9315253962</v>
      </c>
      <c r="AU370" s="29">
        <f>+P370-'[6]Приложение №1'!$P354</f>
        <v>0</v>
      </c>
      <c r="AV370" s="29">
        <f>+Q370-'[6]Приложение №1'!$Q354</f>
        <v>0</v>
      </c>
      <c r="AW370" s="29">
        <f>+R370-'[6]Приложение №1'!$R354</f>
        <v>0</v>
      </c>
      <c r="AX370" s="29">
        <f>+S370-'[6]Приложение №1'!$S354</f>
        <v>0</v>
      </c>
      <c r="AY370" s="29">
        <f>+T370-'[6]Приложение №1'!$T354</f>
        <v>0</v>
      </c>
    </row>
    <row r="371" spans="1:51" x14ac:dyDescent="0.25">
      <c r="A371" s="135">
        <f t="shared" si="155"/>
        <v>354</v>
      </c>
      <c r="B371" s="134">
        <f t="shared" si="155"/>
        <v>166</v>
      </c>
      <c r="C371" s="77" t="s">
        <v>234</v>
      </c>
      <c r="D371" s="77" t="s">
        <v>394</v>
      </c>
      <c r="E371" s="78">
        <v>1990</v>
      </c>
      <c r="F371" s="78">
        <v>2012</v>
      </c>
      <c r="G371" s="78" t="s">
        <v>44</v>
      </c>
      <c r="H371" s="78">
        <v>5</v>
      </c>
      <c r="I371" s="78">
        <v>4</v>
      </c>
      <c r="J371" s="44">
        <v>3306.7</v>
      </c>
      <c r="K371" s="44">
        <v>2787.1</v>
      </c>
      <c r="L371" s="44">
        <v>0</v>
      </c>
      <c r="M371" s="79">
        <v>110</v>
      </c>
      <c r="N371" s="72">
        <f t="shared" si="146"/>
        <v>21093264.575755343</v>
      </c>
      <c r="O371" s="44"/>
      <c r="P371" s="68">
        <v>3326870.9585851147</v>
      </c>
      <c r="Q371" s="68"/>
      <c r="R371" s="68">
        <f t="shared" si="157"/>
        <v>1067245.3</v>
      </c>
      <c r="S371" s="68">
        <f>+AS371</f>
        <v>10033560</v>
      </c>
      <c r="T371" s="68">
        <f>+'Приложение №2'!E371-'Приложение №1'!P371-'Приложение №1'!Q371-'Приложение №1'!R371-'Приложение №1'!S371</f>
        <v>6665588.3171702288</v>
      </c>
      <c r="U371" s="44">
        <f t="shared" si="154"/>
        <v>7568.1764471154047</v>
      </c>
      <c r="V371" s="44">
        <f t="shared" si="154"/>
        <v>7568.1764471154047</v>
      </c>
      <c r="W371" s="80">
        <v>2023</v>
      </c>
      <c r="X371" s="29" t="e">
        <f>+#REF!-'[1]Приложение №1'!$P1152</f>
        <v>#REF!</v>
      </c>
      <c r="Z371" s="31">
        <f t="shared" si="158"/>
        <v>20902928.128522508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/>
      <c r="AG371" s="27">
        <v>0</v>
      </c>
      <c r="AH371" s="27">
        <v>0</v>
      </c>
      <c r="AI371" s="27">
        <v>18410044.919914912</v>
      </c>
      <c r="AJ371" s="27">
        <v>0</v>
      </c>
      <c r="AK371" s="27">
        <v>0</v>
      </c>
      <c r="AL371" s="27">
        <v>0</v>
      </c>
      <c r="AM371" s="27">
        <v>1881263.5315670257</v>
      </c>
      <c r="AN371" s="32">
        <v>209029.28128522509</v>
      </c>
      <c r="AO371" s="33">
        <v>402590.39575534349</v>
      </c>
      <c r="AP371" s="84">
        <f>+N371-'Приложение №2'!E371</f>
        <v>0</v>
      </c>
      <c r="AQ371" s="1">
        <v>782961.1</v>
      </c>
      <c r="AR371" s="1">
        <f t="shared" si="148"/>
        <v>284284.2</v>
      </c>
      <c r="AS371" s="1">
        <f t="shared" si="156"/>
        <v>10033560</v>
      </c>
      <c r="AT371" s="29">
        <f t="shared" si="149"/>
        <v>0</v>
      </c>
      <c r="AU371" s="29">
        <f>+P371-'[6]Приложение №1'!$P355</f>
        <v>0</v>
      </c>
      <c r="AV371" s="29">
        <f>+Q371-'[6]Приложение №1'!$Q355</f>
        <v>0</v>
      </c>
      <c r="AW371" s="29">
        <f>+R371-'[6]Приложение №1'!$R355</f>
        <v>0</v>
      </c>
      <c r="AX371" s="29">
        <f>+S371-'[6]Приложение №1'!$S355</f>
        <v>0</v>
      </c>
      <c r="AY371" s="29">
        <f>+T371-'[6]Приложение №1'!$T355</f>
        <v>0</v>
      </c>
    </row>
    <row r="372" spans="1:51" x14ac:dyDescent="0.25">
      <c r="A372" s="135">
        <f t="shared" si="155"/>
        <v>355</v>
      </c>
      <c r="B372" s="134">
        <f t="shared" si="155"/>
        <v>167</v>
      </c>
      <c r="C372" s="77" t="s">
        <v>234</v>
      </c>
      <c r="D372" s="77" t="s">
        <v>395</v>
      </c>
      <c r="E372" s="78">
        <v>1970</v>
      </c>
      <c r="F372" s="78">
        <v>2013</v>
      </c>
      <c r="G372" s="78" t="s">
        <v>44</v>
      </c>
      <c r="H372" s="78">
        <v>3</v>
      </c>
      <c r="I372" s="78">
        <v>2</v>
      </c>
      <c r="J372" s="44">
        <v>1053.5</v>
      </c>
      <c r="K372" s="44">
        <v>637.79999999999995</v>
      </c>
      <c r="L372" s="44">
        <v>0</v>
      </c>
      <c r="M372" s="79">
        <v>23</v>
      </c>
      <c r="N372" s="72">
        <f t="shared" si="146"/>
        <v>951471.1264880274</v>
      </c>
      <c r="O372" s="44"/>
      <c r="P372" s="68"/>
      <c r="Q372" s="68"/>
      <c r="R372" s="68">
        <f t="shared" si="157"/>
        <v>328042.14999999997</v>
      </c>
      <c r="S372" s="68">
        <f>+'Приложение №2'!E372-'Приложение №1'!R372</f>
        <v>623428.97648802749</v>
      </c>
      <c r="T372" s="68">
        <v>0</v>
      </c>
      <c r="U372" s="44">
        <f t="shared" si="154"/>
        <v>1491.8017034933011</v>
      </c>
      <c r="V372" s="44">
        <f t="shared" si="154"/>
        <v>1491.8017034933011</v>
      </c>
      <c r="W372" s="80">
        <v>2023</v>
      </c>
      <c r="X372" s="29" t="e">
        <f>+#REF!-'[1]Приложение №1'!$P1153</f>
        <v>#REF!</v>
      </c>
      <c r="Z372" s="31">
        <f t="shared" si="158"/>
        <v>7495898.6137351692</v>
      </c>
      <c r="AA372" s="27">
        <v>2954908.2826843821</v>
      </c>
      <c r="AB372" s="27">
        <v>1784361.9231493648</v>
      </c>
      <c r="AC372" s="27">
        <v>713647.09042914386</v>
      </c>
      <c r="AD372" s="27">
        <v>0</v>
      </c>
      <c r="AE372" s="27">
        <v>0</v>
      </c>
      <c r="AF372" s="27"/>
      <c r="AG372" s="27">
        <v>214102.51111192559</v>
      </c>
      <c r="AH372" s="27">
        <v>0</v>
      </c>
      <c r="AI372" s="27">
        <v>0</v>
      </c>
      <c r="AJ372" s="27">
        <v>0</v>
      </c>
      <c r="AK372" s="27">
        <v>946168.58854243939</v>
      </c>
      <c r="AL372" s="27">
        <v>0</v>
      </c>
      <c r="AM372" s="27">
        <v>663134.19543221779</v>
      </c>
      <c r="AN372" s="32">
        <v>74958.986137351691</v>
      </c>
      <c r="AO372" s="33">
        <v>144617.03624834382</v>
      </c>
      <c r="AP372" s="84">
        <f>+N372-'Приложение №2'!E372</f>
        <v>0</v>
      </c>
      <c r="AQ372" s="1">
        <v>262986.55</v>
      </c>
      <c r="AR372" s="1">
        <f t="shared" si="148"/>
        <v>65055.6</v>
      </c>
      <c r="AS372" s="1">
        <f t="shared" si="156"/>
        <v>2296080</v>
      </c>
      <c r="AT372" s="29">
        <f t="shared" si="149"/>
        <v>-1672651.0235119725</v>
      </c>
      <c r="AU372" s="29">
        <f>+P372-'[6]Приложение №1'!$P356</f>
        <v>0</v>
      </c>
      <c r="AV372" s="29">
        <f>+Q372-'[6]Приложение №1'!$Q356</f>
        <v>0</v>
      </c>
      <c r="AW372" s="29">
        <f>+R372-'[6]Приложение №1'!$R356</f>
        <v>0</v>
      </c>
      <c r="AX372" s="29">
        <f>+S372-'[6]Приложение №1'!$S356</f>
        <v>0</v>
      </c>
      <c r="AY372" s="29">
        <f>+T372-'[6]Приложение №1'!$T356</f>
        <v>0</v>
      </c>
    </row>
    <row r="373" spans="1:51" x14ac:dyDescent="0.25">
      <c r="A373" s="135">
        <f t="shared" si="155"/>
        <v>356</v>
      </c>
      <c r="B373" s="134">
        <f t="shared" si="155"/>
        <v>168</v>
      </c>
      <c r="C373" s="77" t="s">
        <v>234</v>
      </c>
      <c r="D373" s="77" t="s">
        <v>396</v>
      </c>
      <c r="E373" s="78">
        <v>1964</v>
      </c>
      <c r="F373" s="78">
        <v>2006</v>
      </c>
      <c r="G373" s="78" t="s">
        <v>44</v>
      </c>
      <c r="H373" s="78">
        <v>3</v>
      </c>
      <c r="I373" s="78">
        <v>2</v>
      </c>
      <c r="J373" s="44">
        <v>1137</v>
      </c>
      <c r="K373" s="44">
        <v>898.1</v>
      </c>
      <c r="L373" s="44">
        <v>238.9</v>
      </c>
      <c r="M373" s="79">
        <v>31</v>
      </c>
      <c r="N373" s="72">
        <f t="shared" si="146"/>
        <v>6917016.3592651244</v>
      </c>
      <c r="O373" s="44"/>
      <c r="P373" s="68">
        <v>1463463.5249940937</v>
      </c>
      <c r="Q373" s="68"/>
      <c r="R373" s="68">
        <f t="shared" si="157"/>
        <v>729407.92999999993</v>
      </c>
      <c r="S373" s="68">
        <f>+'Приложение №2'!E373-'Приложение №1'!R373-P373</f>
        <v>4724144.9042710308</v>
      </c>
      <c r="T373" s="68">
        <f>+'Приложение №2'!E373-'Приложение №1'!P373-'Приложение №1'!Q373-'Приложение №1'!R373-'Приложение №1'!S373</f>
        <v>0</v>
      </c>
      <c r="U373" s="44">
        <f t="shared" si="154"/>
        <v>6083.5675982982621</v>
      </c>
      <c r="V373" s="44">
        <f t="shared" si="154"/>
        <v>6083.5675982982621</v>
      </c>
      <c r="W373" s="80">
        <v>2023</v>
      </c>
      <c r="X373" s="29" t="e">
        <f>+#REF!-'[1]Приложение №1'!$P1154</f>
        <v>#REF!</v>
      </c>
      <c r="Z373" s="31">
        <f t="shared" si="158"/>
        <v>23160120.339689046</v>
      </c>
      <c r="AA373" s="27">
        <v>4146776.8334225207</v>
      </c>
      <c r="AB373" s="27">
        <v>2504088.1061239289</v>
      </c>
      <c r="AC373" s="27">
        <v>0</v>
      </c>
      <c r="AD373" s="27">
        <v>0</v>
      </c>
      <c r="AE373" s="27">
        <v>0</v>
      </c>
      <c r="AF373" s="27"/>
      <c r="AG373" s="27">
        <v>300461.21507702715</v>
      </c>
      <c r="AH373" s="27">
        <v>0</v>
      </c>
      <c r="AI373" s="27">
        <v>12145951.94218928</v>
      </c>
      <c r="AJ373" s="27">
        <v>0</v>
      </c>
      <c r="AK373" s="27">
        <v>1327807.7043784016</v>
      </c>
      <c r="AL373" s="27">
        <v>0</v>
      </c>
      <c r="AM373" s="27">
        <v>2056778.0764197302</v>
      </c>
      <c r="AN373" s="32">
        <v>231601.20339689046</v>
      </c>
      <c r="AO373" s="33">
        <v>446655.25868126994</v>
      </c>
      <c r="AP373" s="84">
        <f>+N373-'Приложение №2'!E373</f>
        <v>0</v>
      </c>
      <c r="AQ373" s="1">
        <v>589066.13</v>
      </c>
      <c r="AR373" s="1">
        <f t="shared" si="148"/>
        <v>140341.79999999999</v>
      </c>
      <c r="AS373" s="1">
        <f t="shared" si="156"/>
        <v>4953240</v>
      </c>
      <c r="AT373" s="29">
        <f t="shared" si="149"/>
        <v>-229095.0957289692</v>
      </c>
      <c r="AU373" s="29">
        <f>+P373-'[6]Приложение №1'!$P357</f>
        <v>0</v>
      </c>
      <c r="AV373" s="29">
        <f>+Q373-'[6]Приложение №1'!$Q357</f>
        <v>0</v>
      </c>
      <c r="AW373" s="29">
        <f>+R373-'[6]Приложение №1'!$R357</f>
        <v>0</v>
      </c>
      <c r="AX373" s="29">
        <f>+S373-'[6]Приложение №1'!$S357</f>
        <v>0</v>
      </c>
      <c r="AY373" s="29">
        <f>+T373-'[6]Приложение №1'!$T357</f>
        <v>0</v>
      </c>
    </row>
    <row r="374" spans="1:51" x14ac:dyDescent="0.25">
      <c r="A374" s="135">
        <f t="shared" si="155"/>
        <v>357</v>
      </c>
      <c r="B374" s="134">
        <f t="shared" si="155"/>
        <v>169</v>
      </c>
      <c r="C374" s="77" t="s">
        <v>234</v>
      </c>
      <c r="D374" s="77" t="s">
        <v>397</v>
      </c>
      <c r="E374" s="78">
        <v>1965</v>
      </c>
      <c r="F374" s="78">
        <v>2006</v>
      </c>
      <c r="G374" s="78" t="s">
        <v>44</v>
      </c>
      <c r="H374" s="78">
        <v>3</v>
      </c>
      <c r="I374" s="78">
        <v>2</v>
      </c>
      <c r="J374" s="44">
        <v>1034.0999999999999</v>
      </c>
      <c r="K374" s="44">
        <v>959.8</v>
      </c>
      <c r="L374" s="44">
        <v>0</v>
      </c>
      <c r="M374" s="79">
        <v>25</v>
      </c>
      <c r="N374" s="72">
        <f t="shared" si="146"/>
        <v>8854298.596650539</v>
      </c>
      <c r="O374" s="44"/>
      <c r="P374" s="68">
        <v>2175839.7215601779</v>
      </c>
      <c r="Q374" s="68"/>
      <c r="R374" s="68">
        <f t="shared" si="157"/>
        <v>484836.6</v>
      </c>
      <c r="S374" s="68">
        <f>+AS374</f>
        <v>3455280</v>
      </c>
      <c r="T374" s="68">
        <f>+'Приложение №2'!E374-'Приложение №1'!P374-'Приложение №1'!Q374-'Приложение №1'!R374-'Приложение №1'!S374</f>
        <v>2738342.275090361</v>
      </c>
      <c r="U374" s="44">
        <f t="shared" si="154"/>
        <v>9225.1496110132721</v>
      </c>
      <c r="V374" s="44">
        <f t="shared" si="154"/>
        <v>9225.1496110132721</v>
      </c>
      <c r="W374" s="80">
        <v>2023</v>
      </c>
      <c r="X374" s="29" t="e">
        <f>+#REF!-'[1]Приложение №1'!$P1155</f>
        <v>#REF!</v>
      </c>
      <c r="Z374" s="31">
        <f t="shared" si="158"/>
        <v>26038489.198511466</v>
      </c>
      <c r="AA374" s="27">
        <v>4441619.6554886159</v>
      </c>
      <c r="AB374" s="27">
        <v>2682132.990999578</v>
      </c>
      <c r="AC374" s="27">
        <v>1072706.3721425538</v>
      </c>
      <c r="AD374" s="27">
        <v>0</v>
      </c>
      <c r="AE374" s="27">
        <v>0</v>
      </c>
      <c r="AF374" s="27"/>
      <c r="AG374" s="27">
        <v>321824.51388315129</v>
      </c>
      <c r="AH374" s="27">
        <v>0</v>
      </c>
      <c r="AI374" s="27">
        <v>13009549.596746104</v>
      </c>
      <c r="AJ374" s="27">
        <v>0</v>
      </c>
      <c r="AK374" s="27">
        <v>1422217.070121123</v>
      </c>
      <c r="AL374" s="27">
        <v>0</v>
      </c>
      <c r="AM374" s="27">
        <v>2326182.990992805</v>
      </c>
      <c r="AN374" s="32">
        <v>260384.89198511466</v>
      </c>
      <c r="AO374" s="33">
        <v>501871.1161524179</v>
      </c>
      <c r="AP374" s="84">
        <f>+N374-'Приложение №2'!E374</f>
        <v>0</v>
      </c>
      <c r="AQ374" s="1">
        <v>386937</v>
      </c>
      <c r="AR374" s="1">
        <f t="shared" si="148"/>
        <v>97899.599999999991</v>
      </c>
      <c r="AS374" s="1">
        <f t="shared" si="156"/>
        <v>3455280</v>
      </c>
      <c r="AT374" s="29">
        <f t="shared" si="149"/>
        <v>0</v>
      </c>
      <c r="AU374" s="29">
        <f>+P374-'[6]Приложение №1'!$P358</f>
        <v>0</v>
      </c>
      <c r="AV374" s="29">
        <f>+Q374-'[6]Приложение №1'!$Q358</f>
        <v>0</v>
      </c>
      <c r="AW374" s="29">
        <f>+R374-'[6]Приложение №1'!$R358</f>
        <v>0</v>
      </c>
      <c r="AX374" s="29">
        <f>+S374-'[6]Приложение №1'!$S358</f>
        <v>0</v>
      </c>
      <c r="AY374" s="29">
        <f>+T374-'[6]Приложение №1'!$T358</f>
        <v>0</v>
      </c>
    </row>
    <row r="375" spans="1:51" x14ac:dyDescent="0.25">
      <c r="A375" s="135">
        <f t="shared" si="155"/>
        <v>358</v>
      </c>
      <c r="B375" s="134">
        <f t="shared" si="155"/>
        <v>170</v>
      </c>
      <c r="C375" s="77" t="s">
        <v>234</v>
      </c>
      <c r="D375" s="77" t="s">
        <v>398</v>
      </c>
      <c r="E375" s="78">
        <v>1970</v>
      </c>
      <c r="F375" s="78">
        <v>2013</v>
      </c>
      <c r="G375" s="78" t="s">
        <v>44</v>
      </c>
      <c r="H375" s="78">
        <v>4</v>
      </c>
      <c r="I375" s="78">
        <v>2</v>
      </c>
      <c r="J375" s="44">
        <v>1437.6</v>
      </c>
      <c r="K375" s="44">
        <v>1362.7</v>
      </c>
      <c r="L375" s="44">
        <v>0</v>
      </c>
      <c r="M375" s="79">
        <v>55</v>
      </c>
      <c r="N375" s="72">
        <f t="shared" si="146"/>
        <v>1465551.9724496503</v>
      </c>
      <c r="O375" s="44"/>
      <c r="P375" s="68"/>
      <c r="Q375" s="68"/>
      <c r="R375" s="68">
        <f t="shared" si="157"/>
        <v>706857.29</v>
      </c>
      <c r="S375" s="68">
        <f>+'Приложение №2'!E375-'Приложение №1'!R375</f>
        <v>758694.68244965025</v>
      </c>
      <c r="T375" s="68">
        <v>0</v>
      </c>
      <c r="U375" s="44">
        <f t="shared" si="154"/>
        <v>1075.476607066596</v>
      </c>
      <c r="V375" s="44">
        <f t="shared" si="154"/>
        <v>1075.476607066596</v>
      </c>
      <c r="W375" s="80">
        <v>2023</v>
      </c>
      <c r="X375" s="29" t="e">
        <f>+#REF!-'[1]Приложение №1'!$P1157</f>
        <v>#REF!</v>
      </c>
      <c r="Z375" s="31">
        <f t="shared" si="158"/>
        <v>1481678.1712512001</v>
      </c>
      <c r="AA375" s="27">
        <v>0</v>
      </c>
      <c r="AB375" s="27">
        <v>0</v>
      </c>
      <c r="AC375" s="27">
        <v>1290473.5299639178</v>
      </c>
      <c r="AD375" s="27">
        <v>0</v>
      </c>
      <c r="AE375" s="27">
        <v>0</v>
      </c>
      <c r="AF375" s="27"/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148167.81712512003</v>
      </c>
      <c r="AN375" s="32">
        <v>14816.781712512002</v>
      </c>
      <c r="AO375" s="33">
        <v>28220.042449650358</v>
      </c>
      <c r="AP375" s="84">
        <f>+N375-'Приложение №2'!E375</f>
        <v>0</v>
      </c>
      <c r="AQ375" s="1">
        <v>567861.89</v>
      </c>
      <c r="AR375" s="1">
        <f t="shared" si="148"/>
        <v>138995.4</v>
      </c>
      <c r="AS375" s="1">
        <f t="shared" si="156"/>
        <v>4905720</v>
      </c>
      <c r="AT375" s="29">
        <f t="shared" si="149"/>
        <v>-4147025.31755035</v>
      </c>
      <c r="AU375" s="29">
        <f>+P375-'[6]Приложение №1'!$P359</f>
        <v>0</v>
      </c>
      <c r="AV375" s="29">
        <f>+Q375-'[6]Приложение №1'!$Q359</f>
        <v>0</v>
      </c>
      <c r="AW375" s="29">
        <f>+R375-'[6]Приложение №1'!$R359</f>
        <v>0</v>
      </c>
      <c r="AX375" s="29">
        <f>+S375-'[6]Приложение №1'!$S359</f>
        <v>0</v>
      </c>
      <c r="AY375" s="29">
        <f>+T375-'[6]Приложение №1'!$T359</f>
        <v>0</v>
      </c>
    </row>
    <row r="376" spans="1:51" x14ac:dyDescent="0.25">
      <c r="A376" s="135">
        <f t="shared" ref="A376:B391" si="159">+A375+1</f>
        <v>359</v>
      </c>
      <c r="B376" s="134">
        <f t="shared" si="159"/>
        <v>171</v>
      </c>
      <c r="C376" s="77" t="s">
        <v>234</v>
      </c>
      <c r="D376" s="77" t="s">
        <v>238</v>
      </c>
      <c r="E376" s="78">
        <v>1983</v>
      </c>
      <c r="F376" s="78">
        <v>2013</v>
      </c>
      <c r="G376" s="78" t="s">
        <v>44</v>
      </c>
      <c r="H376" s="78">
        <v>5</v>
      </c>
      <c r="I376" s="78">
        <v>4</v>
      </c>
      <c r="J376" s="44">
        <v>3317.4</v>
      </c>
      <c r="K376" s="44">
        <v>2427.1</v>
      </c>
      <c r="L376" s="44">
        <v>0</v>
      </c>
      <c r="M376" s="79">
        <v>71</v>
      </c>
      <c r="N376" s="72">
        <f t="shared" si="146"/>
        <v>3991090.0004099631</v>
      </c>
      <c r="O376" s="44"/>
      <c r="P376" s="68">
        <v>392663.06000000006</v>
      </c>
      <c r="Q376" s="68"/>
      <c r="R376" s="68">
        <v>774352.37</v>
      </c>
      <c r="S376" s="68">
        <f>+'Приложение №2'!E376-'Приложение №1'!R376-P376</f>
        <v>2824074.5704099629</v>
      </c>
      <c r="T376" s="68">
        <v>0</v>
      </c>
      <c r="U376" s="44">
        <f t="shared" si="154"/>
        <v>1644.3863048123123</v>
      </c>
      <c r="V376" s="44">
        <f t="shared" si="154"/>
        <v>1644.3863048123123</v>
      </c>
      <c r="W376" s="80">
        <v>2023</v>
      </c>
      <c r="X376" s="29" t="e">
        <f>+#REF!-'[1]Приложение №1'!$P789</f>
        <v>#REF!</v>
      </c>
      <c r="Z376" s="31">
        <f t="shared" si="158"/>
        <v>3608535.1470105601</v>
      </c>
      <c r="AA376" s="27">
        <v>0</v>
      </c>
      <c r="AB376" s="27">
        <v>0</v>
      </c>
      <c r="AC376" s="27">
        <v>3142868.1204294348</v>
      </c>
      <c r="AD376" s="27">
        <v>0</v>
      </c>
      <c r="AE376" s="27">
        <v>0</v>
      </c>
      <c r="AF376" s="27"/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360853.51470105606</v>
      </c>
      <c r="AN376" s="32">
        <v>36085.351470105605</v>
      </c>
      <c r="AO376" s="33">
        <v>68728.160409963122</v>
      </c>
      <c r="AP376" s="84">
        <f>+N376-'Приложение №2'!E376</f>
        <v>0</v>
      </c>
      <c r="AQ376" s="29">
        <f>701008.17</f>
        <v>701008.17</v>
      </c>
      <c r="AR376" s="1">
        <f t="shared" si="148"/>
        <v>247564.19999999998</v>
      </c>
      <c r="AS376" s="1">
        <f>+(K376*10+L376*20)*12*30</f>
        <v>8737560</v>
      </c>
      <c r="AT376" s="29">
        <f t="shared" si="149"/>
        <v>-5913485.4295900371</v>
      </c>
      <c r="AU376" s="29">
        <f>+P376-'[6]Приложение №1'!$P360</f>
        <v>392663.06000000006</v>
      </c>
      <c r="AV376" s="29">
        <f>+Q376-'[6]Приложение №1'!$Q360</f>
        <v>0</v>
      </c>
      <c r="AW376" s="29">
        <f>+R376-'[6]Приложение №1'!$R360</f>
        <v>418313.52921070822</v>
      </c>
      <c r="AX376" s="29">
        <f>+S376-'[6]Приложение №1'!$S360</f>
        <v>-262840.32921070885</v>
      </c>
      <c r="AY376" s="29">
        <f>+T376-'[6]Приложение №1'!$T360</f>
        <v>0</v>
      </c>
    </row>
    <row r="377" spans="1:51" x14ac:dyDescent="0.25">
      <c r="A377" s="135">
        <f t="shared" si="159"/>
        <v>360</v>
      </c>
      <c r="B377" s="134">
        <f t="shared" si="159"/>
        <v>172</v>
      </c>
      <c r="C377" s="77" t="s">
        <v>234</v>
      </c>
      <c r="D377" s="77" t="s">
        <v>239</v>
      </c>
      <c r="E377" s="78">
        <v>1982</v>
      </c>
      <c r="F377" s="78">
        <v>2013</v>
      </c>
      <c r="G377" s="78" t="s">
        <v>44</v>
      </c>
      <c r="H377" s="78">
        <v>5</v>
      </c>
      <c r="I377" s="78">
        <v>4</v>
      </c>
      <c r="J377" s="44">
        <v>3426.4</v>
      </c>
      <c r="K377" s="44">
        <v>2421.6999999999998</v>
      </c>
      <c r="L377" s="44">
        <v>483.1</v>
      </c>
      <c r="M377" s="79">
        <v>77</v>
      </c>
      <c r="N377" s="72">
        <f t="shared" si="146"/>
        <v>3592563.7737581315</v>
      </c>
      <c r="O377" s="44"/>
      <c r="P377" s="68"/>
      <c r="Q377" s="68"/>
      <c r="R377" s="68">
        <f t="shared" si="157"/>
        <v>1654968.55</v>
      </c>
      <c r="S377" s="68">
        <f>+'Приложение №2'!E377-'Приложение №1'!R377</f>
        <v>1937595.2237581315</v>
      </c>
      <c r="T377" s="68">
        <v>0</v>
      </c>
      <c r="U377" s="44">
        <f t="shared" si="154"/>
        <v>1236.7680300737165</v>
      </c>
      <c r="V377" s="44">
        <f t="shared" si="154"/>
        <v>1236.7680300737165</v>
      </c>
      <c r="W377" s="80">
        <v>2023</v>
      </c>
      <c r="X377" s="29" t="e">
        <f>+#REF!-'[1]Приложение №1'!$P790</f>
        <v>#REF!</v>
      </c>
      <c r="Z377" s="31">
        <f t="shared" si="158"/>
        <v>3753836.1733766408</v>
      </c>
      <c r="AA377" s="27">
        <v>0</v>
      </c>
      <c r="AB377" s="27">
        <v>0</v>
      </c>
      <c r="AC377" s="27">
        <v>3269418.6305470788</v>
      </c>
      <c r="AD377" s="27">
        <v>0</v>
      </c>
      <c r="AE377" s="27">
        <v>0</v>
      </c>
      <c r="AF377" s="27"/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375383.61733766412</v>
      </c>
      <c r="AN377" s="32">
        <v>37538.361733766411</v>
      </c>
      <c r="AO377" s="33">
        <v>71495.56375813151</v>
      </c>
      <c r="AP377" s="84">
        <f>+N377-'Приложение №2'!E377</f>
        <v>0</v>
      </c>
      <c r="AQ377" s="1">
        <v>1309402.75</v>
      </c>
      <c r="AR377" s="1">
        <f t="shared" si="148"/>
        <v>345565.8</v>
      </c>
      <c r="AS377" s="1">
        <f t="shared" ref="AS377:AS382" si="160">+(K377*10+L377*20)*12*30</f>
        <v>12196440</v>
      </c>
      <c r="AT377" s="29">
        <f t="shared" si="149"/>
        <v>-10258844.776241869</v>
      </c>
      <c r="AU377" s="29">
        <f>+P377-'[6]Приложение №1'!$P361</f>
        <v>0</v>
      </c>
      <c r="AV377" s="29">
        <f>+Q377-'[6]Приложение №1'!$Q361</f>
        <v>0</v>
      </c>
      <c r="AW377" s="29">
        <f>+R377-'[6]Приложение №1'!$R361</f>
        <v>0</v>
      </c>
      <c r="AX377" s="29">
        <f>+S377-'[6]Приложение №1'!$S361</f>
        <v>0</v>
      </c>
      <c r="AY377" s="29">
        <f>+T377-'[6]Приложение №1'!$T361</f>
        <v>0</v>
      </c>
    </row>
    <row r="378" spans="1:51" x14ac:dyDescent="0.25">
      <c r="A378" s="135">
        <f t="shared" si="159"/>
        <v>361</v>
      </c>
      <c r="B378" s="134">
        <f t="shared" si="159"/>
        <v>173</v>
      </c>
      <c r="C378" s="77" t="s">
        <v>234</v>
      </c>
      <c r="D378" s="77" t="s">
        <v>732</v>
      </c>
      <c r="E378" s="78">
        <v>1975</v>
      </c>
      <c r="F378" s="78"/>
      <c r="G378" s="78" t="s">
        <v>44</v>
      </c>
      <c r="H378" s="78">
        <v>4</v>
      </c>
      <c r="I378" s="78">
        <v>3</v>
      </c>
      <c r="J378" s="44">
        <v>2248.5</v>
      </c>
      <c r="K378" s="44">
        <v>1870.6</v>
      </c>
      <c r="L378" s="44">
        <v>291.10000000000002</v>
      </c>
      <c r="M378" s="79">
        <v>72</v>
      </c>
      <c r="N378" s="72">
        <f t="shared" si="146"/>
        <v>640276.6</v>
      </c>
      <c r="O378" s="44"/>
      <c r="P378" s="68">
        <f>+'[7]Приложение №2'!E364-'[7]Приложение №1'!R364-'[7]Приложение №1'!S364</f>
        <v>0</v>
      </c>
      <c r="Q378" s="68"/>
      <c r="R378" s="68">
        <f>+'Приложение №2'!E378</f>
        <v>640276.6</v>
      </c>
      <c r="S378" s="68"/>
      <c r="T378" s="68"/>
      <c r="U378" s="44">
        <f t="shared" si="154"/>
        <v>296.19123837720315</v>
      </c>
      <c r="V378" s="44">
        <f t="shared" si="154"/>
        <v>296.19123837720315</v>
      </c>
      <c r="W378" s="80">
        <v>2023</v>
      </c>
      <c r="X378" s="29"/>
      <c r="Z378" s="31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32"/>
      <c r="AO378" s="33"/>
      <c r="AP378" s="84">
        <f>+N378-'Приложение №2'!E378</f>
        <v>0</v>
      </c>
      <c r="AQ378" s="24">
        <v>1340374.7</v>
      </c>
      <c r="AR378" s="1">
        <f t="shared" si="148"/>
        <v>250185.60000000001</v>
      </c>
      <c r="AS378" s="1">
        <f t="shared" si="160"/>
        <v>8830080</v>
      </c>
      <c r="AT378" s="29">
        <f t="shared" si="149"/>
        <v>-8830080</v>
      </c>
    </row>
    <row r="379" spans="1:51" x14ac:dyDescent="0.25">
      <c r="A379" s="135">
        <f t="shared" si="159"/>
        <v>362</v>
      </c>
      <c r="B379" s="134">
        <f t="shared" si="159"/>
        <v>174</v>
      </c>
      <c r="C379" s="77" t="s">
        <v>234</v>
      </c>
      <c r="D379" s="77" t="s">
        <v>399</v>
      </c>
      <c r="E379" s="78">
        <v>1974</v>
      </c>
      <c r="F379" s="78">
        <v>2013</v>
      </c>
      <c r="G379" s="78" t="s">
        <v>44</v>
      </c>
      <c r="H379" s="78">
        <v>4</v>
      </c>
      <c r="I379" s="78">
        <v>3</v>
      </c>
      <c r="J379" s="44">
        <v>2238.1999999999998</v>
      </c>
      <c r="K379" s="44">
        <v>2068.4499999999998</v>
      </c>
      <c r="L379" s="44">
        <v>0</v>
      </c>
      <c r="M379" s="79">
        <v>74</v>
      </c>
      <c r="N379" s="72">
        <f t="shared" si="146"/>
        <v>3127146.275568313</v>
      </c>
      <c r="O379" s="44"/>
      <c r="P379" s="68"/>
      <c r="Q379" s="68"/>
      <c r="R379" s="68">
        <f>+AQ379+AR379</f>
        <v>841384.12</v>
      </c>
      <c r="S379" s="68">
        <f>+'Приложение №2'!E379-'Приложение №1'!R379</f>
        <v>2285762.1555683129</v>
      </c>
      <c r="T379" s="68">
        <v>0</v>
      </c>
      <c r="U379" s="44">
        <f t="shared" ref="U379:V398" si="161">$N379/($K379+$L379)</f>
        <v>1511.8307310151627</v>
      </c>
      <c r="V379" s="44">
        <f t="shared" si="161"/>
        <v>1511.8307310151627</v>
      </c>
      <c r="W379" s="80">
        <v>2023</v>
      </c>
      <c r="X379" s="29" t="e">
        <f>+#REF!-'[1]Приложение №1'!$P1158</f>
        <v>#REF!</v>
      </c>
      <c r="Z379" s="31">
        <f>SUM(AA379:AO379)</f>
        <v>3125330.0203881604</v>
      </c>
      <c r="AA379" s="27">
        <v>0</v>
      </c>
      <c r="AB379" s="27">
        <v>0</v>
      </c>
      <c r="AC379" s="27">
        <v>2722018.6825771499</v>
      </c>
      <c r="AD379" s="27">
        <v>0</v>
      </c>
      <c r="AE379" s="27">
        <v>0</v>
      </c>
      <c r="AF379" s="27"/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312533.00203881605</v>
      </c>
      <c r="AN379" s="32">
        <v>31253.300203881605</v>
      </c>
      <c r="AO379" s="33">
        <v>59525.035568312909</v>
      </c>
      <c r="AP379" s="84">
        <f>+N379-'Приложение №2'!E379</f>
        <v>0</v>
      </c>
      <c r="AQ379" s="1">
        <v>630402.22</v>
      </c>
      <c r="AR379" s="1">
        <f t="shared" si="148"/>
        <v>210981.9</v>
      </c>
      <c r="AS379" s="1">
        <f t="shared" si="160"/>
        <v>7446420</v>
      </c>
      <c r="AT379" s="29">
        <f t="shared" si="149"/>
        <v>-5160657.8444316871</v>
      </c>
      <c r="AU379" s="29">
        <f>+P379-'[6]Приложение №1'!$P362</f>
        <v>0</v>
      </c>
      <c r="AV379" s="29">
        <f>+Q379-'[6]Приложение №1'!$Q362</f>
        <v>0</v>
      </c>
      <c r="AW379" s="29">
        <f>+R379-'[6]Приложение №1'!$R362</f>
        <v>0</v>
      </c>
      <c r="AX379" s="29">
        <f>+S379-'[6]Приложение №1'!$S362</f>
        <v>0</v>
      </c>
      <c r="AY379" s="29">
        <f>+T379-'[6]Приложение №1'!$T363</f>
        <v>0</v>
      </c>
    </row>
    <row r="380" spans="1:51" x14ac:dyDescent="0.25">
      <c r="A380" s="135">
        <f t="shared" si="159"/>
        <v>363</v>
      </c>
      <c r="B380" s="134">
        <f t="shared" si="159"/>
        <v>175</v>
      </c>
      <c r="C380" s="77" t="s">
        <v>234</v>
      </c>
      <c r="D380" s="77" t="s">
        <v>730</v>
      </c>
      <c r="E380" s="78">
        <v>1976</v>
      </c>
      <c r="F380" s="78"/>
      <c r="G380" s="78" t="s">
        <v>44</v>
      </c>
      <c r="H380" s="78">
        <v>4</v>
      </c>
      <c r="I380" s="78">
        <v>6</v>
      </c>
      <c r="J380" s="44">
        <v>4614</v>
      </c>
      <c r="K380" s="44">
        <v>4270.7</v>
      </c>
      <c r="L380" s="44">
        <v>0</v>
      </c>
      <c r="M380" s="79">
        <v>148</v>
      </c>
      <c r="N380" s="72">
        <f t="shared" si="146"/>
        <v>1357157.63</v>
      </c>
      <c r="O380" s="44"/>
      <c r="P380" s="68">
        <f>+'[7]Приложение №2'!E365-'[7]Приложение №1'!R365-'[7]Приложение №1'!S365</f>
        <v>0</v>
      </c>
      <c r="Q380" s="68"/>
      <c r="R380" s="68">
        <f>+'Приложение №2'!E380</f>
        <v>1357157.63</v>
      </c>
      <c r="S380" s="68"/>
      <c r="T380" s="68"/>
      <c r="U380" s="44">
        <f t="shared" si="161"/>
        <v>317.78341489685528</v>
      </c>
      <c r="V380" s="44">
        <f t="shared" si="161"/>
        <v>317.78341489685528</v>
      </c>
      <c r="W380" s="80">
        <v>2023</v>
      </c>
      <c r="X380" s="29"/>
      <c r="Z380" s="31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32"/>
      <c r="AO380" s="33"/>
      <c r="AP380" s="84">
        <f>+N380-'Приложение №2'!E380</f>
        <v>0</v>
      </c>
      <c r="AQ380" s="24">
        <v>2376571.59</v>
      </c>
      <c r="AR380" s="1">
        <f t="shared" si="148"/>
        <v>435611.39999999997</v>
      </c>
      <c r="AS380" s="1">
        <f t="shared" si="160"/>
        <v>15374520</v>
      </c>
      <c r="AT380" s="29">
        <f t="shared" si="149"/>
        <v>-15374520</v>
      </c>
      <c r="AU380" s="29"/>
    </row>
    <row r="381" spans="1:51" x14ac:dyDescent="0.25">
      <c r="A381" s="135">
        <f t="shared" si="159"/>
        <v>364</v>
      </c>
      <c r="B381" s="134">
        <f t="shared" si="159"/>
        <v>176</v>
      </c>
      <c r="C381" s="77" t="s">
        <v>234</v>
      </c>
      <c r="D381" s="77" t="s">
        <v>731</v>
      </c>
      <c r="E381" s="78">
        <v>1981</v>
      </c>
      <c r="F381" s="78"/>
      <c r="G381" s="78" t="s">
        <v>44</v>
      </c>
      <c r="H381" s="78">
        <v>5</v>
      </c>
      <c r="I381" s="78">
        <v>4</v>
      </c>
      <c r="J381" s="44">
        <v>3315.7</v>
      </c>
      <c r="K381" s="44">
        <v>2406</v>
      </c>
      <c r="L381" s="44">
        <v>444.3</v>
      </c>
      <c r="M381" s="79">
        <v>83</v>
      </c>
      <c r="N381" s="72">
        <f t="shared" si="146"/>
        <v>530132.51</v>
      </c>
      <c r="O381" s="44"/>
      <c r="P381" s="68">
        <f>+'[7]Приложение №2'!E366-'[7]Приложение №1'!R366-'[7]Приложение №1'!S366</f>
        <v>0</v>
      </c>
      <c r="Q381" s="68"/>
      <c r="R381" s="68">
        <f>+'Приложение №2'!E381</f>
        <v>530132.51</v>
      </c>
      <c r="S381" s="68"/>
      <c r="T381" s="68"/>
      <c r="U381" s="44">
        <f t="shared" si="161"/>
        <v>185.99182893028802</v>
      </c>
      <c r="V381" s="44">
        <f t="shared" si="161"/>
        <v>185.99182893028802</v>
      </c>
      <c r="W381" s="80">
        <v>2023</v>
      </c>
      <c r="X381" s="29"/>
      <c r="Z381" s="31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32"/>
      <c r="AO381" s="33"/>
      <c r="AP381" s="84">
        <f>+N381-'Приложение №2'!E381</f>
        <v>0</v>
      </c>
      <c r="AQ381" s="24">
        <v>1793143.38</v>
      </c>
      <c r="AR381" s="1">
        <f t="shared" si="148"/>
        <v>336049.2</v>
      </c>
      <c r="AS381" s="1">
        <f t="shared" si="160"/>
        <v>11860560</v>
      </c>
      <c r="AT381" s="29">
        <f t="shared" si="149"/>
        <v>-11860560</v>
      </c>
      <c r="AU381" s="29"/>
    </row>
    <row r="382" spans="1:51" x14ac:dyDescent="0.25">
      <c r="A382" s="135">
        <f t="shared" si="159"/>
        <v>365</v>
      </c>
      <c r="B382" s="134">
        <f t="shared" si="159"/>
        <v>177</v>
      </c>
      <c r="C382" s="77" t="s">
        <v>95</v>
      </c>
      <c r="D382" s="77" t="s">
        <v>96</v>
      </c>
      <c r="E382" s="78">
        <v>1976</v>
      </c>
      <c r="F382" s="78">
        <v>1976</v>
      </c>
      <c r="G382" s="78" t="s">
        <v>44</v>
      </c>
      <c r="H382" s="78">
        <v>3</v>
      </c>
      <c r="I382" s="78">
        <v>4</v>
      </c>
      <c r="J382" s="44">
        <v>2192.3000000000002</v>
      </c>
      <c r="K382" s="44">
        <v>2028.1</v>
      </c>
      <c r="L382" s="44">
        <v>0</v>
      </c>
      <c r="M382" s="79">
        <v>85</v>
      </c>
      <c r="N382" s="72">
        <f t="shared" si="146"/>
        <v>3025771.3497837</v>
      </c>
      <c r="O382" s="44"/>
      <c r="P382" s="68"/>
      <c r="Q382" s="68"/>
      <c r="R382" s="68">
        <f>+AQ382+AR382</f>
        <v>1127247.27</v>
      </c>
      <c r="S382" s="68">
        <f>+'Приложение №2'!E382-'Приложение №1'!P382-'Приложение №1'!Q382-'Приложение №1'!R382</f>
        <v>1898524.0797836999</v>
      </c>
      <c r="T382" s="68"/>
      <c r="U382" s="44">
        <f t="shared" si="161"/>
        <v>1491.924140714807</v>
      </c>
      <c r="V382" s="44">
        <f t="shared" si="161"/>
        <v>1491.924140714807</v>
      </c>
      <c r="W382" s="80">
        <v>2023</v>
      </c>
      <c r="X382" s="29" t="e">
        <f>+#REF!-'[1]Приложение №1'!$P688</f>
        <v>#REF!</v>
      </c>
      <c r="Z382" s="31">
        <f>SUM(AA382:AO382)</f>
        <v>31013862.251715004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/>
      <c r="AG382" s="27">
        <v>0</v>
      </c>
      <c r="AH382" s="27">
        <v>0</v>
      </c>
      <c r="AI382" s="27"/>
      <c r="AJ382" s="27">
        <v>0</v>
      </c>
      <c r="AK382" s="27">
        <v>0</v>
      </c>
      <c r="AL382" s="27">
        <v>23285097.547431301</v>
      </c>
      <c r="AM382" s="27">
        <v>5902452.2175000003</v>
      </c>
      <c r="AN382" s="32">
        <v>626122.28700000001</v>
      </c>
      <c r="AO382" s="33">
        <v>1200190.1997837001</v>
      </c>
      <c r="AP382" s="84">
        <f>+N382-'Приложение №2'!E382</f>
        <v>0</v>
      </c>
      <c r="AQ382" s="1">
        <v>920381.07</v>
      </c>
      <c r="AR382" s="1">
        <f t="shared" si="148"/>
        <v>206866.19999999998</v>
      </c>
      <c r="AS382" s="1">
        <f t="shared" si="160"/>
        <v>7301160</v>
      </c>
      <c r="AT382" s="29">
        <f t="shared" si="149"/>
        <v>-5402635.9202162996</v>
      </c>
      <c r="AU382" s="29">
        <f>+P382-'[6]Приложение №1'!$P363</f>
        <v>0</v>
      </c>
      <c r="AV382" s="29">
        <f>+Q382-'[6]Приложение №1'!$Q363</f>
        <v>0</v>
      </c>
      <c r="AW382" s="29">
        <f>+R382-'[6]Приложение №1'!$R363</f>
        <v>0</v>
      </c>
      <c r="AX382" s="29">
        <f>+S382-'[6]Приложение №1'!$S363</f>
        <v>0</v>
      </c>
      <c r="AY382" s="29">
        <f>+T382-'[6]Приложение №1'!$T363</f>
        <v>0</v>
      </c>
    </row>
    <row r="383" spans="1:51" x14ac:dyDescent="0.25">
      <c r="A383" s="135">
        <f t="shared" si="159"/>
        <v>366</v>
      </c>
      <c r="B383" s="134">
        <f t="shared" si="159"/>
        <v>178</v>
      </c>
      <c r="C383" s="77" t="s">
        <v>95</v>
      </c>
      <c r="D383" s="77" t="s">
        <v>484</v>
      </c>
      <c r="E383" s="78">
        <v>1974</v>
      </c>
      <c r="F383" s="78">
        <v>1974</v>
      </c>
      <c r="G383" s="78" t="s">
        <v>44</v>
      </c>
      <c r="H383" s="78">
        <v>2</v>
      </c>
      <c r="I383" s="78">
        <v>2</v>
      </c>
      <c r="J383" s="44">
        <v>473.3</v>
      </c>
      <c r="K383" s="44">
        <v>438.4</v>
      </c>
      <c r="L383" s="44">
        <v>0</v>
      </c>
      <c r="M383" s="79">
        <v>9</v>
      </c>
      <c r="N383" s="72">
        <f t="shared" si="146"/>
        <v>1422083.6099999999</v>
      </c>
      <c r="O383" s="44"/>
      <c r="P383" s="68">
        <v>707152.37000000011</v>
      </c>
      <c r="Q383" s="68"/>
      <c r="R383" s="68">
        <f>+AQ383+AR383-101353.8</f>
        <v>34758.819999999992</v>
      </c>
      <c r="S383" s="68">
        <f>+AS383</f>
        <v>677581.02</v>
      </c>
      <c r="T383" s="68">
        <f>+'Приложение №2'!E383-'Приложение №1'!P383-'Приложение №1'!Q383-'Приложение №1'!R383-'Приложение №1'!S383</f>
        <v>2591.4000000000233</v>
      </c>
      <c r="U383" s="44">
        <f t="shared" si="161"/>
        <v>3243.8038549270073</v>
      </c>
      <c r="V383" s="44">
        <f t="shared" si="161"/>
        <v>3243.8038549270073</v>
      </c>
      <c r="W383" s="80">
        <v>2023</v>
      </c>
      <c r="X383" s="29" t="e">
        <f>+#REF!-'[1]Приложение №1'!$P1765</f>
        <v>#REF!</v>
      </c>
      <c r="Z383" s="31">
        <f>SUM(AA383:AO383)</f>
        <v>1576901.3985240001</v>
      </c>
      <c r="AA383" s="27"/>
      <c r="AB383" s="27"/>
      <c r="AC383" s="27">
        <v>758098.38</v>
      </c>
      <c r="AD383" s="27">
        <v>627792.72</v>
      </c>
      <c r="AE383" s="27">
        <v>0</v>
      </c>
      <c r="AF383" s="27"/>
      <c r="AG383" s="27">
        <v>154817.788524</v>
      </c>
      <c r="AH383" s="27">
        <v>0</v>
      </c>
      <c r="AI383" s="27"/>
      <c r="AJ383" s="27">
        <v>0</v>
      </c>
      <c r="AK383" s="27">
        <v>0</v>
      </c>
      <c r="AL383" s="27">
        <v>0</v>
      </c>
      <c r="AO383" s="33">
        <v>36192.51</v>
      </c>
      <c r="AP383" s="84">
        <f>+N383-'Приложение №2'!E383</f>
        <v>0</v>
      </c>
      <c r="AQ383" s="1">
        <v>91395.82</v>
      </c>
      <c r="AR383" s="1">
        <f t="shared" si="148"/>
        <v>44716.799999999996</v>
      </c>
      <c r="AS383" s="1">
        <f>+(K383*10+L383*20)*12*30-900658.98</f>
        <v>677581.02</v>
      </c>
      <c r="AT383" s="29">
        <f t="shared" si="149"/>
        <v>0</v>
      </c>
      <c r="AU383" s="29">
        <f>+P383-'[6]Приложение №1'!$P364</f>
        <v>0</v>
      </c>
      <c r="AV383" s="29">
        <f>+Q383-'[6]Приложение №1'!$Q364</f>
        <v>0</v>
      </c>
      <c r="AW383" s="29">
        <f>+R383-'[6]Приложение №1'!$R364</f>
        <v>0</v>
      </c>
      <c r="AX383" s="29">
        <f>+S383-'[6]Приложение №1'!$S364</f>
        <v>0</v>
      </c>
      <c r="AY383" s="29">
        <f>+T383-'[6]Приложение №1'!$T364</f>
        <v>0</v>
      </c>
    </row>
    <row r="384" spans="1:51" x14ac:dyDescent="0.25">
      <c r="A384" s="135">
        <f t="shared" si="159"/>
        <v>367</v>
      </c>
      <c r="B384" s="134">
        <f t="shared" si="159"/>
        <v>179</v>
      </c>
      <c r="C384" s="77" t="s">
        <v>95</v>
      </c>
      <c r="D384" s="77" t="s">
        <v>240</v>
      </c>
      <c r="E384" s="78">
        <v>1977</v>
      </c>
      <c r="F384" s="78">
        <v>1977</v>
      </c>
      <c r="G384" s="78" t="s">
        <v>44</v>
      </c>
      <c r="H384" s="78">
        <v>5</v>
      </c>
      <c r="I384" s="78">
        <v>1</v>
      </c>
      <c r="J384" s="44">
        <v>1730.3</v>
      </c>
      <c r="K384" s="44">
        <v>1456.4</v>
      </c>
      <c r="L384" s="44">
        <v>0</v>
      </c>
      <c r="M384" s="79">
        <v>49</v>
      </c>
      <c r="N384" s="72">
        <f t="shared" si="146"/>
        <v>17842345.117532</v>
      </c>
      <c r="O384" s="44"/>
      <c r="P384" s="68">
        <v>3297163.38</v>
      </c>
      <c r="Q384" s="68"/>
      <c r="R384" s="68">
        <f>+AQ384+AR384</f>
        <v>1315.7999999999884</v>
      </c>
      <c r="S384" s="68">
        <f>+AS384</f>
        <v>3789794.2800000003</v>
      </c>
      <c r="T384" s="68">
        <f>+'Приложение №2'!E384-'Приложение №1'!P384-'Приложение №1'!Q384-'Приложение №1'!R384-'Приложение №1'!S384</f>
        <v>10754071.657531999</v>
      </c>
      <c r="U384" s="44">
        <f t="shared" si="161"/>
        <v>12250.992253180444</v>
      </c>
      <c r="V384" s="44">
        <f t="shared" si="161"/>
        <v>12250.992253180444</v>
      </c>
      <c r="W384" s="80">
        <v>2023</v>
      </c>
      <c r="X384" s="29" t="e">
        <f>+#REF!-'[1]Приложение №1'!$P1012</f>
        <v>#REF!</v>
      </c>
      <c r="Z384" s="31">
        <f>SUM(AA384:AO384)</f>
        <v>38072067.120000005</v>
      </c>
      <c r="AA384" s="27">
        <v>4710479.1050062198</v>
      </c>
      <c r="AB384" s="27">
        <v>2176226.3089270201</v>
      </c>
      <c r="AC384" s="27">
        <v>2204614.3839224395</v>
      </c>
      <c r="AD384" s="27">
        <v>1424137.1203432798</v>
      </c>
      <c r="AE384" s="27">
        <v>0</v>
      </c>
      <c r="AF384" s="27"/>
      <c r="AG384" s="27">
        <v>146063.50321331999</v>
      </c>
      <c r="AH384" s="27">
        <v>0</v>
      </c>
      <c r="AI384" s="27">
        <v>11068738.746596999</v>
      </c>
      <c r="AJ384" s="27">
        <v>0</v>
      </c>
      <c r="AK384" s="27">
        <v>5717896.3951359605</v>
      </c>
      <c r="AL384" s="27">
        <v>5901111.3759779995</v>
      </c>
      <c r="AM384" s="27">
        <v>3612798.5854000002</v>
      </c>
      <c r="AN384" s="32">
        <v>380720.67119999998</v>
      </c>
      <c r="AO384" s="33">
        <v>729280.92427675996</v>
      </c>
      <c r="AP384" s="84">
        <f>+N384-'Приложение №2'!E384</f>
        <v>0</v>
      </c>
      <c r="AQ384" s="29">
        <f>590020.37-R144</f>
        <v>-147237</v>
      </c>
      <c r="AR384" s="1">
        <f t="shared" si="148"/>
        <v>148552.79999999999</v>
      </c>
      <c r="AS384" s="1">
        <f>+(K384*10+L384*20)*12*30-S144</f>
        <v>3789794.2800000003</v>
      </c>
      <c r="AT384" s="29">
        <f t="shared" si="149"/>
        <v>0</v>
      </c>
      <c r="AU384" s="29">
        <f>+P384-'[6]Приложение №1'!$P365</f>
        <v>181114.78246800043</v>
      </c>
      <c r="AV384" s="29">
        <f>+Q384-'[6]Приложение №1'!$Q365</f>
        <v>0</v>
      </c>
      <c r="AW384" s="29">
        <f>+R384-'[6]Приложение №1'!$R365</f>
        <v>-735941.57000000007</v>
      </c>
      <c r="AX384" s="29">
        <f>+S384-'[6]Приложение №1'!$S365</f>
        <v>-1453245.7199999997</v>
      </c>
      <c r="AY384" s="29">
        <f>+T384-'[6]Приложение №1'!$T365</f>
        <v>10754071.657531999</v>
      </c>
    </row>
    <row r="385" spans="1:51" x14ac:dyDescent="0.25">
      <c r="A385" s="135">
        <f t="shared" si="159"/>
        <v>368</v>
      </c>
      <c r="B385" s="134">
        <f t="shared" si="159"/>
        <v>180</v>
      </c>
      <c r="C385" s="77" t="s">
        <v>241</v>
      </c>
      <c r="D385" s="77" t="s">
        <v>400</v>
      </c>
      <c r="E385" s="78">
        <v>1984</v>
      </c>
      <c r="F385" s="78">
        <v>1984</v>
      </c>
      <c r="G385" s="78" t="s">
        <v>44</v>
      </c>
      <c r="H385" s="78">
        <v>5</v>
      </c>
      <c r="I385" s="78">
        <v>4</v>
      </c>
      <c r="J385" s="44">
        <v>3359.4</v>
      </c>
      <c r="K385" s="44">
        <v>2391.8000000000002</v>
      </c>
      <c r="L385" s="44">
        <v>553.20000000000005</v>
      </c>
      <c r="M385" s="79">
        <v>62</v>
      </c>
      <c r="N385" s="72">
        <f t="shared" si="146"/>
        <v>27822893.387377337</v>
      </c>
      <c r="O385" s="44"/>
      <c r="P385" s="68">
        <v>17889680.120000001</v>
      </c>
      <c r="Q385" s="68"/>
      <c r="R385" s="68">
        <f>+AQ385+AR385</f>
        <v>974902.84999999986</v>
      </c>
      <c r="S385" s="68">
        <f>+AS385</f>
        <v>3807576.75</v>
      </c>
      <c r="T385" s="68">
        <f>+'Приложение №2'!E385-'Приложение №1'!P385-'Приложение №1'!Q385-'Приложение №1'!R385-'Приложение №1'!S385</f>
        <v>5150733.6673773322</v>
      </c>
      <c r="U385" s="44">
        <f t="shared" si="161"/>
        <v>9447.5019991094523</v>
      </c>
      <c r="V385" s="44">
        <f t="shared" si="161"/>
        <v>9447.5019991094523</v>
      </c>
      <c r="W385" s="80">
        <v>2023</v>
      </c>
      <c r="X385" s="29" t="e">
        <f>+#REF!-'[1]Приложение №1'!$P1765</f>
        <v>#REF!</v>
      </c>
      <c r="Z385" s="31">
        <f>SUM(AA385:AO385)</f>
        <v>24399375.708956141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/>
      <c r="AG385" s="27">
        <v>0</v>
      </c>
      <c r="AH385" s="27">
        <v>0</v>
      </c>
      <c r="AI385" s="27">
        <v>0</v>
      </c>
      <c r="AJ385" s="27">
        <v>0</v>
      </c>
      <c r="AK385" s="27">
        <v>10229706.1</v>
      </c>
      <c r="AL385" s="27">
        <v>13577874.103206001</v>
      </c>
      <c r="AM385" s="27">
        <v>258631.32</v>
      </c>
      <c r="AN385" s="27">
        <v>39488.83</v>
      </c>
      <c r="AO385" s="33">
        <v>293675.35575013998</v>
      </c>
      <c r="AP385" s="84">
        <f>+N385-'Приложение №2'!E385</f>
        <v>0</v>
      </c>
      <c r="AQ385" s="29">
        <f>1110865.63-R145</f>
        <v>618086.44999999995</v>
      </c>
      <c r="AR385" s="1">
        <f t="shared" si="148"/>
        <v>356816.39999999997</v>
      </c>
      <c r="AS385" s="1">
        <f>+(K385*10+L385*20)*12*30-3112059.45-S145</f>
        <v>3807576.75</v>
      </c>
      <c r="AT385" s="29">
        <f t="shared" si="149"/>
        <v>0</v>
      </c>
      <c r="AU385" s="29">
        <f>+P385-'[6]Приложение №1'!$P366</f>
        <v>9633227.829078</v>
      </c>
      <c r="AV385" s="29">
        <f>+Q385-'[6]Приложение №1'!$Q366</f>
        <v>0</v>
      </c>
      <c r="AW385" s="29">
        <f>+R385-'[6]Приложение №1'!$R366</f>
        <v>-1.0000000009313226E-2</v>
      </c>
      <c r="AX385" s="29">
        <f>+S385-'[6]Приложение №1'!$S366</f>
        <v>-2145835.5664553307</v>
      </c>
      <c r="AY385" s="29">
        <f>+T385-'[6]Приложение №1'!$T366</f>
        <v>5150733.6673773322</v>
      </c>
    </row>
    <row r="386" spans="1:51" s="94" customFormat="1" x14ac:dyDescent="0.25">
      <c r="A386" s="135">
        <f t="shared" si="159"/>
        <v>369</v>
      </c>
      <c r="B386" s="134">
        <f t="shared" si="159"/>
        <v>181</v>
      </c>
      <c r="C386" s="77" t="s">
        <v>47</v>
      </c>
      <c r="D386" s="77" t="s">
        <v>736</v>
      </c>
      <c r="E386" s="78" t="s">
        <v>586</v>
      </c>
      <c r="F386" s="78"/>
      <c r="G386" s="78" t="s">
        <v>44</v>
      </c>
      <c r="H386" s="78" t="s">
        <v>582</v>
      </c>
      <c r="I386" s="78" t="s">
        <v>579</v>
      </c>
      <c r="J386" s="44">
        <v>6010.4</v>
      </c>
      <c r="K386" s="44">
        <v>4246.1000000000004</v>
      </c>
      <c r="L386" s="44">
        <v>999.9</v>
      </c>
      <c r="M386" s="79">
        <v>135</v>
      </c>
      <c r="N386" s="72">
        <f t="shared" si="146"/>
        <v>60130999.272533476</v>
      </c>
      <c r="O386" s="44">
        <v>0</v>
      </c>
      <c r="P386" s="68">
        <v>0</v>
      </c>
      <c r="Q386" s="68">
        <v>0</v>
      </c>
      <c r="R386" s="68">
        <f t="shared" ref="R386:R391" si="162">+AQ386+AR386</f>
        <v>4098343.92</v>
      </c>
      <c r="S386" s="68">
        <v>19373180.550000001</v>
      </c>
      <c r="T386" s="68">
        <f>+'Приложение №2'!E386-'Приложение №1'!P386-'Приложение №1'!Q386-'Приложение №1'!R386-'Приложение №1'!S386</f>
        <v>36659474.802533478</v>
      </c>
      <c r="U386" s="44">
        <f t="shared" si="161"/>
        <v>11462.256819011338</v>
      </c>
      <c r="V386" s="44">
        <f t="shared" si="161"/>
        <v>11462.256819011338</v>
      </c>
      <c r="W386" s="80">
        <v>2023</v>
      </c>
      <c r="X386" s="94">
        <v>2132659.2599999998</v>
      </c>
      <c r="Y386" s="94">
        <f>+(K386*9.1+L386*18.19)*12</f>
        <v>681932.29200000013</v>
      </c>
      <c r="AA386" s="96">
        <f>+N386-'[10]Приложение № 2'!E359</f>
        <v>43349216.702533476</v>
      </c>
      <c r="AD386" s="98">
        <f>+N386-'[10]Приложение № 2'!E359</f>
        <v>43349216.702533476</v>
      </c>
      <c r="AP386" s="84">
        <f>+N386-'Приложение №2'!E386</f>
        <v>0</v>
      </c>
      <c r="AQ386" s="24">
        <v>3461262.12</v>
      </c>
      <c r="AR386" s="1">
        <f t="shared" si="148"/>
        <v>637081.79999999993</v>
      </c>
      <c r="AS386" s="1">
        <f>+(K386*10+L386*20)*12*30</f>
        <v>22485240</v>
      </c>
      <c r="AT386" s="29">
        <f t="shared" si="149"/>
        <v>-3112059.4499999993</v>
      </c>
      <c r="AU386" s="29"/>
      <c r="AV386" s="29"/>
      <c r="AW386" s="29"/>
      <c r="AX386" s="29"/>
      <c r="AY386" s="29"/>
    </row>
    <row r="387" spans="1:51" x14ac:dyDescent="0.25">
      <c r="A387" s="135">
        <f t="shared" si="159"/>
        <v>370</v>
      </c>
      <c r="B387" s="134">
        <f t="shared" si="159"/>
        <v>182</v>
      </c>
      <c r="C387" s="77" t="s">
        <v>47</v>
      </c>
      <c r="D387" s="77" t="s">
        <v>672</v>
      </c>
      <c r="E387" s="78">
        <v>2002</v>
      </c>
      <c r="F387" s="78">
        <v>2002</v>
      </c>
      <c r="G387" s="78" t="s">
        <v>44</v>
      </c>
      <c r="H387" s="78">
        <v>9</v>
      </c>
      <c r="I387" s="78">
        <v>2</v>
      </c>
      <c r="J387" s="44">
        <v>5167.8999999999996</v>
      </c>
      <c r="K387" s="44">
        <v>4391.8999999999996</v>
      </c>
      <c r="L387" s="44">
        <v>0</v>
      </c>
      <c r="M387" s="79">
        <v>172</v>
      </c>
      <c r="N387" s="72">
        <f t="shared" si="146"/>
        <v>7182720</v>
      </c>
      <c r="O387" s="44"/>
      <c r="P387" s="68"/>
      <c r="Q387" s="68">
        <v>718272</v>
      </c>
      <c r="R387" s="68">
        <f t="shared" si="162"/>
        <v>3024815.9801999996</v>
      </c>
      <c r="S387" s="68">
        <f>+'Приложение №2'!E387-Q387-'Приложение №1'!R387</f>
        <v>3439632.0198000004</v>
      </c>
      <c r="T387" s="68">
        <v>0</v>
      </c>
      <c r="U387" s="44">
        <f t="shared" si="161"/>
        <v>1635.4470730207884</v>
      </c>
      <c r="V387" s="44">
        <f t="shared" si="161"/>
        <v>1635.4470730207884</v>
      </c>
      <c r="W387" s="80">
        <v>2023</v>
      </c>
      <c r="X387" s="29" t="s">
        <v>710</v>
      </c>
      <c r="Z387" s="31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32"/>
      <c r="AO387" s="33"/>
      <c r="AP387" s="84">
        <f>+N387-'Приложение №2'!E387</f>
        <v>0</v>
      </c>
      <c r="AQ387" s="1">
        <v>2429458.7999999998</v>
      </c>
      <c r="AR387" s="1">
        <f>+(K387*13.29+L387*22.52)*12*0.85</f>
        <v>595357.18019999983</v>
      </c>
      <c r="AS387" s="1">
        <f>+(K387*13.29+L387*22.52)*12*30</f>
        <v>21012606.359999996</v>
      </c>
      <c r="AT387" s="29">
        <f t="shared" si="149"/>
        <v>-17572974.340199996</v>
      </c>
      <c r="AU387" s="29">
        <f>+P387-'[6]Приложение №1'!$P367</f>
        <v>0</v>
      </c>
      <c r="AV387" s="29">
        <f>+Q387-'[6]Приложение №1'!$Q367</f>
        <v>0</v>
      </c>
      <c r="AW387" s="29">
        <f>+R387-'[6]Приложение №1'!$R367</f>
        <v>0</v>
      </c>
      <c r="AX387" s="29">
        <f>+S387-'[6]Приложение №1'!$S367</f>
        <v>0</v>
      </c>
      <c r="AY387" s="29">
        <f>+T387-'[6]Приложение №1'!$T367</f>
        <v>0</v>
      </c>
    </row>
    <row r="388" spans="1:51" x14ac:dyDescent="0.25">
      <c r="A388" s="135">
        <f t="shared" si="159"/>
        <v>371</v>
      </c>
      <c r="B388" s="134">
        <f t="shared" si="159"/>
        <v>183</v>
      </c>
      <c r="C388" s="77" t="s">
        <v>47</v>
      </c>
      <c r="D388" s="77" t="s">
        <v>404</v>
      </c>
      <c r="E388" s="78">
        <v>1969</v>
      </c>
      <c r="F388" s="78">
        <v>1969</v>
      </c>
      <c r="G388" s="78" t="s">
        <v>44</v>
      </c>
      <c r="H388" s="78">
        <v>4</v>
      </c>
      <c r="I388" s="78">
        <v>4</v>
      </c>
      <c r="J388" s="44">
        <v>1301.0999999999999</v>
      </c>
      <c r="K388" s="44">
        <v>1206.0999999999999</v>
      </c>
      <c r="L388" s="44">
        <v>0</v>
      </c>
      <c r="M388" s="79">
        <v>55</v>
      </c>
      <c r="N388" s="72">
        <f t="shared" si="146"/>
        <v>1761916.0853639999</v>
      </c>
      <c r="O388" s="44"/>
      <c r="P388" s="68">
        <v>985967.48999999906</v>
      </c>
      <c r="Q388" s="68"/>
      <c r="R388" s="68">
        <f t="shared" si="162"/>
        <v>591478.23</v>
      </c>
      <c r="S388" s="68">
        <f>+'Приложение №2'!E388-'Приложение №1'!P388-'Приложение №1'!Q388-'Приложение №1'!R388</f>
        <v>184470.3653640009</v>
      </c>
      <c r="T388" s="68">
        <f>+'Приложение №2'!E388-'Приложение №1'!P388-'Приложение №1'!Q388-'Приложение №1'!R388-'Приложение №1'!S388</f>
        <v>0</v>
      </c>
      <c r="U388" s="44">
        <f t="shared" si="161"/>
        <v>1460.8374806102313</v>
      </c>
      <c r="V388" s="44">
        <f t="shared" si="161"/>
        <v>1460.8374806102313</v>
      </c>
      <c r="W388" s="80">
        <v>2023</v>
      </c>
      <c r="X388" s="29" t="e">
        <f>+#REF!-'[1]Приложение №1'!$P1389</f>
        <v>#REF!</v>
      </c>
      <c r="Z388" s="31">
        <f t="shared" ref="Z388:Z416" si="163">SUM(AA388:AO388)</f>
        <v>20711430.510000002</v>
      </c>
      <c r="AA388" s="27">
        <v>3099206.3677902599</v>
      </c>
      <c r="AB388" s="27">
        <v>1118078.6011840198</v>
      </c>
      <c r="AC388" s="27">
        <v>1168117.9829516402</v>
      </c>
      <c r="AD388" s="27">
        <v>731341.61352924001</v>
      </c>
      <c r="AE388" s="27">
        <v>0</v>
      </c>
      <c r="AF388" s="27"/>
      <c r="AG388" s="27">
        <v>111818.98213248001</v>
      </c>
      <c r="AH388" s="27">
        <v>0</v>
      </c>
      <c r="AI388" s="27">
        <v>5736153.9664296005</v>
      </c>
      <c r="AJ388" s="27">
        <v>0</v>
      </c>
      <c r="AK388" s="27">
        <v>2978257.4163942602</v>
      </c>
      <c r="AL388" s="27">
        <v>3212334.9611770199</v>
      </c>
      <c r="AM388" s="27">
        <v>1951986.4567</v>
      </c>
      <c r="AN388" s="32">
        <v>207114.30510000003</v>
      </c>
      <c r="AO388" s="33">
        <v>397019.85661148006</v>
      </c>
      <c r="AP388" s="84">
        <f>+N388-'Приложение №2'!E388</f>
        <v>0</v>
      </c>
      <c r="AQ388" s="1">
        <v>468456.03</v>
      </c>
      <c r="AR388" s="1">
        <f>+(K388*10+L388*20)*12*0.85</f>
        <v>123022.2</v>
      </c>
      <c r="AS388" s="1">
        <f>+(K388*10+L388*20)*12*30-171359.03</f>
        <v>4170600.97</v>
      </c>
      <c r="AT388" s="29">
        <f t="shared" si="149"/>
        <v>-3986130.6046359995</v>
      </c>
      <c r="AU388" s="29">
        <f>+P388-'[6]Приложение №1'!$P368</f>
        <v>0</v>
      </c>
      <c r="AV388" s="29">
        <f>+Q388-'[6]Приложение №1'!$Q368</f>
        <v>0</v>
      </c>
      <c r="AW388" s="29">
        <f>+R388-'[6]Приложение №1'!$R368</f>
        <v>0</v>
      </c>
      <c r="AX388" s="29">
        <f>+S388-'[6]Приложение №1'!$S368</f>
        <v>0</v>
      </c>
      <c r="AY388" s="29">
        <f>+T388-'[6]Приложение №1'!$T368</f>
        <v>0</v>
      </c>
    </row>
    <row r="389" spans="1:51" x14ac:dyDescent="0.25">
      <c r="A389" s="135">
        <f t="shared" si="159"/>
        <v>372</v>
      </c>
      <c r="B389" s="134">
        <f t="shared" si="159"/>
        <v>184</v>
      </c>
      <c r="C389" s="77" t="s">
        <v>47</v>
      </c>
      <c r="D389" s="77" t="s">
        <v>408</v>
      </c>
      <c r="E389" s="78">
        <v>1967</v>
      </c>
      <c r="F389" s="78">
        <v>1967</v>
      </c>
      <c r="G389" s="78" t="s">
        <v>44</v>
      </c>
      <c r="H389" s="78">
        <v>3</v>
      </c>
      <c r="I389" s="78">
        <v>2</v>
      </c>
      <c r="J389" s="44">
        <v>994.3</v>
      </c>
      <c r="K389" s="44">
        <v>775.2</v>
      </c>
      <c r="L389" s="44">
        <v>168.7</v>
      </c>
      <c r="M389" s="79">
        <v>26</v>
      </c>
      <c r="N389" s="72">
        <f t="shared" si="146"/>
        <v>2811074.8886333201</v>
      </c>
      <c r="O389" s="44"/>
      <c r="P389" s="68"/>
      <c r="Q389" s="68"/>
      <c r="R389" s="68">
        <f t="shared" si="162"/>
        <v>486776.28</v>
      </c>
      <c r="S389" s="68">
        <f>+'Приложение №2'!E389-'Приложение №1'!P389-'Приложение №1'!Q389-'Приложение №1'!R389</f>
        <v>2324298.6086333198</v>
      </c>
      <c r="T389" s="68">
        <f>+'Приложение №2'!E389-'Приложение №1'!P389-'Приложение №1'!Q389-'Приложение №1'!R389-'Приложение №1'!S389</f>
        <v>0</v>
      </c>
      <c r="U389" s="44">
        <f t="shared" si="161"/>
        <v>2978.1490503584278</v>
      </c>
      <c r="V389" s="44">
        <f t="shared" si="161"/>
        <v>2978.1490503584278</v>
      </c>
      <c r="W389" s="80">
        <v>2023</v>
      </c>
      <c r="X389" s="29" t="e">
        <f>+#REF!-'[1]Приложение №1'!$P1393</f>
        <v>#REF!</v>
      </c>
      <c r="Z389" s="31">
        <f t="shared" si="163"/>
        <v>34167233.340000004</v>
      </c>
      <c r="AA389" s="27">
        <v>3079218.0664572599</v>
      </c>
      <c r="AB389" s="27">
        <v>1873658.3176915799</v>
      </c>
      <c r="AC389" s="27">
        <v>882894.70095414005</v>
      </c>
      <c r="AD389" s="27">
        <v>752401.6108417199</v>
      </c>
      <c r="AE389" s="27">
        <v>0</v>
      </c>
      <c r="AF389" s="27"/>
      <c r="AG389" s="27">
        <v>291874.83960432006</v>
      </c>
      <c r="AH389" s="27">
        <v>0</v>
      </c>
      <c r="AI389" s="27">
        <v>8907648.2312202007</v>
      </c>
      <c r="AJ389" s="27">
        <v>0</v>
      </c>
      <c r="AK389" s="27">
        <v>7283473.6350293402</v>
      </c>
      <c r="AL389" s="27">
        <v>6854126.4005717998</v>
      </c>
      <c r="AM389" s="27">
        <v>3245859.5940000005</v>
      </c>
      <c r="AN389" s="32">
        <v>341672.33340000006</v>
      </c>
      <c r="AO389" s="33">
        <v>654405.61022964003</v>
      </c>
      <c r="AP389" s="84">
        <f>+N389-'Приложение №2'!E389</f>
        <v>0</v>
      </c>
      <c r="AQ389" s="1">
        <v>373291.08</v>
      </c>
      <c r="AR389" s="1">
        <f>+(K389*10+L389*20)*12*0.85</f>
        <v>113485.2</v>
      </c>
      <c r="AS389" s="1">
        <f>+(K389*10+L389*20)*12*30</f>
        <v>4005360</v>
      </c>
      <c r="AT389" s="29">
        <f t="shared" si="149"/>
        <v>-1681061.3913666802</v>
      </c>
      <c r="AU389" s="29">
        <f>+P389-'[6]Приложение №1'!$P369</f>
        <v>0</v>
      </c>
      <c r="AV389" s="29">
        <f>+Q389-'[6]Приложение №1'!$Q369</f>
        <v>0</v>
      </c>
      <c r="AW389" s="29">
        <f>+R389-'[6]Приложение №1'!$R369</f>
        <v>0</v>
      </c>
      <c r="AX389" s="29">
        <f>+S389-'[6]Приложение №1'!$S369</f>
        <v>1075241.7899999998</v>
      </c>
      <c r="AY389" s="29">
        <f>+T389-'[6]Приложение №1'!$T369</f>
        <v>0</v>
      </c>
    </row>
    <row r="390" spans="1:51" x14ac:dyDescent="0.25">
      <c r="A390" s="135">
        <f t="shared" si="159"/>
        <v>373</v>
      </c>
      <c r="B390" s="134">
        <f t="shared" si="159"/>
        <v>185</v>
      </c>
      <c r="C390" s="77" t="s">
        <v>47</v>
      </c>
      <c r="D390" s="77" t="s">
        <v>410</v>
      </c>
      <c r="E390" s="78">
        <v>1974</v>
      </c>
      <c r="F390" s="78">
        <v>1974</v>
      </c>
      <c r="G390" s="78" t="s">
        <v>44</v>
      </c>
      <c r="H390" s="78">
        <v>4</v>
      </c>
      <c r="I390" s="78">
        <v>3</v>
      </c>
      <c r="J390" s="44">
        <v>1380.9</v>
      </c>
      <c r="K390" s="44">
        <v>1261.0999999999999</v>
      </c>
      <c r="L390" s="44">
        <v>0</v>
      </c>
      <c r="M390" s="79">
        <v>43</v>
      </c>
      <c r="N390" s="72">
        <f t="shared" si="146"/>
        <v>1066397.1808183601</v>
      </c>
      <c r="O390" s="44"/>
      <c r="P390" s="68"/>
      <c r="Q390" s="68"/>
      <c r="R390" s="68">
        <f t="shared" si="162"/>
        <v>0</v>
      </c>
      <c r="S390" s="68">
        <f>+'Приложение №2'!E390-'Приложение №1'!P390-'Приложение №1'!Q390-'Приложение №1'!R390</f>
        <v>1066397.1808183601</v>
      </c>
      <c r="T390" s="68">
        <f>+'Приложение №2'!E390-'Приложение №1'!P390-'Приложение №1'!Q390-'Приложение №1'!R390-'Приложение №1'!S390</f>
        <v>0</v>
      </c>
      <c r="U390" s="44">
        <f t="shared" si="161"/>
        <v>845.60873905190715</v>
      </c>
      <c r="V390" s="44">
        <f t="shared" si="161"/>
        <v>845.60873905190715</v>
      </c>
      <c r="W390" s="80">
        <v>2023</v>
      </c>
      <c r="X390" s="29" t="e">
        <f>+#REF!-'[1]Приложение №1'!$P1395</f>
        <v>#REF!</v>
      </c>
      <c r="Z390" s="31">
        <f t="shared" si="163"/>
        <v>24082184.68</v>
      </c>
      <c r="AA390" s="27">
        <v>3459603.0948952204</v>
      </c>
      <c r="AB390" s="27">
        <v>1248096.36492156</v>
      </c>
      <c r="AC390" s="27">
        <v>1303954.6600395001</v>
      </c>
      <c r="AD390" s="27">
        <v>816386.97648732003</v>
      </c>
      <c r="AE390" s="27">
        <v>0</v>
      </c>
      <c r="AF390" s="27"/>
      <c r="AG390" s="27">
        <v>124822.049583</v>
      </c>
      <c r="AH390" s="27">
        <v>0</v>
      </c>
      <c r="AI390" s="27">
        <v>6403192.8421985991</v>
      </c>
      <c r="AJ390" s="27">
        <v>838109.10532439989</v>
      </c>
      <c r="AK390" s="27">
        <v>3324589.38292698</v>
      </c>
      <c r="AL390" s="27">
        <v>3585887.05339116</v>
      </c>
      <c r="AM390" s="27">
        <v>2275205.5373000004</v>
      </c>
      <c r="AN390" s="32">
        <v>240821.8468</v>
      </c>
      <c r="AO390" s="33">
        <v>461515.76613225997</v>
      </c>
      <c r="AP390" s="84">
        <f>+N390-'Приложение №2'!E390</f>
        <v>0</v>
      </c>
      <c r="AQ390" s="29">
        <f>513292.56-R150</f>
        <v>-128632.20000000001</v>
      </c>
      <c r="AR390" s="1">
        <f>+(K390*10+L390*20)*12*0.85</f>
        <v>128632.2</v>
      </c>
      <c r="AS390" s="1">
        <f>+(K390*10+L390*20)*12*30-S150</f>
        <v>3849750.0691816397</v>
      </c>
      <c r="AT390" s="29">
        <f t="shared" si="149"/>
        <v>-2783352.8883632794</v>
      </c>
      <c r="AU390" s="29">
        <f>+P390-'[6]Приложение №1'!$P370</f>
        <v>0</v>
      </c>
      <c r="AV390" s="29">
        <f>+Q390-'[6]Приложение №1'!$Q370</f>
        <v>0</v>
      </c>
      <c r="AW390" s="29">
        <f>+R390-'[6]Приложение №1'!$R370</f>
        <v>-641924.76</v>
      </c>
      <c r="AX390" s="29">
        <f>+S390-'[6]Приложение №1'!$S370</f>
        <v>1048684.75</v>
      </c>
      <c r="AY390" s="29">
        <f>+T390-'[6]Приложение №1'!$T370</f>
        <v>0</v>
      </c>
    </row>
    <row r="391" spans="1:51" x14ac:dyDescent="0.25">
      <c r="A391" s="135">
        <f t="shared" si="159"/>
        <v>374</v>
      </c>
      <c r="B391" s="134">
        <f t="shared" si="159"/>
        <v>186</v>
      </c>
      <c r="C391" s="77" t="s">
        <v>47</v>
      </c>
      <c r="D391" s="77" t="s">
        <v>411</v>
      </c>
      <c r="E391" s="78">
        <v>1962</v>
      </c>
      <c r="F391" s="78">
        <v>1962</v>
      </c>
      <c r="G391" s="78" t="s">
        <v>44</v>
      </c>
      <c r="H391" s="78">
        <v>3</v>
      </c>
      <c r="I391" s="78">
        <v>2</v>
      </c>
      <c r="J391" s="44">
        <v>937.1</v>
      </c>
      <c r="K391" s="44">
        <v>723.7</v>
      </c>
      <c r="L391" s="44">
        <v>213.4</v>
      </c>
      <c r="M391" s="79">
        <v>26</v>
      </c>
      <c r="N391" s="72">
        <f t="shared" si="146"/>
        <v>1974866.4282480003</v>
      </c>
      <c r="O391" s="44"/>
      <c r="P391" s="68"/>
      <c r="Q391" s="68"/>
      <c r="R391" s="68">
        <f t="shared" si="162"/>
        <v>218510.12</v>
      </c>
      <c r="S391" s="68">
        <f>+'Приложение №2'!E391-'Приложение №1'!P391-'Приложение №1'!Q391-'Приложение №1'!R391</f>
        <v>1756356.3082480002</v>
      </c>
      <c r="T391" s="68">
        <f>+'Приложение №2'!E391-'Приложение №1'!P391-'Приложение №1'!Q391-'Приложение №1'!R391-'Приложение №1'!S391</f>
        <v>0</v>
      </c>
      <c r="U391" s="44">
        <f t="shared" si="161"/>
        <v>2107.4233574303707</v>
      </c>
      <c r="V391" s="44">
        <f t="shared" si="161"/>
        <v>2107.4233574303707</v>
      </c>
      <c r="W391" s="80">
        <v>2023</v>
      </c>
      <c r="X391" s="29" t="e">
        <f>+#REF!-'[1]Приложение №1'!$P1396</f>
        <v>#REF!</v>
      </c>
      <c r="Z391" s="31">
        <f t="shared" si="163"/>
        <v>26675784</v>
      </c>
      <c r="AA391" s="27">
        <v>2404073.9634912</v>
      </c>
      <c r="AB391" s="27">
        <v>1462843.1901888</v>
      </c>
      <c r="AC391" s="27">
        <v>689312.71110239998</v>
      </c>
      <c r="AD391" s="27">
        <v>587431.31489280006</v>
      </c>
      <c r="AE391" s="27">
        <v>0</v>
      </c>
      <c r="AF391" s="27"/>
      <c r="AG391" s="27">
        <v>227878.8628032</v>
      </c>
      <c r="AH391" s="27">
        <v>0</v>
      </c>
      <c r="AI391" s="27">
        <v>6954572.4655679995</v>
      </c>
      <c r="AJ391" s="27">
        <v>0</v>
      </c>
      <c r="AK391" s="27">
        <v>5686511.6200032001</v>
      </c>
      <c r="AL391" s="27">
        <v>5351302.3282992002</v>
      </c>
      <c r="AM391" s="27">
        <v>2534177.952</v>
      </c>
      <c r="AN391" s="32">
        <v>266757.84000000003</v>
      </c>
      <c r="AO391" s="33">
        <v>510921.75165120006</v>
      </c>
      <c r="AP391" s="84">
        <f>+N391-'Приложение №2'!E391</f>
        <v>0</v>
      </c>
      <c r="AQ391" s="29">
        <f>294416.56-R151</f>
        <v>101159.12</v>
      </c>
      <c r="AR391" s="1">
        <f>+(K391*10+L391*20)*12*0.85</f>
        <v>117351</v>
      </c>
      <c r="AS391" s="1">
        <f>+(K391*10+L391*20)*12*30-S151</f>
        <v>3249806.9578032</v>
      </c>
      <c r="AT391" s="29">
        <f t="shared" si="149"/>
        <v>-1493450.6495551998</v>
      </c>
      <c r="AU391" s="29">
        <f>+P391-'[6]Приложение №1'!$P371</f>
        <v>0</v>
      </c>
      <c r="AV391" s="29">
        <f>+Q391-'[6]Приложение №1'!$Q371</f>
        <v>0</v>
      </c>
      <c r="AW391" s="29">
        <f>+R391-'[6]Приложение №1'!$R371</f>
        <v>-193257.44</v>
      </c>
      <c r="AX391" s="29">
        <f>+S391-'[6]Приложение №1'!$S371</f>
        <v>1622170.7800000003</v>
      </c>
      <c r="AY391" s="29">
        <f>+T391-'[6]Приложение №1'!$T371</f>
        <v>0</v>
      </c>
    </row>
    <row r="392" spans="1:51" x14ac:dyDescent="0.25">
      <c r="A392" s="135">
        <f t="shared" ref="A392:B407" si="164">+A391+1</f>
        <v>375</v>
      </c>
      <c r="B392" s="134">
        <f t="shared" si="164"/>
        <v>187</v>
      </c>
      <c r="C392" s="77" t="s">
        <v>50</v>
      </c>
      <c r="D392" s="77" t="s">
        <v>413</v>
      </c>
      <c r="E392" s="78">
        <v>1986</v>
      </c>
      <c r="F392" s="78">
        <v>2013</v>
      </c>
      <c r="G392" s="78" t="s">
        <v>44</v>
      </c>
      <c r="H392" s="78">
        <v>9</v>
      </c>
      <c r="I392" s="78">
        <v>1</v>
      </c>
      <c r="J392" s="44">
        <v>2272.3000000000002</v>
      </c>
      <c r="K392" s="44">
        <v>2002.9</v>
      </c>
      <c r="L392" s="44">
        <v>0</v>
      </c>
      <c r="M392" s="79">
        <v>70</v>
      </c>
      <c r="N392" s="72">
        <f t="shared" si="146"/>
        <v>1324762.0579570399</v>
      </c>
      <c r="O392" s="44"/>
      <c r="P392" s="68"/>
      <c r="Q392" s="68"/>
      <c r="R392" s="68">
        <f>+AQ392+AR392-289630.07</f>
        <v>1151990.4382</v>
      </c>
      <c r="S392" s="68">
        <f>+'Приложение №2'!E392-'Приложение №1'!R392</f>
        <v>172771.61975703994</v>
      </c>
      <c r="T392" s="68">
        <f>+'Приложение №2'!E392-'Приложение №1'!P392-'Приложение №1'!Q392-'Приложение №1'!R392-'Приложение №1'!S392</f>
        <v>0</v>
      </c>
      <c r="U392" s="44">
        <f t="shared" si="161"/>
        <v>661.42196712618693</v>
      </c>
      <c r="V392" s="44">
        <f t="shared" si="161"/>
        <v>661.42196712618693</v>
      </c>
      <c r="W392" s="80">
        <v>2023</v>
      </c>
      <c r="X392" s="29" t="e">
        <f>+#REF!-'[1]Приложение №1'!$P1399</f>
        <v>#REF!</v>
      </c>
      <c r="Z392" s="31">
        <f t="shared" si="163"/>
        <v>21594584.64801088</v>
      </c>
      <c r="AA392" s="27">
        <v>4631599.4465777399</v>
      </c>
      <c r="AB392" s="27"/>
      <c r="AC392" s="27">
        <v>1934925.9339127201</v>
      </c>
      <c r="AD392" s="27">
        <v>1745759.1417302401</v>
      </c>
      <c r="AE392" s="27">
        <v>0</v>
      </c>
      <c r="AF392" s="27"/>
      <c r="AG392" s="27">
        <v>222817.11301919998</v>
      </c>
      <c r="AH392" s="27">
        <v>0</v>
      </c>
      <c r="AI392" s="27">
        <v>2259410.2166411998</v>
      </c>
      <c r="AJ392" s="27">
        <v>0</v>
      </c>
      <c r="AK392" s="27"/>
      <c r="AL392" s="27">
        <v>5158377.8738793004</v>
      </c>
      <c r="AM392" s="27">
        <v>4350496.0856000008</v>
      </c>
      <c r="AN392" s="32">
        <v>443884.90120000008</v>
      </c>
      <c r="AO392" s="33">
        <v>847313.93545048009</v>
      </c>
      <c r="AP392" s="84">
        <f>+N392-'Приложение №2'!E392</f>
        <v>0</v>
      </c>
      <c r="AQ392" s="1">
        <v>1170111.3899999999</v>
      </c>
      <c r="AR392" s="1">
        <f>+(K392*13.29+L392*22.52)*12*0.85</f>
        <v>271509.11820000003</v>
      </c>
      <c r="AS392" s="1">
        <f>+(K392*13.29+L392*22.52)*12*30-6343334.16</f>
        <v>3239340.6000000015</v>
      </c>
      <c r="AT392" s="29">
        <f t="shared" si="149"/>
        <v>-3066568.9802429616</v>
      </c>
      <c r="AU392" s="29">
        <f>+P392-'[6]Приложение №1'!$P372</f>
        <v>0</v>
      </c>
      <c r="AV392" s="29">
        <f>+Q392-'[6]Приложение №1'!$Q372</f>
        <v>0</v>
      </c>
      <c r="AW392" s="29">
        <f>+R392-'[6]Приложение №1'!$R372</f>
        <v>0</v>
      </c>
      <c r="AX392" s="29">
        <f>+S392-'[6]Приложение №1'!$S372</f>
        <v>0</v>
      </c>
      <c r="AY392" s="29">
        <f>+T392-'[6]Приложение №1'!$T372</f>
        <v>0</v>
      </c>
    </row>
    <row r="393" spans="1:51" x14ac:dyDescent="0.25">
      <c r="A393" s="135">
        <f t="shared" si="164"/>
        <v>376</v>
      </c>
      <c r="B393" s="134">
        <f t="shared" si="164"/>
        <v>188</v>
      </c>
      <c r="C393" s="77" t="s">
        <v>50</v>
      </c>
      <c r="D393" s="77" t="s">
        <v>246</v>
      </c>
      <c r="E393" s="78">
        <v>1994</v>
      </c>
      <c r="F393" s="78">
        <v>2015</v>
      </c>
      <c r="G393" s="78" t="s">
        <v>51</v>
      </c>
      <c r="H393" s="78">
        <v>9</v>
      </c>
      <c r="I393" s="78">
        <v>2</v>
      </c>
      <c r="J393" s="44">
        <v>4698.7</v>
      </c>
      <c r="K393" s="44">
        <v>4088</v>
      </c>
      <c r="L393" s="44">
        <v>0</v>
      </c>
      <c r="M393" s="79">
        <v>152</v>
      </c>
      <c r="N393" s="72">
        <f t="shared" si="146"/>
        <v>5574824.3399999999</v>
      </c>
      <c r="O393" s="44"/>
      <c r="P393" s="68"/>
      <c r="Q393" s="68"/>
      <c r="R393" s="68">
        <f t="shared" ref="R393:R416" si="165">+AQ393+AR393</f>
        <v>2726855.4739999999</v>
      </c>
      <c r="S393" s="68">
        <f>+'Приложение №2'!E393-'Приложение №1'!R393</f>
        <v>2847968.8659999999</v>
      </c>
      <c r="T393" s="68">
        <v>0</v>
      </c>
      <c r="U393" s="44">
        <f t="shared" si="161"/>
        <v>1363.7045841487279</v>
      </c>
      <c r="V393" s="44">
        <f t="shared" si="161"/>
        <v>1363.7045841487279</v>
      </c>
      <c r="W393" s="80">
        <v>2023</v>
      </c>
      <c r="X393" s="29" t="e">
        <f>+#REF!-'[1]Приложение №1'!$P1578</f>
        <v>#REF!</v>
      </c>
      <c r="Z393" s="31">
        <f t="shared" si="163"/>
        <v>10862057.870000001</v>
      </c>
      <c r="AA393" s="27">
        <v>0</v>
      </c>
      <c r="AB393" s="27">
        <v>4131978.851978879</v>
      </c>
      <c r="AC393" s="27">
        <v>4914820.1777068805</v>
      </c>
      <c r="AD393" s="27">
        <v>0</v>
      </c>
      <c r="AE393" s="27">
        <v>0</v>
      </c>
      <c r="AF393" s="27"/>
      <c r="AG393" s="27">
        <v>455373.75956604001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1043471.2283000001</v>
      </c>
      <c r="AN393" s="32">
        <v>108620.5787</v>
      </c>
      <c r="AO393" s="33">
        <v>207793.27374819998</v>
      </c>
      <c r="AP393" s="84">
        <f>+N393-'Приложение №2'!E393</f>
        <v>0</v>
      </c>
      <c r="AQ393" s="1">
        <v>2172694.37</v>
      </c>
      <c r="AR393" s="1">
        <f>+(K393*13.29+L393*22.52)*12*0.85</f>
        <v>554161.10399999993</v>
      </c>
      <c r="AS393" s="1">
        <f>+(K393*13.29+L393*22.52)*12*30</f>
        <v>19558627.199999999</v>
      </c>
      <c r="AT393" s="29">
        <f t="shared" si="149"/>
        <v>-16710658.333999999</v>
      </c>
      <c r="AU393" s="29">
        <f>+P393-'[6]Приложение №1'!$P373</f>
        <v>0</v>
      </c>
      <c r="AV393" s="29">
        <f>+Q393-'[6]Приложение №1'!$Q373</f>
        <v>0</v>
      </c>
      <c r="AW393" s="29">
        <f>+R393-'[6]Приложение №1'!$R373</f>
        <v>0</v>
      </c>
      <c r="AX393" s="29">
        <f>+S393-'[6]Приложение №1'!$S373</f>
        <v>0</v>
      </c>
      <c r="AY393" s="29">
        <f>+T393-'[6]Приложение №1'!$T373</f>
        <v>0</v>
      </c>
    </row>
    <row r="394" spans="1:51" x14ac:dyDescent="0.25">
      <c r="A394" s="135">
        <f t="shared" si="164"/>
        <v>377</v>
      </c>
      <c r="B394" s="134">
        <f t="shared" si="164"/>
        <v>189</v>
      </c>
      <c r="C394" s="77" t="s">
        <v>50</v>
      </c>
      <c r="D394" s="77" t="s">
        <v>491</v>
      </c>
      <c r="E394" s="78">
        <v>1974</v>
      </c>
      <c r="F394" s="78">
        <v>2004</v>
      </c>
      <c r="G394" s="78" t="s">
        <v>44</v>
      </c>
      <c r="H394" s="78">
        <v>9</v>
      </c>
      <c r="I394" s="78">
        <v>1</v>
      </c>
      <c r="J394" s="44">
        <v>2145.6</v>
      </c>
      <c r="K394" s="44">
        <v>1882.91</v>
      </c>
      <c r="L394" s="44">
        <v>0</v>
      </c>
      <c r="M394" s="79">
        <v>77</v>
      </c>
      <c r="N394" s="72">
        <f t="shared" si="146"/>
        <v>14592894.304800002</v>
      </c>
      <c r="O394" s="44"/>
      <c r="P394" s="68">
        <v>1633456.4588733336</v>
      </c>
      <c r="Q394" s="68"/>
      <c r="R394" s="68">
        <f t="shared" si="165"/>
        <v>1074656.2037799999</v>
      </c>
      <c r="S394" s="68">
        <f>+AS394</f>
        <v>9008594.6039999984</v>
      </c>
      <c r="T394" s="68">
        <f>+'Приложение №2'!E394-'Приложение №1'!P394-'Приложение №1'!Q394-'Приложение №1'!R394-'Приложение №1'!S394</f>
        <v>2876187.038146669</v>
      </c>
      <c r="U394" s="44">
        <f t="shared" si="161"/>
        <v>7750.1815300784428</v>
      </c>
      <c r="V394" s="44">
        <f t="shared" si="161"/>
        <v>7750.1815300784428</v>
      </c>
      <c r="W394" s="80">
        <v>2023</v>
      </c>
      <c r="X394" s="29" t="e">
        <f>+#REF!-'[1]Приложение №1'!$P1581</f>
        <v>#REF!</v>
      </c>
      <c r="Z394" s="31">
        <f t="shared" si="163"/>
        <v>14974764.26</v>
      </c>
      <c r="AA394" s="27">
        <v>4349966.5649949601</v>
      </c>
      <c r="AB394" s="27">
        <v>2985403.71589782</v>
      </c>
      <c r="AC394" s="27">
        <v>1817269.2196583401</v>
      </c>
      <c r="AD394" s="27">
        <v>1639605.0614672401</v>
      </c>
      <c r="AE394" s="27">
        <v>0</v>
      </c>
      <c r="AF394" s="27"/>
      <c r="AG394" s="27">
        <v>209268.31068528001</v>
      </c>
      <c r="AH394" s="27">
        <v>0</v>
      </c>
      <c r="AI394" s="27">
        <v>2122022.6416493999</v>
      </c>
      <c r="AJ394" s="27">
        <v>0</v>
      </c>
      <c r="AK394" s="27">
        <v>0</v>
      </c>
      <c r="AL394" s="27">
        <v>0</v>
      </c>
      <c r="AM394" s="27">
        <v>1414495.9609999999</v>
      </c>
      <c r="AN394" s="32">
        <v>149747.64259999999</v>
      </c>
      <c r="AO394" s="33">
        <v>286985.14204696001</v>
      </c>
      <c r="AP394" s="84">
        <f>+N394-'Приложение №2'!E394</f>
        <v>0</v>
      </c>
      <c r="AQ394" s="1">
        <v>819412.69</v>
      </c>
      <c r="AR394" s="1">
        <f>+(K394*13.29+L394*22.52)*12*0.85</f>
        <v>255243.51377999995</v>
      </c>
      <c r="AS394" s="1">
        <f>+(K394*13.29+L394*22.52)*12*30</f>
        <v>9008594.6039999984</v>
      </c>
      <c r="AT394" s="29">
        <f t="shared" si="149"/>
        <v>0</v>
      </c>
      <c r="AU394" s="29">
        <f>+P394-'[6]Приложение №1'!$P374</f>
        <v>0</v>
      </c>
      <c r="AV394" s="29">
        <f>+Q394-'[6]Приложение №1'!$Q374</f>
        <v>0</v>
      </c>
      <c r="AW394" s="29">
        <f>+R394-'[6]Приложение №1'!$R374</f>
        <v>0</v>
      </c>
      <c r="AX394" s="29">
        <f>+S394-'[6]Приложение №1'!$S374</f>
        <v>0</v>
      </c>
      <c r="AY394" s="29">
        <f>+T394-'[6]Приложение №1'!$T374</f>
        <v>0</v>
      </c>
    </row>
    <row r="395" spans="1:51" x14ac:dyDescent="0.25">
      <c r="A395" s="135">
        <f t="shared" si="164"/>
        <v>378</v>
      </c>
      <c r="B395" s="134">
        <f t="shared" si="164"/>
        <v>190</v>
      </c>
      <c r="C395" s="77" t="s">
        <v>50</v>
      </c>
      <c r="D395" s="77" t="s">
        <v>493</v>
      </c>
      <c r="E395" s="78">
        <v>1973</v>
      </c>
      <c r="F395" s="78">
        <v>2004</v>
      </c>
      <c r="G395" s="78" t="s">
        <v>44</v>
      </c>
      <c r="H395" s="78">
        <v>9</v>
      </c>
      <c r="I395" s="78">
        <v>1</v>
      </c>
      <c r="J395" s="44">
        <v>2255.5</v>
      </c>
      <c r="K395" s="44">
        <v>1988.05</v>
      </c>
      <c r="L395" s="44">
        <v>0</v>
      </c>
      <c r="M395" s="79">
        <v>92</v>
      </c>
      <c r="N395" s="72">
        <f t="shared" si="146"/>
        <v>2471396.1</v>
      </c>
      <c r="O395" s="44"/>
      <c r="P395" s="68"/>
      <c r="Q395" s="68"/>
      <c r="R395" s="68">
        <f t="shared" si="165"/>
        <v>1371899.6118999999</v>
      </c>
      <c r="S395" s="68">
        <f>+'Приложение №2'!E395-'Приложение №1'!R395</f>
        <v>1099496.4881000002</v>
      </c>
      <c r="T395" s="68">
        <v>0</v>
      </c>
      <c r="U395" s="44">
        <f t="shared" si="161"/>
        <v>1243.1257262141296</v>
      </c>
      <c r="V395" s="44">
        <f t="shared" si="161"/>
        <v>1243.1257262141296</v>
      </c>
      <c r="W395" s="80">
        <v>2023</v>
      </c>
      <c r="X395" s="29" t="e">
        <f>+#REF!-'[1]Приложение №1'!$P1583</f>
        <v>#REF!</v>
      </c>
      <c r="Z395" s="31">
        <f t="shared" si="163"/>
        <v>2546718.4499999997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/>
      <c r="AG395" s="27">
        <v>0</v>
      </c>
      <c r="AH395" s="27">
        <v>0</v>
      </c>
      <c r="AI395" s="27">
        <v>2242996.8076530001</v>
      </c>
      <c r="AJ395" s="27">
        <v>0</v>
      </c>
      <c r="AK395" s="27">
        <v>0</v>
      </c>
      <c r="AL395" s="27">
        <v>0</v>
      </c>
      <c r="AM395" s="27">
        <v>229204.6605</v>
      </c>
      <c r="AN395" s="32">
        <v>25467.184500000003</v>
      </c>
      <c r="AO395" s="33">
        <v>49049.797347</v>
      </c>
      <c r="AP395" s="84">
        <f>+N395-'Приложение №2'!E395</f>
        <v>0</v>
      </c>
      <c r="AQ395" s="1">
        <v>1102403.53</v>
      </c>
      <c r="AR395" s="1">
        <f>+(K395*13.29+L395*22.52)*12*0.85</f>
        <v>269496.08189999999</v>
      </c>
      <c r="AS395" s="1">
        <f>+(K395*13.29+L395*22.52)*12*30</f>
        <v>9511626.4199999999</v>
      </c>
      <c r="AT395" s="29">
        <f t="shared" si="149"/>
        <v>-8412129.9319000002</v>
      </c>
      <c r="AU395" s="29">
        <f>+P395-'[6]Приложение №1'!$P375</f>
        <v>0</v>
      </c>
      <c r="AV395" s="29">
        <f>+Q395-'[6]Приложение №1'!$Q375</f>
        <v>0</v>
      </c>
      <c r="AW395" s="29">
        <f>+R395-'[6]Приложение №1'!$R375</f>
        <v>0</v>
      </c>
      <c r="AX395" s="29">
        <f>+S395-'[6]Приложение №1'!$S375</f>
        <v>0</v>
      </c>
      <c r="AY395" s="29">
        <f>+T395-'[6]Приложение №1'!$T375</f>
        <v>0</v>
      </c>
    </row>
    <row r="396" spans="1:51" x14ac:dyDescent="0.25">
      <c r="A396" s="135">
        <f t="shared" si="164"/>
        <v>379</v>
      </c>
      <c r="B396" s="134">
        <f t="shared" si="164"/>
        <v>191</v>
      </c>
      <c r="C396" s="77" t="s">
        <v>50</v>
      </c>
      <c r="D396" s="77" t="s">
        <v>414</v>
      </c>
      <c r="E396" s="78">
        <v>1989</v>
      </c>
      <c r="F396" s="78">
        <v>2014</v>
      </c>
      <c r="G396" s="78" t="s">
        <v>44</v>
      </c>
      <c r="H396" s="78">
        <v>9</v>
      </c>
      <c r="I396" s="78">
        <v>3</v>
      </c>
      <c r="J396" s="44">
        <v>6626.1</v>
      </c>
      <c r="K396" s="44">
        <v>6102.5</v>
      </c>
      <c r="L396" s="44">
        <v>67.8</v>
      </c>
      <c r="M396" s="79">
        <v>265</v>
      </c>
      <c r="N396" s="72">
        <f t="shared" si="146"/>
        <v>23521550.178977139</v>
      </c>
      <c r="O396" s="44"/>
      <c r="P396" s="68">
        <v>9534672.4600000009</v>
      </c>
      <c r="Q396" s="68"/>
      <c r="R396" s="68">
        <f t="shared" si="165"/>
        <v>3009205.0962</v>
      </c>
      <c r="S396" s="68">
        <f>+AS396</f>
        <v>0</v>
      </c>
      <c r="T396" s="68">
        <f>+'Приложение №2'!E396-'Приложение №1'!P396-'Приложение №1'!Q396-'Приложение №1'!R396-'Приложение №1'!S396</f>
        <v>10977672.622777138</v>
      </c>
      <c r="U396" s="44">
        <f t="shared" si="161"/>
        <v>3812.0594102356672</v>
      </c>
      <c r="V396" s="44">
        <f t="shared" si="161"/>
        <v>3812.0594102356672</v>
      </c>
      <c r="W396" s="80">
        <v>2023</v>
      </c>
      <c r="X396" s="29" t="e">
        <f>+#REF!-'[1]Приложение №1'!$P1188</f>
        <v>#REF!</v>
      </c>
      <c r="Z396" s="31">
        <f t="shared" si="163"/>
        <v>133828117.44000001</v>
      </c>
      <c r="AA396" s="27">
        <v>13963940.488183141</v>
      </c>
      <c r="AB396" s="27">
        <v>9583521.8977096211</v>
      </c>
      <c r="AC396" s="27">
        <v>5833663.0608244799</v>
      </c>
      <c r="AD396" s="27">
        <v>5263338.7413885603</v>
      </c>
      <c r="AE396" s="27">
        <v>0</v>
      </c>
      <c r="AF396" s="27"/>
      <c r="AG396" s="27">
        <v>671777.63177280012</v>
      </c>
      <c r="AH396" s="27">
        <v>0</v>
      </c>
      <c r="AI396" s="27">
        <v>6811959.9181410009</v>
      </c>
      <c r="AJ396" s="27">
        <v>0</v>
      </c>
      <c r="AK396" s="27">
        <v>59138470.018736638</v>
      </c>
      <c r="AL396" s="27">
        <v>15552139.69889202</v>
      </c>
      <c r="AM396" s="27">
        <v>13116434.001499999</v>
      </c>
      <c r="AN396" s="32">
        <v>1338281.1743999999</v>
      </c>
      <c r="AO396" s="33">
        <v>2554590.8084517401</v>
      </c>
      <c r="AP396" s="84">
        <f>+N396-'Приложение №2'!E396</f>
        <v>0</v>
      </c>
      <c r="AQ396" s="34">
        <f>3444334.74-R153</f>
        <v>2166388.4700000002</v>
      </c>
      <c r="AR396" s="1">
        <f>+(K396*13.29+L396*22.52)*12*0.85</f>
        <v>842816.62619999982</v>
      </c>
      <c r="AS396" s="1">
        <f>+(K396*13.29+L396*22.52)*12*30-S153</f>
        <v>0</v>
      </c>
      <c r="AT396" s="29">
        <f t="shared" si="149"/>
        <v>0</v>
      </c>
      <c r="AU396" s="29">
        <f>+P396-'[6]Приложение №1'!$P376</f>
        <v>-10988104.770000003</v>
      </c>
      <c r="AV396" s="29">
        <f>+Q396-'[6]Приложение №1'!$Q376</f>
        <v>0</v>
      </c>
      <c r="AW396" s="29">
        <f>+R396-'[6]Приложение №1'!$R376</f>
        <v>-536807.23999999976</v>
      </c>
      <c r="AX396" s="29">
        <f>+S396-'[6]Приложение №1'!$S376</f>
        <v>-10611481.079072803</v>
      </c>
      <c r="AY396" s="29">
        <f>+T396-'[6]Приложение №1'!$T376</f>
        <v>-2402546.8834811933</v>
      </c>
    </row>
    <row r="397" spans="1:51" x14ac:dyDescent="0.25">
      <c r="A397" s="135">
        <f t="shared" si="164"/>
        <v>380</v>
      </c>
      <c r="B397" s="134">
        <f t="shared" si="164"/>
        <v>192</v>
      </c>
      <c r="C397" s="77" t="s">
        <v>50</v>
      </c>
      <c r="D397" s="77" t="s">
        <v>494</v>
      </c>
      <c r="E397" s="78">
        <v>1968</v>
      </c>
      <c r="F397" s="78">
        <v>2015</v>
      </c>
      <c r="G397" s="78" t="s">
        <v>44</v>
      </c>
      <c r="H397" s="78">
        <v>4</v>
      </c>
      <c r="I397" s="78">
        <v>4</v>
      </c>
      <c r="J397" s="44">
        <v>2529.1</v>
      </c>
      <c r="K397" s="44">
        <v>2238.1</v>
      </c>
      <c r="L397" s="44">
        <v>227.2</v>
      </c>
      <c r="M397" s="79">
        <v>104</v>
      </c>
      <c r="N397" s="72">
        <f t="shared" ref="N397:N460" si="166">+P397+Q397+R397+S397+T397</f>
        <v>2922653.7443820001</v>
      </c>
      <c r="O397" s="44"/>
      <c r="P397" s="68"/>
      <c r="Q397" s="68"/>
      <c r="R397" s="68">
        <f t="shared" si="165"/>
        <v>1397271.15</v>
      </c>
      <c r="S397" s="68">
        <f>+'Приложение №2'!E397-'Приложение №1'!R397</f>
        <v>1525382.5943820002</v>
      </c>
      <c r="T397" s="68">
        <v>0</v>
      </c>
      <c r="U397" s="44">
        <f t="shared" si="161"/>
        <v>1185.516466305115</v>
      </c>
      <c r="V397" s="44">
        <f t="shared" si="161"/>
        <v>1185.516466305115</v>
      </c>
      <c r="W397" s="80">
        <v>2023</v>
      </c>
      <c r="X397" s="29" t="e">
        <f>+#REF!-'[1]Приложение №1'!$P1587</f>
        <v>#REF!</v>
      </c>
      <c r="Z397" s="31">
        <f t="shared" si="163"/>
        <v>29885518.550000001</v>
      </c>
      <c r="AA397" s="27">
        <v>6731956.0892438404</v>
      </c>
      <c r="AB397" s="27">
        <v>2468626.27801314</v>
      </c>
      <c r="AC397" s="27">
        <v>2579135.1598849199</v>
      </c>
      <c r="AD397" s="27">
        <v>1614732.13773312</v>
      </c>
      <c r="AE397" s="27">
        <v>0</v>
      </c>
      <c r="AF397" s="27"/>
      <c r="AG397" s="27">
        <v>222240.79473288002</v>
      </c>
      <c r="AH397" s="27">
        <v>0</v>
      </c>
      <c r="AI397" s="27">
        <v>12664980.5522436</v>
      </c>
      <c r="AJ397" s="27">
        <v>0</v>
      </c>
      <c r="AK397" s="27">
        <v>0</v>
      </c>
      <c r="AL397" s="27">
        <v>0</v>
      </c>
      <c r="AM397" s="27">
        <v>2730265.4369999999</v>
      </c>
      <c r="AN397" s="32">
        <v>298855.18550000008</v>
      </c>
      <c r="AO397" s="33">
        <v>574726.9156485002</v>
      </c>
      <c r="AP397" s="84">
        <f>+N397-'Приложение №2'!E397</f>
        <v>0</v>
      </c>
      <c r="AQ397" s="1">
        <v>1122636.1499999999</v>
      </c>
      <c r="AR397" s="1">
        <f>+(K397*10+L397*20)*12*0.85</f>
        <v>274635</v>
      </c>
      <c r="AS397" s="1">
        <f>+(K397*10+L397*20)*12*30</f>
        <v>9693000</v>
      </c>
      <c r="AT397" s="29">
        <f t="shared" si="149"/>
        <v>-8167617.4056179998</v>
      </c>
      <c r="AU397" s="29">
        <f>+P397-'[6]Приложение №1'!$P377</f>
        <v>0</v>
      </c>
      <c r="AV397" s="29">
        <f>+Q397-'[6]Приложение №1'!$Q377</f>
        <v>0</v>
      </c>
      <c r="AW397" s="29">
        <f>+R397-'[6]Приложение №1'!$R377</f>
        <v>0</v>
      </c>
      <c r="AX397" s="29">
        <f>+S397-'[6]Приложение №1'!$S377</f>
        <v>0</v>
      </c>
      <c r="AY397" s="29">
        <f>+T397-'[6]Приложение №1'!$T377</f>
        <v>0</v>
      </c>
    </row>
    <row r="398" spans="1:51" x14ac:dyDescent="0.25">
      <c r="A398" s="135">
        <f t="shared" si="164"/>
        <v>381</v>
      </c>
      <c r="B398" s="134">
        <f t="shared" si="164"/>
        <v>193</v>
      </c>
      <c r="C398" s="77" t="s">
        <v>50</v>
      </c>
      <c r="D398" s="77" t="s">
        <v>495</v>
      </c>
      <c r="E398" s="78">
        <v>1990</v>
      </c>
      <c r="F398" s="78">
        <v>2015</v>
      </c>
      <c r="G398" s="78" t="s">
        <v>44</v>
      </c>
      <c r="H398" s="78">
        <v>9</v>
      </c>
      <c r="I398" s="78">
        <v>1</v>
      </c>
      <c r="J398" s="44">
        <v>2286.6999999999998</v>
      </c>
      <c r="K398" s="44">
        <v>2021.3</v>
      </c>
      <c r="L398" s="44">
        <v>0</v>
      </c>
      <c r="M398" s="79">
        <v>76</v>
      </c>
      <c r="N398" s="72">
        <f t="shared" si="166"/>
        <v>2330029.3230000003</v>
      </c>
      <c r="O398" s="44"/>
      <c r="P398" s="68"/>
      <c r="Q398" s="68"/>
      <c r="R398" s="68">
        <f t="shared" si="165"/>
        <v>1446929.3654</v>
      </c>
      <c r="S398" s="68">
        <f>+'Приложение №2'!E398-'Приложение №1'!R398</f>
        <v>883099.95760000031</v>
      </c>
      <c r="T398" s="68">
        <v>0</v>
      </c>
      <c r="U398" s="44">
        <f t="shared" si="161"/>
        <v>1152.7380017810322</v>
      </c>
      <c r="V398" s="44">
        <f t="shared" si="161"/>
        <v>1152.7380017810322</v>
      </c>
      <c r="W398" s="80">
        <v>2023</v>
      </c>
      <c r="X398" s="29" t="e">
        <f>+#REF!-'[1]Приложение №1'!$P1588</f>
        <v>#REF!</v>
      </c>
      <c r="Z398" s="31">
        <f t="shared" si="163"/>
        <v>2588921.4700000002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/>
      <c r="AG398" s="27">
        <v>0</v>
      </c>
      <c r="AH398" s="27">
        <v>0</v>
      </c>
      <c r="AI398" s="27">
        <v>2280166.6954878005</v>
      </c>
      <c r="AJ398" s="27">
        <v>0</v>
      </c>
      <c r="AK398" s="27">
        <v>0</v>
      </c>
      <c r="AL398" s="27">
        <v>0</v>
      </c>
      <c r="AM398" s="27">
        <v>233002.93230000001</v>
      </c>
      <c r="AN398" s="32">
        <v>25889.214700000004</v>
      </c>
      <c r="AO398" s="33">
        <v>49862.627512200008</v>
      </c>
      <c r="AP398" s="84">
        <f>+N398-'Приложение №2'!E398</f>
        <v>0</v>
      </c>
      <c r="AQ398" s="1">
        <v>1172925.98</v>
      </c>
      <c r="AR398" s="1">
        <f>+(K398*13.29+L398*22.52)*12*0.85</f>
        <v>274003.38539999997</v>
      </c>
      <c r="AS398" s="1">
        <f>+(K398*13.29+L398*22.52)*12*30</f>
        <v>9670707.7200000007</v>
      </c>
      <c r="AT398" s="29">
        <f t="shared" si="149"/>
        <v>-8787607.7624000013</v>
      </c>
      <c r="AU398" s="29">
        <f>+P398-'[6]Приложение №1'!$P378</f>
        <v>0</v>
      </c>
      <c r="AV398" s="29">
        <f>+Q398-'[6]Приложение №1'!$Q378</f>
        <v>0</v>
      </c>
      <c r="AW398" s="29">
        <f>+R398-'[6]Приложение №1'!$R378</f>
        <v>0</v>
      </c>
      <c r="AX398" s="29">
        <f>+S398-'[6]Приложение №1'!$S378</f>
        <v>0</v>
      </c>
      <c r="AY398" s="29">
        <f>+T398-'[6]Приложение №1'!$T378</f>
        <v>0</v>
      </c>
    </row>
    <row r="399" spans="1:51" x14ac:dyDescent="0.25">
      <c r="A399" s="135">
        <f t="shared" si="164"/>
        <v>382</v>
      </c>
      <c r="B399" s="134">
        <f t="shared" si="164"/>
        <v>194</v>
      </c>
      <c r="C399" s="77" t="s">
        <v>50</v>
      </c>
      <c r="D399" s="77" t="s">
        <v>496</v>
      </c>
      <c r="E399" s="78">
        <v>1967</v>
      </c>
      <c r="F399" s="78">
        <v>2015</v>
      </c>
      <c r="G399" s="78" t="s">
        <v>44</v>
      </c>
      <c r="H399" s="78">
        <v>3</v>
      </c>
      <c r="I399" s="78">
        <v>3</v>
      </c>
      <c r="J399" s="44">
        <v>1753.5</v>
      </c>
      <c r="K399" s="44">
        <v>1262.7</v>
      </c>
      <c r="L399" s="44">
        <v>455.8</v>
      </c>
      <c r="M399" s="79">
        <v>37</v>
      </c>
      <c r="N399" s="72">
        <f t="shared" si="166"/>
        <v>1941365.751134</v>
      </c>
      <c r="O399" s="44"/>
      <c r="P399" s="68"/>
      <c r="Q399" s="68"/>
      <c r="R399" s="68">
        <f t="shared" si="165"/>
        <v>1293797.6600000001</v>
      </c>
      <c r="S399" s="68">
        <f>+'Приложение №2'!E399-'Приложение №1'!R399</f>
        <v>647568.09113399987</v>
      </c>
      <c r="T399" s="68">
        <v>0</v>
      </c>
      <c r="U399" s="44">
        <f t="shared" ref="U399:V418" si="167">$N399/($K399+$L399)</f>
        <v>1129.6862095629911</v>
      </c>
      <c r="V399" s="44">
        <f t="shared" si="167"/>
        <v>1129.6862095629911</v>
      </c>
      <c r="W399" s="80">
        <v>2023</v>
      </c>
      <c r="X399" s="29" t="e">
        <f>+#REF!-'[1]Приложение №1'!$P1589</f>
        <v>#REF!</v>
      </c>
      <c r="Z399" s="31">
        <f t="shared" si="163"/>
        <v>34868708.160000004</v>
      </c>
      <c r="AA399" s="27">
        <v>5996729.9781097798</v>
      </c>
      <c r="AB399" s="27">
        <v>3648890.3764198199</v>
      </c>
      <c r="AC399" s="27">
        <v>1719410.9272174803</v>
      </c>
      <c r="AD399" s="27">
        <v>1465289.8013577599</v>
      </c>
      <c r="AE399" s="27">
        <v>0</v>
      </c>
      <c r="AF399" s="27"/>
      <c r="AG399" s="27">
        <v>511593.88939176005</v>
      </c>
      <c r="AH399" s="27">
        <v>0</v>
      </c>
      <c r="AI399" s="27">
        <v>17347540.944257997</v>
      </c>
      <c r="AJ399" s="27">
        <v>0</v>
      </c>
      <c r="AK399" s="27">
        <v>0</v>
      </c>
      <c r="AL399" s="27">
        <v>0</v>
      </c>
      <c r="AM399" s="27">
        <v>3159448.9173999997</v>
      </c>
      <c r="AN399" s="32">
        <v>348687.08159999998</v>
      </c>
      <c r="AO399" s="33">
        <v>671116.24424539995</v>
      </c>
      <c r="AP399" s="84">
        <f>+N399-'Приложение №2'!E399</f>
        <v>0</v>
      </c>
      <c r="AQ399" s="1">
        <v>1072019.06</v>
      </c>
      <c r="AR399" s="1">
        <f t="shared" ref="AR399:AR417" si="168">+(K399*10+L399*20)*12*0.85</f>
        <v>221778.6</v>
      </c>
      <c r="AS399" s="1">
        <f t="shared" ref="AS399:AS416" si="169">+(K399*10+L399*20)*12*30</f>
        <v>7827480</v>
      </c>
      <c r="AT399" s="29">
        <f t="shared" si="149"/>
        <v>-7179911.9088660004</v>
      </c>
      <c r="AU399" s="29">
        <f>+P399-'[6]Приложение №1'!$P379</f>
        <v>0</v>
      </c>
      <c r="AV399" s="29">
        <f>+Q399-'[6]Приложение №1'!$Q379</f>
        <v>0</v>
      </c>
      <c r="AW399" s="29">
        <f>+R399-'[6]Приложение №1'!$R379</f>
        <v>0</v>
      </c>
      <c r="AX399" s="29">
        <f>+S399-'[6]Приложение №1'!$S379</f>
        <v>0</v>
      </c>
      <c r="AY399" s="29">
        <f>+T399-'[6]Приложение №1'!$T379</f>
        <v>0</v>
      </c>
    </row>
    <row r="400" spans="1:51" x14ac:dyDescent="0.25">
      <c r="A400" s="135">
        <f t="shared" si="164"/>
        <v>383</v>
      </c>
      <c r="B400" s="134">
        <f t="shared" si="164"/>
        <v>195</v>
      </c>
      <c r="C400" s="77" t="s">
        <v>50</v>
      </c>
      <c r="D400" s="77" t="s">
        <v>497</v>
      </c>
      <c r="E400" s="78">
        <v>1968</v>
      </c>
      <c r="F400" s="78">
        <v>2015</v>
      </c>
      <c r="G400" s="78" t="s">
        <v>44</v>
      </c>
      <c r="H400" s="78">
        <v>4</v>
      </c>
      <c r="I400" s="78">
        <v>2</v>
      </c>
      <c r="J400" s="44">
        <v>1345.8</v>
      </c>
      <c r="K400" s="44">
        <v>1132</v>
      </c>
      <c r="L400" s="44">
        <v>118.5</v>
      </c>
      <c r="M400" s="79">
        <v>46</v>
      </c>
      <c r="N400" s="72">
        <f t="shared" si="166"/>
        <v>1477282.3724400001</v>
      </c>
      <c r="O400" s="44"/>
      <c r="P400" s="68"/>
      <c r="Q400" s="68"/>
      <c r="R400" s="68">
        <f t="shared" si="165"/>
        <v>589579.19999999995</v>
      </c>
      <c r="S400" s="68">
        <f>+'Приложение №2'!E400-'Приложение №1'!R400</f>
        <v>887703.17243999988</v>
      </c>
      <c r="T400" s="68">
        <v>1.1641532182693481E-10</v>
      </c>
      <c r="U400" s="44">
        <f t="shared" si="167"/>
        <v>1181.3533566093563</v>
      </c>
      <c r="V400" s="44">
        <f t="shared" si="167"/>
        <v>1181.3533566093563</v>
      </c>
      <c r="W400" s="80">
        <v>2023</v>
      </c>
      <c r="X400" s="29" t="e">
        <f>+#REF!-'[1]Приложение №1'!$P1590</f>
        <v>#REF!</v>
      </c>
      <c r="Z400" s="31">
        <f t="shared" si="163"/>
        <v>15236078.209999999</v>
      </c>
      <c r="AA400" s="27">
        <v>3432050.5232340605</v>
      </c>
      <c r="AB400" s="27">
        <v>1258542.09075378</v>
      </c>
      <c r="AC400" s="27">
        <v>1314881.1524797198</v>
      </c>
      <c r="AD400" s="27">
        <v>823214.26413408003</v>
      </c>
      <c r="AE400" s="27">
        <v>0</v>
      </c>
      <c r="AF400" s="27"/>
      <c r="AG400" s="27">
        <v>113301.62983020001</v>
      </c>
      <c r="AH400" s="27">
        <v>0</v>
      </c>
      <c r="AI400" s="27">
        <v>6456793.9123547999</v>
      </c>
      <c r="AJ400" s="27">
        <v>0</v>
      </c>
      <c r="AK400" s="27">
        <v>0</v>
      </c>
      <c r="AL400" s="27">
        <v>0</v>
      </c>
      <c r="AM400" s="27">
        <v>1391929.5954999998</v>
      </c>
      <c r="AN400" s="32">
        <v>152360.78209999998</v>
      </c>
      <c r="AO400" s="33">
        <v>293004.25961336005</v>
      </c>
      <c r="AP400" s="84">
        <f>+N400-'Приложение №2'!E400</f>
        <v>0</v>
      </c>
      <c r="AQ400" s="1">
        <v>449941.2</v>
      </c>
      <c r="AR400" s="1">
        <f t="shared" si="168"/>
        <v>139638</v>
      </c>
      <c r="AS400" s="1">
        <f t="shared" si="169"/>
        <v>4928400</v>
      </c>
      <c r="AT400" s="29">
        <f t="shared" si="149"/>
        <v>-4040696.8275600001</v>
      </c>
      <c r="AU400" s="29">
        <f>+P400-'[6]Приложение №1'!$P380</f>
        <v>0</v>
      </c>
      <c r="AV400" s="29">
        <f>+Q400-'[6]Приложение №1'!$Q380</f>
        <v>0</v>
      </c>
      <c r="AW400" s="29">
        <f>+R400-'[6]Приложение №1'!$R380</f>
        <v>0</v>
      </c>
      <c r="AX400" s="29">
        <f>+S400-'[6]Приложение №1'!$S380</f>
        <v>0</v>
      </c>
      <c r="AY400" s="29">
        <f>+T400-'[6]Приложение №1'!$T380</f>
        <v>0</v>
      </c>
    </row>
    <row r="401" spans="1:51" x14ac:dyDescent="0.25">
      <c r="A401" s="135">
        <f t="shared" si="164"/>
        <v>384</v>
      </c>
      <c r="B401" s="134">
        <f t="shared" si="164"/>
        <v>196</v>
      </c>
      <c r="C401" s="77" t="s">
        <v>50</v>
      </c>
      <c r="D401" s="77" t="s">
        <v>498</v>
      </c>
      <c r="E401" s="78">
        <v>1967</v>
      </c>
      <c r="F401" s="78">
        <v>2013</v>
      </c>
      <c r="G401" s="78" t="s">
        <v>44</v>
      </c>
      <c r="H401" s="78">
        <v>3</v>
      </c>
      <c r="I401" s="78">
        <v>3</v>
      </c>
      <c r="J401" s="44">
        <v>1661.3</v>
      </c>
      <c r="K401" s="44">
        <v>1287.5999999999999</v>
      </c>
      <c r="L401" s="44">
        <v>250.7</v>
      </c>
      <c r="M401" s="79">
        <v>74</v>
      </c>
      <c r="N401" s="72">
        <f t="shared" si="166"/>
        <v>1889068.518868</v>
      </c>
      <c r="O401" s="44"/>
      <c r="P401" s="68"/>
      <c r="Q401" s="68"/>
      <c r="R401" s="68">
        <f t="shared" si="165"/>
        <v>899609.91</v>
      </c>
      <c r="S401" s="68">
        <f>+'Приложение №2'!E401-'Приложение №1'!R401</f>
        <v>989458.60886799998</v>
      </c>
      <c r="T401" s="68">
        <v>0</v>
      </c>
      <c r="U401" s="44">
        <f t="shared" si="167"/>
        <v>1228.0234797295716</v>
      </c>
      <c r="V401" s="44">
        <f t="shared" si="167"/>
        <v>1228.0234797295716</v>
      </c>
      <c r="W401" s="80">
        <v>2023</v>
      </c>
      <c r="X401" s="29" t="e">
        <f>+#REF!-'[1]Приложение №1'!$P1593</f>
        <v>#REF!</v>
      </c>
      <c r="Z401" s="31">
        <f t="shared" si="163"/>
        <v>14747148.670000002</v>
      </c>
      <c r="AA401" s="27">
        <v>5828747.4672991196</v>
      </c>
      <c r="AB401" s="27">
        <v>3546676.3733486403</v>
      </c>
      <c r="AC401" s="27">
        <v>1671246.17812992</v>
      </c>
      <c r="AD401" s="27">
        <v>1424243.59065324</v>
      </c>
      <c r="AE401" s="27">
        <v>0</v>
      </c>
      <c r="AF401" s="27"/>
      <c r="AG401" s="27">
        <v>497262.94218215998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1347912.8755000001</v>
      </c>
      <c r="AN401" s="32">
        <v>147471.48670000001</v>
      </c>
      <c r="AO401" s="33">
        <v>283587.75618692004</v>
      </c>
      <c r="AP401" s="84">
        <f>+N401-'Приложение №2'!E401</f>
        <v>0</v>
      </c>
      <c r="AQ401" s="1">
        <v>717131.91</v>
      </c>
      <c r="AR401" s="1">
        <f t="shared" si="168"/>
        <v>182478</v>
      </c>
      <c r="AS401" s="1">
        <f t="shared" si="169"/>
        <v>6440400</v>
      </c>
      <c r="AT401" s="29">
        <f t="shared" si="149"/>
        <v>-5450941.3911319999</v>
      </c>
      <c r="AU401" s="29">
        <f>+P401-'[6]Приложение №1'!$P381</f>
        <v>0</v>
      </c>
      <c r="AV401" s="29">
        <f>+Q401-'[6]Приложение №1'!$Q381</f>
        <v>0</v>
      </c>
      <c r="AW401" s="29">
        <f>+R401-'[6]Приложение №1'!$R381</f>
        <v>0</v>
      </c>
      <c r="AX401" s="29">
        <f>+S401-'[6]Приложение №1'!$S381</f>
        <v>0</v>
      </c>
      <c r="AY401" s="29">
        <f>+T401-'[6]Приложение №1'!$T381</f>
        <v>0</v>
      </c>
    </row>
    <row r="402" spans="1:51" x14ac:dyDescent="0.25">
      <c r="A402" s="135">
        <f t="shared" si="164"/>
        <v>385</v>
      </c>
      <c r="B402" s="134">
        <f t="shared" si="164"/>
        <v>197</v>
      </c>
      <c r="C402" s="77" t="s">
        <v>50</v>
      </c>
      <c r="D402" s="77" t="s">
        <v>499</v>
      </c>
      <c r="E402" s="78">
        <v>1969</v>
      </c>
      <c r="F402" s="78">
        <v>1969</v>
      </c>
      <c r="G402" s="78" t="s">
        <v>44</v>
      </c>
      <c r="H402" s="78">
        <v>4</v>
      </c>
      <c r="I402" s="78">
        <v>2</v>
      </c>
      <c r="J402" s="44">
        <v>1357.7</v>
      </c>
      <c r="K402" s="44">
        <v>1089.9000000000001</v>
      </c>
      <c r="L402" s="44">
        <v>150.80000000000001</v>
      </c>
      <c r="M402" s="79">
        <v>48</v>
      </c>
      <c r="N402" s="72">
        <f t="shared" si="166"/>
        <v>1536021.1428999999</v>
      </c>
      <c r="O402" s="44"/>
      <c r="P402" s="68"/>
      <c r="Q402" s="68"/>
      <c r="R402" s="68">
        <f t="shared" si="165"/>
        <v>626793.46</v>
      </c>
      <c r="S402" s="68">
        <f>+'Приложение №2'!E402-'Приложение №1'!R402</f>
        <v>909227.6828999999</v>
      </c>
      <c r="T402" s="68">
        <v>0</v>
      </c>
      <c r="U402" s="44">
        <f t="shared" si="167"/>
        <v>1238.0278414604657</v>
      </c>
      <c r="V402" s="44">
        <f t="shared" si="167"/>
        <v>1238.0278414604657</v>
      </c>
      <c r="W402" s="80">
        <v>2023</v>
      </c>
      <c r="X402" s="29" t="e">
        <f>+#REF!-'[1]Приложение №1'!$P1595</f>
        <v>#REF!</v>
      </c>
      <c r="Z402" s="31">
        <f t="shared" si="163"/>
        <v>8198144.5299999993</v>
      </c>
      <c r="AA402" s="27">
        <v>3559333.0036773602</v>
      </c>
      <c r="AB402" s="27">
        <v>1305216.9162526201</v>
      </c>
      <c r="AC402" s="27">
        <v>1363645.3966245598</v>
      </c>
      <c r="AD402" s="27">
        <v>853744.33726847998</v>
      </c>
      <c r="AE402" s="27">
        <v>0</v>
      </c>
      <c r="AF402" s="27"/>
      <c r="AG402" s="27">
        <v>117503.58224136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759282.60640000005</v>
      </c>
      <c r="AN402" s="32">
        <v>81981.445299999992</v>
      </c>
      <c r="AO402" s="33">
        <v>157437.24223562001</v>
      </c>
      <c r="AP402" s="84">
        <f>+N402-'Приложение №2'!E402</f>
        <v>0</v>
      </c>
      <c r="AQ402" s="1">
        <v>484860.46</v>
      </c>
      <c r="AR402" s="1">
        <f t="shared" si="168"/>
        <v>141933</v>
      </c>
      <c r="AS402" s="1">
        <f t="shared" si="169"/>
        <v>5009400</v>
      </c>
      <c r="AT402" s="29">
        <f t="shared" si="149"/>
        <v>-4100172.3171000001</v>
      </c>
      <c r="AU402" s="29">
        <f>+P402-'[6]Приложение №1'!$P382</f>
        <v>0</v>
      </c>
      <c r="AV402" s="29">
        <f>+Q402-'[6]Приложение №1'!$Q382</f>
        <v>0</v>
      </c>
      <c r="AW402" s="29">
        <f>+R402-'[6]Приложение №1'!$R382</f>
        <v>0</v>
      </c>
      <c r="AX402" s="29">
        <f>+S402-'[6]Приложение №1'!$S382</f>
        <v>0</v>
      </c>
      <c r="AY402" s="29">
        <f>+T402-'[6]Приложение №1'!$T382</f>
        <v>0</v>
      </c>
    </row>
    <row r="403" spans="1:51" x14ac:dyDescent="0.25">
      <c r="A403" s="135">
        <f t="shared" si="164"/>
        <v>386</v>
      </c>
      <c r="B403" s="134">
        <f t="shared" si="164"/>
        <v>198</v>
      </c>
      <c r="C403" s="77" t="s">
        <v>50</v>
      </c>
      <c r="D403" s="77" t="s">
        <v>500</v>
      </c>
      <c r="E403" s="78">
        <v>1972</v>
      </c>
      <c r="F403" s="78">
        <v>1972</v>
      </c>
      <c r="G403" s="78" t="s">
        <v>44</v>
      </c>
      <c r="H403" s="78">
        <v>4</v>
      </c>
      <c r="I403" s="78">
        <v>2</v>
      </c>
      <c r="J403" s="44">
        <v>1419.91</v>
      </c>
      <c r="K403" s="44">
        <v>1089.9100000000001</v>
      </c>
      <c r="L403" s="44">
        <v>330</v>
      </c>
      <c r="M403" s="79">
        <v>53</v>
      </c>
      <c r="N403" s="72">
        <f t="shared" si="166"/>
        <v>1344004.72</v>
      </c>
      <c r="O403" s="44"/>
      <c r="P403" s="68"/>
      <c r="Q403" s="68"/>
      <c r="R403" s="68">
        <f t="shared" si="165"/>
        <v>992178.5199999999</v>
      </c>
      <c r="S403" s="68">
        <f>+'Приложение №2'!E403-'Приложение №1'!R403</f>
        <v>351826.20000000007</v>
      </c>
      <c r="T403" s="68">
        <v>0</v>
      </c>
      <c r="U403" s="44">
        <f t="shared" si="167"/>
        <v>946.54218929368756</v>
      </c>
      <c r="V403" s="44">
        <f t="shared" si="167"/>
        <v>946.54218929368756</v>
      </c>
      <c r="W403" s="80">
        <v>2023</v>
      </c>
      <c r="X403" s="29" t="e">
        <f>+#REF!-'[1]Приложение №1'!$P1599</f>
        <v>#REF!</v>
      </c>
      <c r="Z403" s="31">
        <f t="shared" si="163"/>
        <v>7184246.7200000016</v>
      </c>
      <c r="AA403" s="27">
        <v>3119135.8409757004</v>
      </c>
      <c r="AB403" s="27">
        <v>1143795.4428423601</v>
      </c>
      <c r="AC403" s="27">
        <v>1194997.8356148002</v>
      </c>
      <c r="AD403" s="27">
        <v>748158.30905759998</v>
      </c>
      <c r="AE403" s="27">
        <v>0</v>
      </c>
      <c r="AF403" s="27"/>
      <c r="AG403" s="27">
        <v>102971.44054764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665379.04429999995</v>
      </c>
      <c r="AN403" s="32">
        <v>71842.467199999999</v>
      </c>
      <c r="AO403" s="33">
        <v>137966.3394619</v>
      </c>
      <c r="AP403" s="84">
        <f>+N403-'Приложение №2'!E403</f>
        <v>0</v>
      </c>
      <c r="AQ403" s="1">
        <v>813687.7</v>
      </c>
      <c r="AR403" s="1">
        <f t="shared" si="168"/>
        <v>178490.81999999998</v>
      </c>
      <c r="AS403" s="1">
        <f t="shared" si="169"/>
        <v>6299675.9999999991</v>
      </c>
      <c r="AT403" s="29">
        <f t="shared" si="149"/>
        <v>-5947849.7999999989</v>
      </c>
      <c r="AU403" s="29">
        <f>+P403-'[6]Приложение №1'!$P383</f>
        <v>0</v>
      </c>
      <c r="AV403" s="29">
        <f>+Q403-'[6]Приложение №1'!$Q383</f>
        <v>0</v>
      </c>
      <c r="AW403" s="29">
        <f>+R403-'[6]Приложение №1'!$R383</f>
        <v>0</v>
      </c>
      <c r="AX403" s="29">
        <f>+S403-'[6]Приложение №1'!$S383</f>
        <v>0</v>
      </c>
      <c r="AY403" s="29">
        <f>+T403-'[6]Приложение №1'!$T383</f>
        <v>0</v>
      </c>
    </row>
    <row r="404" spans="1:51" x14ac:dyDescent="0.25">
      <c r="A404" s="135">
        <f t="shared" si="164"/>
        <v>387</v>
      </c>
      <c r="B404" s="134">
        <f t="shared" si="164"/>
        <v>199</v>
      </c>
      <c r="C404" s="77" t="s">
        <v>50</v>
      </c>
      <c r="D404" s="77" t="s">
        <v>501</v>
      </c>
      <c r="E404" s="78">
        <v>1969</v>
      </c>
      <c r="F404" s="78">
        <v>1969</v>
      </c>
      <c r="G404" s="78" t="s">
        <v>44</v>
      </c>
      <c r="H404" s="78">
        <v>4</v>
      </c>
      <c r="I404" s="78">
        <v>2</v>
      </c>
      <c r="J404" s="44">
        <v>1375</v>
      </c>
      <c r="K404" s="44">
        <v>1257.0999999999999</v>
      </c>
      <c r="L404" s="44">
        <v>0</v>
      </c>
      <c r="M404" s="79">
        <v>53</v>
      </c>
      <c r="N404" s="72">
        <f t="shared" si="166"/>
        <v>1553171.629552</v>
      </c>
      <c r="O404" s="44"/>
      <c r="P404" s="68"/>
      <c r="Q404" s="68"/>
      <c r="R404" s="68">
        <f t="shared" si="165"/>
        <v>727887.47</v>
      </c>
      <c r="S404" s="68">
        <f>+'Приложение №2'!E404-'Приложение №1'!R404</f>
        <v>825284.159552</v>
      </c>
      <c r="T404" s="68">
        <v>0</v>
      </c>
      <c r="U404" s="44">
        <f t="shared" si="167"/>
        <v>1235.519552582929</v>
      </c>
      <c r="V404" s="44">
        <f t="shared" si="167"/>
        <v>1235.519552582929</v>
      </c>
      <c r="W404" s="80">
        <v>2023</v>
      </c>
      <c r="X404" s="29" t="e">
        <f>+#REF!-'[1]Приложение №1'!$P1601</f>
        <v>#REF!</v>
      </c>
      <c r="Z404" s="31">
        <f t="shared" si="163"/>
        <v>15991596.719999999</v>
      </c>
      <c r="AA404" s="27">
        <v>3602237.2105683601</v>
      </c>
      <c r="AB404" s="27">
        <v>1320950.0034994199</v>
      </c>
      <c r="AC404" s="27">
        <v>1380082.7808234601</v>
      </c>
      <c r="AD404" s="27">
        <v>864035.37315648003</v>
      </c>
      <c r="AE404" s="27">
        <v>0</v>
      </c>
      <c r="AF404" s="27"/>
      <c r="AG404" s="27">
        <v>118919.97069456</v>
      </c>
      <c r="AH404" s="27">
        <v>0</v>
      </c>
      <c r="AI404" s="27">
        <v>6776969.9586876007</v>
      </c>
      <c r="AJ404" s="27">
        <v>0</v>
      </c>
      <c r="AK404" s="27">
        <v>0</v>
      </c>
      <c r="AL404" s="27">
        <v>0</v>
      </c>
      <c r="AM404" s="27">
        <v>1460951.8569999998</v>
      </c>
      <c r="AN404" s="32">
        <v>159915.96719999998</v>
      </c>
      <c r="AO404" s="33">
        <v>307533.59837011999</v>
      </c>
      <c r="AP404" s="84">
        <f>+N404-'Приложение №2'!E404</f>
        <v>0</v>
      </c>
      <c r="AQ404" s="1">
        <v>599663.27</v>
      </c>
      <c r="AR404" s="1">
        <f t="shared" si="168"/>
        <v>128224.2</v>
      </c>
      <c r="AS404" s="1">
        <f t="shared" si="169"/>
        <v>4525560</v>
      </c>
      <c r="AT404" s="29">
        <f t="shared" si="149"/>
        <v>-3700275.840448</v>
      </c>
      <c r="AU404" s="29">
        <f>+P404-'[6]Приложение №1'!$P384</f>
        <v>0</v>
      </c>
      <c r="AV404" s="29">
        <f>+Q404-'[6]Приложение №1'!$Q384</f>
        <v>0</v>
      </c>
      <c r="AW404" s="29">
        <f>+R404-'[6]Приложение №1'!$R384</f>
        <v>0</v>
      </c>
      <c r="AX404" s="29">
        <f>+S404-'[6]Приложение №1'!$S384</f>
        <v>0</v>
      </c>
      <c r="AY404" s="29">
        <f>+T404-'[6]Приложение №1'!$T384</f>
        <v>0</v>
      </c>
    </row>
    <row r="405" spans="1:51" x14ac:dyDescent="0.25">
      <c r="A405" s="135">
        <f t="shared" si="164"/>
        <v>388</v>
      </c>
      <c r="B405" s="134">
        <f t="shared" si="164"/>
        <v>200</v>
      </c>
      <c r="C405" s="77" t="s">
        <v>50</v>
      </c>
      <c r="D405" s="77" t="s">
        <v>502</v>
      </c>
      <c r="E405" s="78">
        <v>1971</v>
      </c>
      <c r="F405" s="78">
        <v>1971</v>
      </c>
      <c r="G405" s="78" t="s">
        <v>44</v>
      </c>
      <c r="H405" s="78">
        <v>4</v>
      </c>
      <c r="I405" s="78">
        <v>2</v>
      </c>
      <c r="J405" s="44">
        <v>1403.6</v>
      </c>
      <c r="K405" s="44">
        <v>1280.0999999999999</v>
      </c>
      <c r="L405" s="44">
        <v>42.7</v>
      </c>
      <c r="M405" s="79">
        <v>67</v>
      </c>
      <c r="N405" s="72">
        <f t="shared" si="166"/>
        <v>1527666.804064</v>
      </c>
      <c r="O405" s="44"/>
      <c r="P405" s="68"/>
      <c r="Q405" s="68"/>
      <c r="R405" s="68">
        <f t="shared" si="165"/>
        <v>685177.66</v>
      </c>
      <c r="S405" s="68">
        <f>+'Приложение №2'!E405-'Приложение №1'!R405</f>
        <v>842489.14406399999</v>
      </c>
      <c r="T405" s="68">
        <v>0</v>
      </c>
      <c r="U405" s="44">
        <f t="shared" si="167"/>
        <v>1154.8736045237376</v>
      </c>
      <c r="V405" s="44">
        <f t="shared" si="167"/>
        <v>1154.8736045237376</v>
      </c>
      <c r="W405" s="80">
        <v>2023</v>
      </c>
      <c r="X405" s="29" t="e">
        <f>+#REF!-'[1]Приложение №1'!$P1602</f>
        <v>#REF!</v>
      </c>
      <c r="Z405" s="31">
        <f t="shared" si="163"/>
        <v>9191213.3916225992</v>
      </c>
      <c r="AA405" s="27">
        <v>3593084.3130982798</v>
      </c>
      <c r="AB405" s="27">
        <v>1317593.61677916</v>
      </c>
      <c r="AC405" s="27">
        <v>1376576.13711912</v>
      </c>
      <c r="AD405" s="27">
        <v>861839.95216703997</v>
      </c>
      <c r="AE405" s="27">
        <v>0</v>
      </c>
      <c r="AF405" s="27"/>
      <c r="AG405" s="27">
        <v>118617.80974259999</v>
      </c>
      <c r="AH405" s="27">
        <v>0</v>
      </c>
      <c r="AI405" s="27"/>
      <c r="AJ405" s="27">
        <v>0</v>
      </c>
      <c r="AK405" s="27">
        <v>0</v>
      </c>
      <c r="AL405" s="27">
        <v>0</v>
      </c>
      <c r="AM405" s="27">
        <v>1457239.736</v>
      </c>
      <c r="AN405" s="32">
        <v>159509.63800000001</v>
      </c>
      <c r="AO405" s="33">
        <v>306752.18871640007</v>
      </c>
      <c r="AP405" s="84">
        <f>+N405-'Приложение №2'!E405</f>
        <v>0</v>
      </c>
      <c r="AQ405" s="1">
        <v>545896.66</v>
      </c>
      <c r="AR405" s="1">
        <f t="shared" si="168"/>
        <v>139281</v>
      </c>
      <c r="AS405" s="1">
        <f t="shared" si="169"/>
        <v>4915800</v>
      </c>
      <c r="AT405" s="29">
        <f t="shared" si="149"/>
        <v>-4073310.8559360001</v>
      </c>
      <c r="AU405" s="29">
        <f>+P405-'[6]Приложение №1'!$P385</f>
        <v>0</v>
      </c>
      <c r="AV405" s="29">
        <f>+Q405-'[6]Приложение №1'!$Q385</f>
        <v>0</v>
      </c>
      <c r="AW405" s="29">
        <f>+R405-'[6]Приложение №1'!$R385</f>
        <v>0</v>
      </c>
      <c r="AX405" s="29">
        <f>+S405-'[6]Приложение №1'!$S385</f>
        <v>0</v>
      </c>
      <c r="AY405" s="29">
        <f>+T405-'[6]Приложение №1'!$T385</f>
        <v>0</v>
      </c>
    </row>
    <row r="406" spans="1:51" x14ac:dyDescent="0.25">
      <c r="A406" s="135">
        <f t="shared" si="164"/>
        <v>389</v>
      </c>
      <c r="B406" s="134">
        <f t="shared" si="164"/>
        <v>201</v>
      </c>
      <c r="C406" s="77" t="s">
        <v>50</v>
      </c>
      <c r="D406" s="77" t="s">
        <v>504</v>
      </c>
      <c r="E406" s="78">
        <v>1970</v>
      </c>
      <c r="F406" s="78">
        <v>2015</v>
      </c>
      <c r="G406" s="78" t="s">
        <v>44</v>
      </c>
      <c r="H406" s="78">
        <v>4</v>
      </c>
      <c r="I406" s="78">
        <v>2</v>
      </c>
      <c r="J406" s="44">
        <v>1391.9</v>
      </c>
      <c r="K406" s="44">
        <v>1360</v>
      </c>
      <c r="L406" s="44">
        <v>0</v>
      </c>
      <c r="M406" s="79">
        <v>56</v>
      </c>
      <c r="N406" s="72">
        <f t="shared" si="166"/>
        <v>13671731.356000001</v>
      </c>
      <c r="O406" s="44"/>
      <c r="P406" s="68">
        <v>2814922.1966666668</v>
      </c>
      <c r="Q406" s="68"/>
      <c r="R406" s="68">
        <f t="shared" si="165"/>
        <v>710136.45</v>
      </c>
      <c r="S406" s="68">
        <f>+AS406</f>
        <v>4896000</v>
      </c>
      <c r="T406" s="68">
        <f>+'Приложение №2'!E406-'Приложение №1'!P406-'Приложение №1'!Q406-'Приложение №1'!R406-'Приложение №1'!S406</f>
        <v>5250672.7093333341</v>
      </c>
      <c r="U406" s="44">
        <f t="shared" si="167"/>
        <v>10052.743644117647</v>
      </c>
      <c r="V406" s="44">
        <f t="shared" si="167"/>
        <v>10052.743644117647</v>
      </c>
      <c r="W406" s="80">
        <v>2023</v>
      </c>
      <c r="X406" s="29" t="e">
        <f>+#REF!-'[1]Приложение №1'!$P1605</f>
        <v>#REF!</v>
      </c>
      <c r="Z406" s="31">
        <f t="shared" si="163"/>
        <v>16410623.789999999</v>
      </c>
      <c r="AA406" s="27">
        <v>3696626.46572856</v>
      </c>
      <c r="AB406" s="27">
        <v>1355562.7954423798</v>
      </c>
      <c r="AC406" s="27">
        <v>1416245.0260610401</v>
      </c>
      <c r="AD406" s="27">
        <v>886675.65211008</v>
      </c>
      <c r="AE406" s="27">
        <v>0</v>
      </c>
      <c r="AF406" s="27"/>
      <c r="AG406" s="27">
        <v>122036.02529159999</v>
      </c>
      <c r="AH406" s="27">
        <v>0</v>
      </c>
      <c r="AI406" s="27">
        <v>6954546.5894267997</v>
      </c>
      <c r="AJ406" s="27">
        <v>0</v>
      </c>
      <c r="AK406" s="27">
        <v>0</v>
      </c>
      <c r="AL406" s="27">
        <v>0</v>
      </c>
      <c r="AM406" s="27">
        <v>1499233.111</v>
      </c>
      <c r="AN406" s="32">
        <v>164106.23790000001</v>
      </c>
      <c r="AO406" s="33">
        <v>315591.88703953999</v>
      </c>
      <c r="AP406" s="84">
        <f>+N406-'Приложение №2'!E406</f>
        <v>0</v>
      </c>
      <c r="AQ406" s="1">
        <v>571416.44999999995</v>
      </c>
      <c r="AR406" s="1">
        <f t="shared" si="168"/>
        <v>138720</v>
      </c>
      <c r="AS406" s="1">
        <f t="shared" si="169"/>
        <v>4896000</v>
      </c>
      <c r="AT406" s="29">
        <f t="shared" si="149"/>
        <v>0</v>
      </c>
      <c r="AU406" s="29">
        <f>+P406-'[6]Приложение №1'!$P386</f>
        <v>0</v>
      </c>
      <c r="AV406" s="29">
        <f>+Q406-'[6]Приложение №1'!$Q386</f>
        <v>0</v>
      </c>
      <c r="AW406" s="29">
        <f>+R406-'[6]Приложение №1'!$R386</f>
        <v>0</v>
      </c>
      <c r="AX406" s="29">
        <f>+S406-'[6]Приложение №1'!$S386</f>
        <v>0</v>
      </c>
      <c r="AY406" s="29">
        <f>+T406-'[6]Приложение №1'!$T386</f>
        <v>0</v>
      </c>
    </row>
    <row r="407" spans="1:51" x14ac:dyDescent="0.25">
      <c r="A407" s="135">
        <f t="shared" si="164"/>
        <v>390</v>
      </c>
      <c r="B407" s="134">
        <f t="shared" si="164"/>
        <v>202</v>
      </c>
      <c r="C407" s="77" t="s">
        <v>50</v>
      </c>
      <c r="D407" s="77" t="s">
        <v>505</v>
      </c>
      <c r="E407" s="78">
        <v>1970</v>
      </c>
      <c r="F407" s="78">
        <v>2015</v>
      </c>
      <c r="G407" s="78" t="s">
        <v>44</v>
      </c>
      <c r="H407" s="78">
        <v>4</v>
      </c>
      <c r="I407" s="78">
        <v>3</v>
      </c>
      <c r="J407" s="44">
        <v>2337.1999999999998</v>
      </c>
      <c r="K407" s="44">
        <v>1988.4</v>
      </c>
      <c r="L407" s="44">
        <v>46.7</v>
      </c>
      <c r="M407" s="79">
        <v>101</v>
      </c>
      <c r="N407" s="72">
        <f t="shared" si="166"/>
        <v>24002564.1494</v>
      </c>
      <c r="O407" s="44"/>
      <c r="P407" s="68">
        <v>5180548.3166666673</v>
      </c>
      <c r="Q407" s="68"/>
      <c r="R407" s="68">
        <f t="shared" si="165"/>
        <v>1173314.25</v>
      </c>
      <c r="S407" s="68">
        <f>+AS407</f>
        <v>7494480</v>
      </c>
      <c r="T407" s="68">
        <f>+'Приложение №2'!E407-'Приложение №1'!P407-'Приложение №1'!Q407-'Приложение №1'!R407-'Приложение №1'!S407</f>
        <v>10154221.582733333</v>
      </c>
      <c r="U407" s="44">
        <f t="shared" si="167"/>
        <v>11794.292245786446</v>
      </c>
      <c r="V407" s="44">
        <f t="shared" si="167"/>
        <v>11794.292245786446</v>
      </c>
      <c r="W407" s="80">
        <v>2023</v>
      </c>
      <c r="X407" s="29" t="e">
        <f>+#REF!-'[1]Приложение №1'!$P1606</f>
        <v>#REF!</v>
      </c>
      <c r="Z407" s="31">
        <f t="shared" si="163"/>
        <v>25877715.080000002</v>
      </c>
      <c r="AA407" s="27">
        <v>5829165.7651718399</v>
      </c>
      <c r="AB407" s="27">
        <v>2137570.6530305399</v>
      </c>
      <c r="AC407" s="27">
        <v>2233259.7213103799</v>
      </c>
      <c r="AD407" s="27">
        <v>1398188.1572114399</v>
      </c>
      <c r="AE407" s="27">
        <v>0</v>
      </c>
      <c r="AF407" s="27"/>
      <c r="AG407" s="27">
        <v>192437.14870883999</v>
      </c>
      <c r="AH407" s="27">
        <v>0</v>
      </c>
      <c r="AI407" s="27">
        <v>10966540.7948166</v>
      </c>
      <c r="AJ407" s="27">
        <v>0</v>
      </c>
      <c r="AK407" s="27">
        <v>0</v>
      </c>
      <c r="AL407" s="27">
        <v>0</v>
      </c>
      <c r="AM407" s="27">
        <v>2364122.6418000003</v>
      </c>
      <c r="AN407" s="32">
        <v>258777.15079999997</v>
      </c>
      <c r="AO407" s="33">
        <v>497653.04715035995</v>
      </c>
      <c r="AP407" s="84">
        <f>+N407-'Приложение №2'!E407</f>
        <v>0</v>
      </c>
      <c r="AQ407" s="1">
        <v>960970.65</v>
      </c>
      <c r="AR407" s="1">
        <f t="shared" si="168"/>
        <v>212343.6</v>
      </c>
      <c r="AS407" s="1">
        <f t="shared" si="169"/>
        <v>7494480</v>
      </c>
      <c r="AT407" s="29">
        <f t="shared" si="149"/>
        <v>0</v>
      </c>
      <c r="AU407" s="29">
        <f>+P407-'[6]Приложение №1'!$P387</f>
        <v>0</v>
      </c>
      <c r="AV407" s="29">
        <f>+Q407-'[6]Приложение №1'!$Q387</f>
        <v>0</v>
      </c>
      <c r="AW407" s="29">
        <f>+R407-'[6]Приложение №1'!$R387</f>
        <v>0</v>
      </c>
      <c r="AX407" s="29">
        <f>+S407-'[6]Приложение №1'!$S387</f>
        <v>0</v>
      </c>
      <c r="AY407" s="29">
        <f>+T407-'[6]Приложение №1'!$T387</f>
        <v>0</v>
      </c>
    </row>
    <row r="408" spans="1:51" x14ac:dyDescent="0.25">
      <c r="A408" s="135">
        <f t="shared" ref="A408:B423" si="170">+A407+1</f>
        <v>391</v>
      </c>
      <c r="B408" s="134">
        <f t="shared" si="170"/>
        <v>203</v>
      </c>
      <c r="C408" s="77" t="s">
        <v>50</v>
      </c>
      <c r="D408" s="77" t="s">
        <v>506</v>
      </c>
      <c r="E408" s="78">
        <v>1971</v>
      </c>
      <c r="F408" s="78">
        <v>2015</v>
      </c>
      <c r="G408" s="78" t="s">
        <v>44</v>
      </c>
      <c r="H408" s="78">
        <v>4</v>
      </c>
      <c r="I408" s="78">
        <v>1</v>
      </c>
      <c r="J408" s="44">
        <v>2344</v>
      </c>
      <c r="K408" s="44">
        <v>1634.9</v>
      </c>
      <c r="L408" s="44">
        <v>427.9</v>
      </c>
      <c r="M408" s="79">
        <v>68</v>
      </c>
      <c r="N408" s="72">
        <f t="shared" si="166"/>
        <v>2465306.1624440001</v>
      </c>
      <c r="O408" s="44"/>
      <c r="P408" s="68"/>
      <c r="Q408" s="68"/>
      <c r="R408" s="68">
        <f t="shared" si="165"/>
        <v>1469363.46</v>
      </c>
      <c r="S408" s="68">
        <f>+'Приложение №2'!E408-'Приложение №1'!R408</f>
        <v>995942.70244400017</v>
      </c>
      <c r="T408" s="68">
        <v>0</v>
      </c>
      <c r="U408" s="44">
        <f t="shared" si="167"/>
        <v>1195.126121021912</v>
      </c>
      <c r="V408" s="44">
        <f t="shared" si="167"/>
        <v>1195.126121021912</v>
      </c>
      <c r="W408" s="80">
        <v>2023</v>
      </c>
      <c r="X408" s="29" t="e">
        <f>+#REF!-'[1]Приложение №1'!$P1607</f>
        <v>#REF!</v>
      </c>
      <c r="Z408" s="31">
        <f t="shared" si="163"/>
        <v>25262253.210000001</v>
      </c>
      <c r="AA408" s="27">
        <v>5690527.9739763001</v>
      </c>
      <c r="AB408" s="27">
        <v>2086731.8051672401</v>
      </c>
      <c r="AC408" s="27">
        <v>2180145.0619355398</v>
      </c>
      <c r="AD408" s="27">
        <v>1364934.3932783997</v>
      </c>
      <c r="AE408" s="27">
        <v>0</v>
      </c>
      <c r="AF408" s="27"/>
      <c r="AG408" s="27">
        <v>187860.32184275999</v>
      </c>
      <c r="AH408" s="27">
        <v>0</v>
      </c>
      <c r="AI408" s="27">
        <v>10705718.389564799</v>
      </c>
      <c r="AJ408" s="27">
        <v>0</v>
      </c>
      <c r="AK408" s="27">
        <v>0</v>
      </c>
      <c r="AL408" s="27">
        <v>0</v>
      </c>
      <c r="AM408" s="27">
        <v>2307895.6014999999</v>
      </c>
      <c r="AN408" s="32">
        <v>252622.53210000001</v>
      </c>
      <c r="AO408" s="33">
        <v>485817.13063496002</v>
      </c>
      <c r="AP408" s="84">
        <f>+N408-'Приложение №2'!E408</f>
        <v>0</v>
      </c>
      <c r="AQ408" s="1">
        <v>1215312.06</v>
      </c>
      <c r="AR408" s="1">
        <f t="shared" si="168"/>
        <v>254051.4</v>
      </c>
      <c r="AS408" s="1">
        <f t="shared" si="169"/>
        <v>8966520</v>
      </c>
      <c r="AT408" s="29">
        <f t="shared" ref="AT408:AT471" si="171">+S408-AS408</f>
        <v>-7970577.2975559998</v>
      </c>
      <c r="AU408" s="29">
        <f>+P408-'[6]Приложение №1'!$P388</f>
        <v>0</v>
      </c>
      <c r="AV408" s="29">
        <f>+Q408-'[6]Приложение №1'!$Q388</f>
        <v>0</v>
      </c>
      <c r="AW408" s="29">
        <f>+R408-'[6]Приложение №1'!$R388</f>
        <v>0</v>
      </c>
      <c r="AX408" s="29">
        <f>+S408-'[6]Приложение №1'!$S388</f>
        <v>0</v>
      </c>
      <c r="AY408" s="29">
        <f>+T408-'[6]Приложение №1'!$T388</f>
        <v>0</v>
      </c>
    </row>
    <row r="409" spans="1:51" x14ac:dyDescent="0.25">
      <c r="A409" s="135">
        <f t="shared" si="170"/>
        <v>392</v>
      </c>
      <c r="B409" s="134">
        <f t="shared" si="170"/>
        <v>204</v>
      </c>
      <c r="C409" s="77" t="s">
        <v>50</v>
      </c>
      <c r="D409" s="77" t="s">
        <v>507</v>
      </c>
      <c r="E409" s="78">
        <v>1970</v>
      </c>
      <c r="F409" s="78">
        <v>2015</v>
      </c>
      <c r="G409" s="78" t="s">
        <v>44</v>
      </c>
      <c r="H409" s="78">
        <v>4</v>
      </c>
      <c r="I409" s="78">
        <v>2</v>
      </c>
      <c r="J409" s="44">
        <v>1403.6</v>
      </c>
      <c r="K409" s="44">
        <v>1288.25</v>
      </c>
      <c r="L409" s="44">
        <v>0</v>
      </c>
      <c r="M409" s="79">
        <v>53</v>
      </c>
      <c r="N409" s="72">
        <f t="shared" si="166"/>
        <v>1582950.1937679998</v>
      </c>
      <c r="O409" s="44"/>
      <c r="P409" s="68"/>
      <c r="Q409" s="68"/>
      <c r="R409" s="68">
        <f t="shared" si="165"/>
        <v>680832.86</v>
      </c>
      <c r="S409" s="68">
        <f>+'Приложение №2'!E409-'Приложение №1'!R409</f>
        <v>902117.33376799978</v>
      </c>
      <c r="T409" s="68">
        <v>0</v>
      </c>
      <c r="U409" s="44">
        <f t="shared" si="167"/>
        <v>1228.7600960745194</v>
      </c>
      <c r="V409" s="44">
        <f t="shared" si="167"/>
        <v>1228.7600960745194</v>
      </c>
      <c r="W409" s="80">
        <v>2023</v>
      </c>
      <c r="X409" s="29" t="e">
        <f>+#REF!-'[1]Приложение №1'!$P1611</f>
        <v>#REF!</v>
      </c>
      <c r="Z409" s="31">
        <f t="shared" si="163"/>
        <v>16293169.239999998</v>
      </c>
      <c r="AA409" s="27">
        <v>3670168.8759317403</v>
      </c>
      <c r="AB409" s="27">
        <v>1345860.7249735198</v>
      </c>
      <c r="AC409" s="27">
        <v>1406108.636961</v>
      </c>
      <c r="AD409" s="27">
        <v>880329.51331247995</v>
      </c>
      <c r="AE409" s="27">
        <v>0</v>
      </c>
      <c r="AF409" s="27"/>
      <c r="AG409" s="27">
        <v>121162.59054059999</v>
      </c>
      <c r="AH409" s="27">
        <v>0</v>
      </c>
      <c r="AI409" s="27">
        <v>6904771.3217195999</v>
      </c>
      <c r="AJ409" s="27">
        <v>0</v>
      </c>
      <c r="AK409" s="27">
        <v>0</v>
      </c>
      <c r="AL409" s="27">
        <v>0</v>
      </c>
      <c r="AM409" s="27">
        <v>1488502.7597000001</v>
      </c>
      <c r="AN409" s="32">
        <v>162931.6924</v>
      </c>
      <c r="AO409" s="33">
        <v>313333.12446105998</v>
      </c>
      <c r="AP409" s="84">
        <f>+N409-'Приложение №2'!E409</f>
        <v>0</v>
      </c>
      <c r="AQ409" s="1">
        <v>549431.36</v>
      </c>
      <c r="AR409" s="1">
        <f t="shared" si="168"/>
        <v>131401.5</v>
      </c>
      <c r="AS409" s="1">
        <f t="shared" si="169"/>
        <v>4637700</v>
      </c>
      <c r="AT409" s="29">
        <f t="shared" si="171"/>
        <v>-3735582.6662320001</v>
      </c>
      <c r="AU409" s="29">
        <f>+P409-'[6]Приложение №1'!$P389</f>
        <v>0</v>
      </c>
      <c r="AV409" s="29">
        <f>+Q409-'[6]Приложение №1'!$Q389</f>
        <v>0</v>
      </c>
      <c r="AW409" s="29">
        <f>+R409-'[6]Приложение №1'!$R389</f>
        <v>0</v>
      </c>
      <c r="AX409" s="29">
        <f>+S409-'[6]Приложение №1'!$S389</f>
        <v>0</v>
      </c>
      <c r="AY409" s="29">
        <f>+T409-'[6]Приложение №1'!$T389</f>
        <v>0</v>
      </c>
    </row>
    <row r="410" spans="1:51" x14ac:dyDescent="0.25">
      <c r="A410" s="135">
        <f t="shared" si="170"/>
        <v>393</v>
      </c>
      <c r="B410" s="134">
        <f t="shared" si="170"/>
        <v>205</v>
      </c>
      <c r="C410" s="77" t="s">
        <v>50</v>
      </c>
      <c r="D410" s="77" t="s">
        <v>508</v>
      </c>
      <c r="E410" s="78">
        <v>1970</v>
      </c>
      <c r="F410" s="78">
        <v>2015</v>
      </c>
      <c r="G410" s="78" t="s">
        <v>44</v>
      </c>
      <c r="H410" s="78">
        <v>4</v>
      </c>
      <c r="I410" s="78">
        <v>2</v>
      </c>
      <c r="J410" s="44">
        <v>1397.9</v>
      </c>
      <c r="K410" s="44">
        <v>1284</v>
      </c>
      <c r="L410" s="44">
        <v>0</v>
      </c>
      <c r="M410" s="79">
        <v>70</v>
      </c>
      <c r="N410" s="72">
        <f t="shared" si="166"/>
        <v>8465154.9948999994</v>
      </c>
      <c r="O410" s="44"/>
      <c r="P410" s="68">
        <v>1384853.583333333</v>
      </c>
      <c r="Q410" s="68"/>
      <c r="R410" s="68">
        <f t="shared" si="165"/>
        <v>665157.30000000005</v>
      </c>
      <c r="S410" s="68">
        <f>+AS410</f>
        <v>4622400</v>
      </c>
      <c r="T410" s="68">
        <f>+'Приложение №2'!E410-'Приложение №1'!P410-'Приложение №1'!Q410-'Приложение №1'!R410-'Приложение №1'!S410</f>
        <v>1792744.1115666665</v>
      </c>
      <c r="U410" s="44">
        <f t="shared" si="167"/>
        <v>6592.7998402647972</v>
      </c>
      <c r="V410" s="44">
        <f t="shared" si="167"/>
        <v>6592.7998402647972</v>
      </c>
      <c r="W410" s="80">
        <v>2023</v>
      </c>
      <c r="X410" s="29" t="e">
        <f>+#REF!-'[1]Приложение №1'!$P1612</f>
        <v>#REF!</v>
      </c>
      <c r="Z410" s="31">
        <f t="shared" si="163"/>
        <v>16240473.409999998</v>
      </c>
      <c r="AA410" s="27">
        <v>3658298.7075726003</v>
      </c>
      <c r="AB410" s="27">
        <v>1341507.9059104801</v>
      </c>
      <c r="AC410" s="27">
        <v>1401560.9593595399</v>
      </c>
      <c r="AD410" s="27">
        <v>877482.32671679999</v>
      </c>
      <c r="AE410" s="27">
        <v>0</v>
      </c>
      <c r="AF410" s="27"/>
      <c r="AG410" s="27">
        <v>120770.72210951999</v>
      </c>
      <c r="AH410" s="27">
        <v>0</v>
      </c>
      <c r="AI410" s="27">
        <v>6882439.7186495997</v>
      </c>
      <c r="AJ410" s="27">
        <v>0</v>
      </c>
      <c r="AK410" s="27">
        <v>0</v>
      </c>
      <c r="AL410" s="27">
        <v>0</v>
      </c>
      <c r="AM410" s="27">
        <v>1483688.602</v>
      </c>
      <c r="AN410" s="32">
        <v>162404.7341</v>
      </c>
      <c r="AO410" s="33">
        <v>312319.73358146002</v>
      </c>
      <c r="AP410" s="84">
        <f>+N410-'Приложение №2'!E410</f>
        <v>0</v>
      </c>
      <c r="AQ410" s="1">
        <v>534189.30000000005</v>
      </c>
      <c r="AR410" s="1">
        <f t="shared" si="168"/>
        <v>130968</v>
      </c>
      <c r="AS410" s="1">
        <f t="shared" si="169"/>
        <v>4622400</v>
      </c>
      <c r="AT410" s="29">
        <f t="shared" si="171"/>
        <v>0</v>
      </c>
      <c r="AU410" s="29">
        <f>+P410-'[6]Приложение №1'!$P390</f>
        <v>0</v>
      </c>
      <c r="AV410" s="29">
        <f>+Q410-'[6]Приложение №1'!$Q390</f>
        <v>0</v>
      </c>
      <c r="AW410" s="29">
        <f>+R410-'[6]Приложение №1'!$R390</f>
        <v>0</v>
      </c>
      <c r="AX410" s="29">
        <f>+S410-'[6]Приложение №1'!$S390</f>
        <v>0</v>
      </c>
      <c r="AY410" s="29">
        <f>+T410-'[6]Приложение №1'!$T390</f>
        <v>0</v>
      </c>
    </row>
    <row r="411" spans="1:51" x14ac:dyDescent="0.25">
      <c r="A411" s="135">
        <f t="shared" si="170"/>
        <v>394</v>
      </c>
      <c r="B411" s="134">
        <f t="shared" si="170"/>
        <v>206</v>
      </c>
      <c r="C411" s="77" t="s">
        <v>50</v>
      </c>
      <c r="D411" s="77" t="s">
        <v>509</v>
      </c>
      <c r="E411" s="78">
        <v>1970</v>
      </c>
      <c r="F411" s="78">
        <v>2015</v>
      </c>
      <c r="G411" s="78" t="s">
        <v>44</v>
      </c>
      <c r="H411" s="78">
        <v>4</v>
      </c>
      <c r="I411" s="78">
        <v>2</v>
      </c>
      <c r="J411" s="44">
        <v>1401</v>
      </c>
      <c r="K411" s="44">
        <v>1279.2</v>
      </c>
      <c r="L411" s="44">
        <v>0</v>
      </c>
      <c r="M411" s="79">
        <v>66</v>
      </c>
      <c r="N411" s="72">
        <f t="shared" si="166"/>
        <v>8463831.2803000007</v>
      </c>
      <c r="O411" s="44"/>
      <c r="P411" s="68">
        <v>1355261.3500000003</v>
      </c>
      <c r="Q411" s="68"/>
      <c r="R411" s="68">
        <f t="shared" si="165"/>
        <v>752711.21000000008</v>
      </c>
      <c r="S411" s="68">
        <f>+AS411</f>
        <v>4605120</v>
      </c>
      <c r="T411" s="68">
        <f>+'Приложение №2'!E411-'Приложение №1'!P411-'Приложение №1'!Q411-'Приложение №1'!R411-'Приложение №1'!S411</f>
        <v>1750738.7203000002</v>
      </c>
      <c r="U411" s="44">
        <f t="shared" si="167"/>
        <v>6616.5035024233903</v>
      </c>
      <c r="V411" s="44">
        <f t="shared" si="167"/>
        <v>6616.5035024233903</v>
      </c>
      <c r="W411" s="80">
        <v>2023</v>
      </c>
      <c r="X411" s="29" t="e">
        <f>+#REF!-'[1]Приложение №1'!$P1613</f>
        <v>#REF!</v>
      </c>
      <c r="Z411" s="31">
        <f t="shared" si="163"/>
        <v>16237933.850000001</v>
      </c>
      <c r="AA411" s="27">
        <v>3657726.6514807204</v>
      </c>
      <c r="AB411" s="27">
        <v>1341298.1279300398</v>
      </c>
      <c r="AC411" s="27">
        <v>1401341.7924949802</v>
      </c>
      <c r="AD411" s="27">
        <v>877345.11290495994</v>
      </c>
      <c r="AE411" s="27">
        <v>0</v>
      </c>
      <c r="AF411" s="27"/>
      <c r="AG411" s="27">
        <v>120751.8388482</v>
      </c>
      <c r="AH411" s="27">
        <v>0</v>
      </c>
      <c r="AI411" s="27">
        <v>6881363.4984066002</v>
      </c>
      <c r="AJ411" s="27">
        <v>0</v>
      </c>
      <c r="AK411" s="27">
        <v>0</v>
      </c>
      <c r="AL411" s="27">
        <v>0</v>
      </c>
      <c r="AM411" s="27">
        <v>1483456.594</v>
      </c>
      <c r="AN411" s="32">
        <v>162379.33850000001</v>
      </c>
      <c r="AO411" s="33">
        <v>312270.89543449995</v>
      </c>
      <c r="AP411" s="84">
        <f>+N411-'Приложение №2'!E411</f>
        <v>0</v>
      </c>
      <c r="AQ411" s="1">
        <v>622232.81000000006</v>
      </c>
      <c r="AR411" s="1">
        <f t="shared" si="168"/>
        <v>130478.39999999999</v>
      </c>
      <c r="AS411" s="1">
        <f t="shared" si="169"/>
        <v>4605120</v>
      </c>
      <c r="AT411" s="29">
        <f t="shared" si="171"/>
        <v>0</v>
      </c>
      <c r="AU411" s="29">
        <f>+P411-'[6]Приложение №1'!$P391</f>
        <v>0</v>
      </c>
      <c r="AV411" s="29">
        <f>+Q411-'[6]Приложение №1'!$Q391</f>
        <v>0</v>
      </c>
      <c r="AW411" s="29">
        <f>+R411-'[6]Приложение №1'!$R391</f>
        <v>0</v>
      </c>
      <c r="AX411" s="29">
        <f>+S411-'[6]Приложение №1'!$S391</f>
        <v>0</v>
      </c>
      <c r="AY411" s="29">
        <f>+T411-'[6]Приложение №1'!$T391</f>
        <v>0</v>
      </c>
    </row>
    <row r="412" spans="1:51" x14ac:dyDescent="0.25">
      <c r="A412" s="135">
        <f t="shared" si="170"/>
        <v>395</v>
      </c>
      <c r="B412" s="134">
        <f t="shared" si="170"/>
        <v>207</v>
      </c>
      <c r="C412" s="77" t="s">
        <v>50</v>
      </c>
      <c r="D412" s="77" t="s">
        <v>510</v>
      </c>
      <c r="E412" s="78">
        <v>1969</v>
      </c>
      <c r="F412" s="78">
        <v>2013</v>
      </c>
      <c r="G412" s="78" t="s">
        <v>44</v>
      </c>
      <c r="H412" s="78">
        <v>4</v>
      </c>
      <c r="I412" s="78">
        <v>2</v>
      </c>
      <c r="J412" s="44">
        <v>1404.7</v>
      </c>
      <c r="K412" s="44">
        <v>951</v>
      </c>
      <c r="L412" s="44">
        <v>348.8</v>
      </c>
      <c r="M412" s="79">
        <v>39</v>
      </c>
      <c r="N412" s="72">
        <f t="shared" si="166"/>
        <v>1600414.445874</v>
      </c>
      <c r="O412" s="44"/>
      <c r="P412" s="68"/>
      <c r="Q412" s="68"/>
      <c r="R412" s="68">
        <f t="shared" si="165"/>
        <v>578844.92999999993</v>
      </c>
      <c r="S412" s="68">
        <f>+'Приложение №2'!E412-'Приложение №1'!R412</f>
        <v>1021569.515874</v>
      </c>
      <c r="T412" s="68">
        <v>0</v>
      </c>
      <c r="U412" s="44">
        <f t="shared" si="167"/>
        <v>1231.2774625896293</v>
      </c>
      <c r="V412" s="44">
        <f t="shared" si="167"/>
        <v>1231.2774625896293</v>
      </c>
      <c r="W412" s="80">
        <v>2023</v>
      </c>
      <c r="X412" s="29" t="e">
        <f>+#REF!-'[1]Приложение №1'!$P1614</f>
        <v>#REF!</v>
      </c>
      <c r="Z412" s="31">
        <f t="shared" si="163"/>
        <v>16476652.310000001</v>
      </c>
      <c r="AA412" s="27">
        <v>3711499.9241174399</v>
      </c>
      <c r="AB412" s="27">
        <v>1361016.9358384202</v>
      </c>
      <c r="AC412" s="27">
        <v>1421943.3122823602</v>
      </c>
      <c r="AD412" s="27">
        <v>890243.21121792006</v>
      </c>
      <c r="AE412" s="27">
        <v>0</v>
      </c>
      <c r="AF412" s="27"/>
      <c r="AG412" s="27">
        <v>122527.0476276</v>
      </c>
      <c r="AH412" s="27">
        <v>0</v>
      </c>
      <c r="AI412" s="27">
        <v>6982528.3685892001</v>
      </c>
      <c r="AJ412" s="27">
        <v>0</v>
      </c>
      <c r="AK412" s="27">
        <v>0</v>
      </c>
      <c r="AL412" s="27">
        <v>0</v>
      </c>
      <c r="AM412" s="27">
        <v>1505265.3089999999</v>
      </c>
      <c r="AN412" s="32">
        <v>164766.52309999999</v>
      </c>
      <c r="AO412" s="33">
        <v>316861.67822706001</v>
      </c>
      <c r="AP412" s="84">
        <f>+N412-'Приложение №2'!E412</f>
        <v>0</v>
      </c>
      <c r="AQ412" s="1">
        <v>410687.73</v>
      </c>
      <c r="AR412" s="1">
        <f t="shared" si="168"/>
        <v>168157.19999999998</v>
      </c>
      <c r="AS412" s="1">
        <f t="shared" si="169"/>
        <v>5934960</v>
      </c>
      <c r="AT412" s="29">
        <f t="shared" si="171"/>
        <v>-4913390.4841259997</v>
      </c>
      <c r="AU412" s="29">
        <f>+P412-'[6]Приложение №1'!$P392</f>
        <v>0</v>
      </c>
      <c r="AV412" s="29">
        <f>+Q412-'[6]Приложение №1'!$Q392</f>
        <v>0</v>
      </c>
      <c r="AW412" s="29">
        <f>+R412-'[6]Приложение №1'!$R392</f>
        <v>0</v>
      </c>
      <c r="AX412" s="29">
        <f>+S412-'[6]Приложение №1'!$S392</f>
        <v>0</v>
      </c>
      <c r="AY412" s="29">
        <f>+T412-'[6]Приложение №1'!$T392</f>
        <v>0</v>
      </c>
    </row>
    <row r="413" spans="1:51" x14ac:dyDescent="0.25">
      <c r="A413" s="135">
        <f t="shared" si="170"/>
        <v>396</v>
      </c>
      <c r="B413" s="134">
        <f t="shared" si="170"/>
        <v>208</v>
      </c>
      <c r="C413" s="77" t="s">
        <v>50</v>
      </c>
      <c r="D413" s="77" t="s">
        <v>511</v>
      </c>
      <c r="E413" s="78">
        <v>1969</v>
      </c>
      <c r="F413" s="78">
        <v>2015</v>
      </c>
      <c r="G413" s="78" t="s">
        <v>44</v>
      </c>
      <c r="H413" s="78">
        <v>4</v>
      </c>
      <c r="I413" s="78">
        <v>2</v>
      </c>
      <c r="J413" s="44">
        <v>1374</v>
      </c>
      <c r="K413" s="44">
        <v>1181.29</v>
      </c>
      <c r="L413" s="44">
        <v>71.900000000000006</v>
      </c>
      <c r="M413" s="79">
        <v>60</v>
      </c>
      <c r="N413" s="72">
        <f t="shared" si="166"/>
        <v>9106068.5073560029</v>
      </c>
      <c r="O413" s="44"/>
      <c r="P413" s="68">
        <v>1285124.3091186676</v>
      </c>
      <c r="Q413" s="68"/>
      <c r="R413" s="68">
        <f t="shared" si="165"/>
        <v>654136.55000000005</v>
      </c>
      <c r="S413" s="68">
        <f>+AS413</f>
        <v>4770324</v>
      </c>
      <c r="T413" s="68">
        <f>+'Приложение №2'!E413-'Приложение №1'!P413-'Приложение №1'!Q413-'Приложение №1'!R413-'Приложение №1'!S413</f>
        <v>2396483.6482373355</v>
      </c>
      <c r="U413" s="44">
        <f t="shared" si="167"/>
        <v>7266.3111797540696</v>
      </c>
      <c r="V413" s="44">
        <f t="shared" si="167"/>
        <v>7266.3111797540696</v>
      </c>
      <c r="W413" s="80">
        <v>2023</v>
      </c>
      <c r="X413" s="29" t="e">
        <f>+#REF!-'[1]Приложение №1'!$P1615</f>
        <v>#REF!</v>
      </c>
      <c r="Z413" s="31">
        <f t="shared" si="163"/>
        <v>15905124.779999999</v>
      </c>
      <c r="AA413" s="27">
        <v>3582758.6997493198</v>
      </c>
      <c r="AB413" s="27">
        <v>1313807.1878118601</v>
      </c>
      <c r="AC413" s="27">
        <v>1372620.2030843401</v>
      </c>
      <c r="AD413" s="27">
        <v>859363.24454651994</v>
      </c>
      <c r="AE413" s="27">
        <v>0</v>
      </c>
      <c r="AF413" s="27"/>
      <c r="AG413" s="27">
        <v>118276.93283028001</v>
      </c>
      <c r="AH413" s="27">
        <v>0</v>
      </c>
      <c r="AI413" s="27">
        <v>6740324.6043672003</v>
      </c>
      <c r="AJ413" s="27">
        <v>0</v>
      </c>
      <c r="AK413" s="27">
        <v>0</v>
      </c>
      <c r="AL413" s="27">
        <v>0</v>
      </c>
      <c r="AM413" s="27">
        <v>1453051.9989999998</v>
      </c>
      <c r="AN413" s="32">
        <v>159051.24780000001</v>
      </c>
      <c r="AO413" s="33">
        <v>305870.66081048007</v>
      </c>
      <c r="AP413" s="84">
        <f>+N413-'Приложение №2'!E413</f>
        <v>0</v>
      </c>
      <c r="AQ413" s="1">
        <v>518977.37</v>
      </c>
      <c r="AR413" s="1">
        <f t="shared" si="168"/>
        <v>135159.18</v>
      </c>
      <c r="AS413" s="1">
        <f t="shared" si="169"/>
        <v>4770324</v>
      </c>
      <c r="AT413" s="29">
        <f t="shared" si="171"/>
        <v>0</v>
      </c>
      <c r="AU413" s="29">
        <f>+P413-'[6]Приложение №1'!$P393</f>
        <v>0</v>
      </c>
      <c r="AV413" s="29">
        <f>+Q413-'[6]Приложение №1'!$Q393</f>
        <v>0</v>
      </c>
      <c r="AW413" s="29">
        <f>+R413-'[6]Приложение №1'!$R393</f>
        <v>0</v>
      </c>
      <c r="AX413" s="29">
        <f>+S413-'[6]Приложение №1'!$S393</f>
        <v>0</v>
      </c>
      <c r="AY413" s="29">
        <f>+T413-'[6]Приложение №1'!$T393</f>
        <v>0</v>
      </c>
    </row>
    <row r="414" spans="1:51" x14ac:dyDescent="0.25">
      <c r="A414" s="135">
        <f t="shared" si="170"/>
        <v>397</v>
      </c>
      <c r="B414" s="134">
        <f t="shared" si="170"/>
        <v>209</v>
      </c>
      <c r="C414" s="77" t="s">
        <v>50</v>
      </c>
      <c r="D414" s="77" t="s">
        <v>512</v>
      </c>
      <c r="E414" s="78">
        <v>1968</v>
      </c>
      <c r="F414" s="78">
        <v>2013</v>
      </c>
      <c r="G414" s="78" t="s">
        <v>44</v>
      </c>
      <c r="H414" s="78">
        <v>4</v>
      </c>
      <c r="I414" s="78">
        <v>2</v>
      </c>
      <c r="J414" s="44">
        <v>1377</v>
      </c>
      <c r="K414" s="44">
        <v>1273</v>
      </c>
      <c r="L414" s="44">
        <v>0</v>
      </c>
      <c r="M414" s="79">
        <v>50</v>
      </c>
      <c r="N414" s="72">
        <f t="shared" si="166"/>
        <v>9257725.9846659992</v>
      </c>
      <c r="O414" s="44"/>
      <c r="P414" s="68">
        <v>1377978.3782219996</v>
      </c>
      <c r="Q414" s="68"/>
      <c r="R414" s="68">
        <f t="shared" si="165"/>
        <v>714599.55</v>
      </c>
      <c r="S414" s="68">
        <f>+AS414</f>
        <v>4582800</v>
      </c>
      <c r="T414" s="68">
        <f>+'Приложение №2'!E414-'Приложение №1'!P414-'Приложение №1'!Q414-'Приложение №1'!R414-'Приложение №1'!S414</f>
        <v>2582348.0564439995</v>
      </c>
      <c r="U414" s="44">
        <f t="shared" si="167"/>
        <v>7272.3691945530236</v>
      </c>
      <c r="V414" s="44">
        <f t="shared" si="167"/>
        <v>7272.3691945530236</v>
      </c>
      <c r="W414" s="80">
        <v>2023</v>
      </c>
      <c r="X414" s="29" t="e">
        <f>+#REF!-'[1]Приложение №1'!$P1616</f>
        <v>#REF!</v>
      </c>
      <c r="Z414" s="31">
        <f t="shared" si="163"/>
        <v>16166826.229999997</v>
      </c>
      <c r="AA414" s="27">
        <v>3641709.0809080796</v>
      </c>
      <c r="AB414" s="27">
        <v>1335424.4489922002</v>
      </c>
      <c r="AC414" s="27">
        <v>1395205.1725445401</v>
      </c>
      <c r="AD414" s="27">
        <v>873503.12617344002</v>
      </c>
      <c r="AE414" s="27">
        <v>0</v>
      </c>
      <c r="AF414" s="27"/>
      <c r="AG414" s="27">
        <v>120223.04998956002</v>
      </c>
      <c r="AH414" s="27">
        <v>0</v>
      </c>
      <c r="AI414" s="27">
        <v>6851229.2787581999</v>
      </c>
      <c r="AJ414" s="27">
        <v>0</v>
      </c>
      <c r="AK414" s="27">
        <v>0</v>
      </c>
      <c r="AL414" s="27">
        <v>0</v>
      </c>
      <c r="AM414" s="27">
        <v>1476960.3820000002</v>
      </c>
      <c r="AN414" s="32">
        <v>161668.2623</v>
      </c>
      <c r="AO414" s="33">
        <v>310903.42833397997</v>
      </c>
      <c r="AP414" s="84">
        <f>+N414-'Приложение №2'!E414</f>
        <v>0</v>
      </c>
      <c r="AQ414" s="1">
        <v>584753.55000000005</v>
      </c>
      <c r="AR414" s="1">
        <f t="shared" si="168"/>
        <v>129846</v>
      </c>
      <c r="AS414" s="1">
        <f t="shared" si="169"/>
        <v>4582800</v>
      </c>
      <c r="AT414" s="29">
        <f t="shared" si="171"/>
        <v>0</v>
      </c>
      <c r="AU414" s="29">
        <f>+P414-'[6]Приложение №1'!$P394</f>
        <v>0</v>
      </c>
      <c r="AV414" s="29">
        <f>+Q414-'[6]Приложение №1'!$Q394</f>
        <v>0</v>
      </c>
      <c r="AW414" s="29">
        <f>+R414-'[6]Приложение №1'!$R394</f>
        <v>0</v>
      </c>
      <c r="AX414" s="29">
        <f>+S414-'[6]Приложение №1'!$S394</f>
        <v>0</v>
      </c>
      <c r="AY414" s="29">
        <f>+T414-'[6]Приложение №1'!$T394</f>
        <v>0</v>
      </c>
    </row>
    <row r="415" spans="1:51" x14ac:dyDescent="0.25">
      <c r="A415" s="135">
        <f t="shared" si="170"/>
        <v>398</v>
      </c>
      <c r="B415" s="134">
        <f t="shared" si="170"/>
        <v>210</v>
      </c>
      <c r="C415" s="77" t="s">
        <v>50</v>
      </c>
      <c r="D415" s="77" t="s">
        <v>53</v>
      </c>
      <c r="E415" s="78">
        <v>1971</v>
      </c>
      <c r="F415" s="78">
        <v>2017</v>
      </c>
      <c r="G415" s="78" t="s">
        <v>51</v>
      </c>
      <c r="H415" s="78">
        <v>4</v>
      </c>
      <c r="I415" s="78">
        <v>3</v>
      </c>
      <c r="J415" s="44">
        <v>2241.3000000000002</v>
      </c>
      <c r="K415" s="44">
        <v>1923.5</v>
      </c>
      <c r="L415" s="44">
        <v>103.1</v>
      </c>
      <c r="M415" s="79">
        <v>95</v>
      </c>
      <c r="N415" s="72">
        <f t="shared" si="166"/>
        <v>3110187.22</v>
      </c>
      <c r="O415" s="44"/>
      <c r="P415" s="68"/>
      <c r="Q415" s="68"/>
      <c r="R415" s="68">
        <f t="shared" si="165"/>
        <v>1168598.31</v>
      </c>
      <c r="S415" s="68">
        <f>+'Приложение №2'!E415-'Приложение №1'!R415</f>
        <v>1941588.9100000001</v>
      </c>
      <c r="T415" s="68">
        <v>0</v>
      </c>
      <c r="U415" s="44">
        <f t="shared" si="167"/>
        <v>1534.6823349452286</v>
      </c>
      <c r="V415" s="44">
        <f t="shared" si="167"/>
        <v>1534.6823349452286</v>
      </c>
      <c r="W415" s="80">
        <v>2023</v>
      </c>
      <c r="X415" s="29" t="e">
        <f>+#REF!-'[1]Приложение №1'!$P1617</f>
        <v>#REF!</v>
      </c>
      <c r="Z415" s="31">
        <f t="shared" si="163"/>
        <v>3150457</v>
      </c>
      <c r="AA415" s="27">
        <v>0</v>
      </c>
      <c r="AB415" s="27">
        <v>0</v>
      </c>
      <c r="AC415" s="27">
        <v>2743903.125978</v>
      </c>
      <c r="AD415" s="27">
        <v>0</v>
      </c>
      <c r="AE415" s="27">
        <v>0</v>
      </c>
      <c r="AF415" s="27"/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315045.7</v>
      </c>
      <c r="AN415" s="32">
        <v>31504.57</v>
      </c>
      <c r="AO415" s="33">
        <v>60003.604022000007</v>
      </c>
      <c r="AP415" s="84">
        <f>+N415-'Приложение №2'!E415</f>
        <v>0</v>
      </c>
      <c r="AQ415" s="1">
        <v>951368.91</v>
      </c>
      <c r="AR415" s="1">
        <f t="shared" si="168"/>
        <v>217229.4</v>
      </c>
      <c r="AS415" s="1">
        <f t="shared" si="169"/>
        <v>7666920</v>
      </c>
      <c r="AT415" s="29">
        <f t="shared" si="171"/>
        <v>-5725331.0899999999</v>
      </c>
      <c r="AU415" s="29">
        <f>+P415-'[6]Приложение №1'!$P395</f>
        <v>0</v>
      </c>
      <c r="AV415" s="29">
        <f>+Q415-'[6]Приложение №1'!$Q395</f>
        <v>0</v>
      </c>
      <c r="AW415" s="29">
        <f>+R415-'[6]Приложение №1'!$R395</f>
        <v>0</v>
      </c>
      <c r="AX415" s="29">
        <f>+S415-'[6]Приложение №1'!$S395</f>
        <v>0</v>
      </c>
      <c r="AY415" s="29">
        <f>+T415-'[6]Приложение №1'!$T395</f>
        <v>0</v>
      </c>
    </row>
    <row r="416" spans="1:51" x14ac:dyDescent="0.25">
      <c r="A416" s="135">
        <f t="shared" si="170"/>
        <v>399</v>
      </c>
      <c r="B416" s="134">
        <f t="shared" si="170"/>
        <v>211</v>
      </c>
      <c r="C416" s="77" t="s">
        <v>50</v>
      </c>
      <c r="D416" s="77" t="s">
        <v>513</v>
      </c>
      <c r="E416" s="78">
        <v>1971</v>
      </c>
      <c r="F416" s="78">
        <v>2015</v>
      </c>
      <c r="G416" s="78" t="s">
        <v>44</v>
      </c>
      <c r="H416" s="78">
        <v>4</v>
      </c>
      <c r="I416" s="78">
        <v>3</v>
      </c>
      <c r="J416" s="44">
        <v>2198.9</v>
      </c>
      <c r="K416" s="44">
        <v>1976.38</v>
      </c>
      <c r="L416" s="44">
        <v>127.2</v>
      </c>
      <c r="M416" s="79">
        <v>98</v>
      </c>
      <c r="N416" s="72">
        <f t="shared" si="166"/>
        <v>6443087.9000000004</v>
      </c>
      <c r="O416" s="44"/>
      <c r="P416" s="68"/>
      <c r="Q416" s="68"/>
      <c r="R416" s="68">
        <f t="shared" si="165"/>
        <v>1009148.89</v>
      </c>
      <c r="S416" s="68">
        <f>+'Приложение №2'!E416-'Приложение №1'!R416</f>
        <v>5433939.0100000007</v>
      </c>
      <c r="T416" s="68">
        <v>0</v>
      </c>
      <c r="U416" s="44">
        <f t="shared" si="167"/>
        <v>3062.9155534850115</v>
      </c>
      <c r="V416" s="44">
        <f t="shared" si="167"/>
        <v>3062.9155534850115</v>
      </c>
      <c r="W416" s="80">
        <v>2023</v>
      </c>
      <c r="X416" s="29" t="e">
        <f>+#REF!-'[1]Приложение №1'!$P1618</f>
        <v>#REF!</v>
      </c>
      <c r="Z416" s="31">
        <f t="shared" si="163"/>
        <v>6502812.7400000002</v>
      </c>
      <c r="AA416" s="27">
        <v>5790923.8181012403</v>
      </c>
      <c r="AB416" s="27">
        <v>0</v>
      </c>
      <c r="AC416" s="27">
        <v>0</v>
      </c>
      <c r="AD416" s="27">
        <v>0</v>
      </c>
      <c r="AE416" s="27">
        <v>0</v>
      </c>
      <c r="AF416" s="27"/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520225.01920000004</v>
      </c>
      <c r="AN416" s="32">
        <v>65028.127400000005</v>
      </c>
      <c r="AO416" s="33">
        <v>126635.77529876001</v>
      </c>
      <c r="AP416" s="84">
        <f>+N416-'Приложение №2'!E416</f>
        <v>0</v>
      </c>
      <c r="AQ416" s="1">
        <v>781609.33</v>
      </c>
      <c r="AR416" s="1">
        <f t="shared" si="168"/>
        <v>227539.56000000003</v>
      </c>
      <c r="AS416" s="1">
        <f t="shared" si="169"/>
        <v>8030808.0000000009</v>
      </c>
      <c r="AT416" s="29">
        <f t="shared" si="171"/>
        <v>-2596868.9900000002</v>
      </c>
      <c r="AU416" s="29">
        <f>+P416-'[6]Приложение №1'!$P396</f>
        <v>0</v>
      </c>
      <c r="AV416" s="29">
        <f>+Q416-'[6]Приложение №1'!$Q396</f>
        <v>0</v>
      </c>
      <c r="AW416" s="29">
        <f>+R416-'[6]Приложение №1'!$R396</f>
        <v>0</v>
      </c>
      <c r="AX416" s="29">
        <f>+S416-'[6]Приложение №1'!$S396</f>
        <v>0</v>
      </c>
      <c r="AY416" s="29">
        <f>+T416-'[6]Приложение №1'!$T396</f>
        <v>0</v>
      </c>
    </row>
    <row r="417" spans="1:51" x14ac:dyDescent="0.25">
      <c r="A417" s="135">
        <f t="shared" si="170"/>
        <v>400</v>
      </c>
      <c r="B417" s="134">
        <f t="shared" si="170"/>
        <v>212</v>
      </c>
      <c r="C417" s="77" t="s">
        <v>50</v>
      </c>
      <c r="D417" s="77" t="s">
        <v>737</v>
      </c>
      <c r="E417" s="78">
        <v>1988</v>
      </c>
      <c r="F417" s="78"/>
      <c r="G417" s="78" t="s">
        <v>44</v>
      </c>
      <c r="H417" s="78">
        <v>9</v>
      </c>
      <c r="I417" s="78">
        <v>1</v>
      </c>
      <c r="J417" s="44">
        <v>2265.4</v>
      </c>
      <c r="K417" s="44">
        <v>2006.2</v>
      </c>
      <c r="L417" s="44">
        <v>53.4</v>
      </c>
      <c r="M417" s="79">
        <v>74</v>
      </c>
      <c r="N417" s="72">
        <f t="shared" si="166"/>
        <v>287932.7</v>
      </c>
      <c r="O417" s="44"/>
      <c r="P417" s="68">
        <f>+'[7]Приложение №2'!E405-'[7]Приложение №1'!R405-'[7]Приложение №1'!S405</f>
        <v>0</v>
      </c>
      <c r="Q417" s="68"/>
      <c r="R417" s="68">
        <f>+'Приложение №2'!E417</f>
        <v>287932.7</v>
      </c>
      <c r="S417" s="68"/>
      <c r="T417" s="68"/>
      <c r="U417" s="44">
        <f t="shared" si="167"/>
        <v>139.80030102932611</v>
      </c>
      <c r="V417" s="44">
        <f t="shared" si="167"/>
        <v>139.80030102932611</v>
      </c>
      <c r="W417" s="80">
        <v>2023</v>
      </c>
      <c r="X417" s="29"/>
      <c r="Z417" s="31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32"/>
      <c r="AO417" s="33"/>
      <c r="AP417" s="84">
        <f>+N417-'Приложение №2'!E417</f>
        <v>0</v>
      </c>
      <c r="AQ417" s="24">
        <v>1381175.06</v>
      </c>
      <c r="AR417" s="1">
        <f t="shared" si="168"/>
        <v>215526</v>
      </c>
      <c r="AS417" s="1">
        <f>+(K417*13.29+L417*22.52)*12*30</f>
        <v>10031387.759999998</v>
      </c>
      <c r="AT417" s="29">
        <f t="shared" si="171"/>
        <v>-10031387.759999998</v>
      </c>
      <c r="AU417" s="29"/>
      <c r="AV417" s="29"/>
      <c r="AW417" s="29"/>
      <c r="AX417" s="29"/>
      <c r="AY417" s="29"/>
    </row>
    <row r="418" spans="1:51" x14ac:dyDescent="0.25">
      <c r="A418" s="135">
        <f t="shared" si="170"/>
        <v>401</v>
      </c>
      <c r="B418" s="134">
        <f t="shared" si="170"/>
        <v>213</v>
      </c>
      <c r="C418" s="77" t="s">
        <v>50</v>
      </c>
      <c r="D418" s="77" t="s">
        <v>416</v>
      </c>
      <c r="E418" s="78">
        <v>1986</v>
      </c>
      <c r="F418" s="78">
        <v>2015</v>
      </c>
      <c r="G418" s="78" t="s">
        <v>44</v>
      </c>
      <c r="H418" s="78">
        <v>9</v>
      </c>
      <c r="I418" s="78">
        <v>1</v>
      </c>
      <c r="J418" s="44">
        <v>2147.3000000000002</v>
      </c>
      <c r="K418" s="44">
        <v>1765</v>
      </c>
      <c r="L418" s="44">
        <v>118.1</v>
      </c>
      <c r="M418" s="79">
        <v>71</v>
      </c>
      <c r="N418" s="72">
        <f t="shared" si="166"/>
        <v>20025195.280000001</v>
      </c>
      <c r="O418" s="44"/>
      <c r="P418" s="68">
        <v>3358599.8842666685</v>
      </c>
      <c r="Q418" s="68"/>
      <c r="R418" s="68">
        <f>+AQ418+AR418</f>
        <v>1299043.8223999999</v>
      </c>
      <c r="S418" s="68">
        <f>+AS418</f>
        <v>9401926.3200000003</v>
      </c>
      <c r="T418" s="68">
        <f>+'Приложение №2'!E418-'Приложение №1'!P418-'Приложение №1'!Q418-'Приложение №1'!R418-'Приложение №1'!S418</f>
        <v>5965625.253333332</v>
      </c>
      <c r="U418" s="44">
        <f t="shared" si="167"/>
        <v>10634.164558440871</v>
      </c>
      <c r="V418" s="44">
        <f t="shared" si="167"/>
        <v>10634.164558440871</v>
      </c>
      <c r="W418" s="80">
        <v>2023</v>
      </c>
      <c r="X418" s="29" t="e">
        <f>+#REF!-'[1]Приложение №1'!$P1194</f>
        <v>#REF!</v>
      </c>
      <c r="Z418" s="31">
        <f t="shared" ref="Z418:Z449" si="172">SUM(AA418:AO418)</f>
        <v>20557934.949999999</v>
      </c>
      <c r="AA418" s="27">
        <v>4354337.0884977598</v>
      </c>
      <c r="AB418" s="27">
        <v>2988403.2292165803</v>
      </c>
      <c r="AC418" s="27">
        <v>1819095.0789144</v>
      </c>
      <c r="AD418" s="27">
        <v>1641252.41830956</v>
      </c>
      <c r="AE418" s="27">
        <v>0</v>
      </c>
      <c r="AF418" s="27"/>
      <c r="AG418" s="27">
        <v>209478.56798399999</v>
      </c>
      <c r="AH418" s="27">
        <v>0</v>
      </c>
      <c r="AI418" s="27">
        <v>2124154.6930043995</v>
      </c>
      <c r="AJ418" s="27">
        <v>0</v>
      </c>
      <c r="AK418" s="27">
        <v>0</v>
      </c>
      <c r="AL418" s="27">
        <v>4849580.8718931004</v>
      </c>
      <c r="AM418" s="27">
        <v>1972729.6575000002</v>
      </c>
      <c r="AN418" s="32">
        <v>205579.34950000001</v>
      </c>
      <c r="AO418" s="33">
        <v>393323.99518020003</v>
      </c>
      <c r="AP418" s="84">
        <f>+N418-'Приложение №2'!E418</f>
        <v>0</v>
      </c>
      <c r="AQ418" s="1">
        <v>1032655.91</v>
      </c>
      <c r="AR418" s="1">
        <f>+(K418*13.29+L418*22.52)*12*0.85</f>
        <v>266387.91239999997</v>
      </c>
      <c r="AS418" s="1">
        <f>+(K418*13.29+L418*22.52)*12*30</f>
        <v>9401926.3200000003</v>
      </c>
      <c r="AT418" s="29">
        <f t="shared" si="171"/>
        <v>0</v>
      </c>
      <c r="AU418" s="29">
        <f>+P418-'[6]Приложение №1'!$P397</f>
        <v>0</v>
      </c>
      <c r="AV418" s="29">
        <f>+Q418-'[6]Приложение №1'!$Q397</f>
        <v>0</v>
      </c>
      <c r="AW418" s="29">
        <f>+R418-'[6]Приложение №1'!$R397</f>
        <v>0</v>
      </c>
      <c r="AX418" s="29">
        <f>+S418-'[6]Приложение №1'!$S397</f>
        <v>0</v>
      </c>
      <c r="AY418" s="29">
        <f>+T418-'[6]Приложение №1'!$T397</f>
        <v>0</v>
      </c>
    </row>
    <row r="419" spans="1:51" x14ac:dyDescent="0.25">
      <c r="A419" s="135">
        <f t="shared" si="170"/>
        <v>402</v>
      </c>
      <c r="B419" s="134">
        <f t="shared" si="170"/>
        <v>214</v>
      </c>
      <c r="C419" s="77" t="s">
        <v>50</v>
      </c>
      <c r="D419" s="77" t="s">
        <v>418</v>
      </c>
      <c r="E419" s="78">
        <v>1985</v>
      </c>
      <c r="F419" s="78">
        <v>2015</v>
      </c>
      <c r="G419" s="78" t="s">
        <v>44</v>
      </c>
      <c r="H419" s="78">
        <v>9</v>
      </c>
      <c r="I419" s="78">
        <v>1</v>
      </c>
      <c r="J419" s="44">
        <v>2289.1999999999998</v>
      </c>
      <c r="K419" s="44">
        <v>1890</v>
      </c>
      <c r="L419" s="44">
        <v>116.7</v>
      </c>
      <c r="M419" s="79">
        <v>81</v>
      </c>
      <c r="N419" s="72">
        <f t="shared" si="166"/>
        <v>21345856.605785996</v>
      </c>
      <c r="O419" s="44"/>
      <c r="P419" s="68">
        <v>3443225.4799953331</v>
      </c>
      <c r="Q419" s="68"/>
      <c r="R419" s="68">
        <f>+AQ419+AR419</f>
        <v>1581149.0367999999</v>
      </c>
      <c r="S419" s="68">
        <f>+AS419</f>
        <v>9988626.2400000002</v>
      </c>
      <c r="T419" s="68">
        <f>+'Приложение №2'!E419-'Приложение №1'!P419-'Приложение №1'!Q419-'Приложение №1'!R419-'Приложение №1'!S419</f>
        <v>6332855.848990662</v>
      </c>
      <c r="U419" s="44">
        <f t="shared" ref="U419:V438" si="173">$N419/($K419+$L419)</f>
        <v>10637.293370103152</v>
      </c>
      <c r="V419" s="44">
        <f t="shared" si="173"/>
        <v>10637.293370103152</v>
      </c>
      <c r="W419" s="80">
        <v>2023</v>
      </c>
      <c r="X419" s="29" t="e">
        <f>+#REF!-'[1]Приложение №1'!$P1196</f>
        <v>#REF!</v>
      </c>
      <c r="Z419" s="31">
        <f t="shared" si="172"/>
        <v>21892071.77</v>
      </c>
      <c r="AA419" s="27">
        <v>4636918.0685864408</v>
      </c>
      <c r="AB419" s="27">
        <v>3182339.9673420601</v>
      </c>
      <c r="AC419" s="27">
        <v>1937147.8769193597</v>
      </c>
      <c r="AD419" s="27">
        <v>1747763.85706608</v>
      </c>
      <c r="AE419" s="27">
        <v>0</v>
      </c>
      <c r="AF419" s="27"/>
      <c r="AG419" s="27">
        <v>223072.98168960001</v>
      </c>
      <c r="AH419" s="27">
        <v>0</v>
      </c>
      <c r="AI419" s="27">
        <v>2262004.7709924001</v>
      </c>
      <c r="AJ419" s="27">
        <v>0</v>
      </c>
      <c r="AK419" s="27">
        <v>0</v>
      </c>
      <c r="AL419" s="27">
        <v>5164301.4149336405</v>
      </c>
      <c r="AM419" s="27">
        <v>2100752.7919999999</v>
      </c>
      <c r="AN419" s="32">
        <v>218920.71770000001</v>
      </c>
      <c r="AO419" s="33">
        <v>418849.32277042</v>
      </c>
      <c r="AP419" s="84">
        <f>+N419-'Приложение №2'!E419</f>
        <v>0</v>
      </c>
      <c r="AQ419" s="1">
        <v>1298137.96</v>
      </c>
      <c r="AR419" s="1">
        <f>+(K419*13.29+L419*22.52)*12*0.85</f>
        <v>283011.07679999998</v>
      </c>
      <c r="AS419" s="1">
        <f>+(K419*13.29+L419*22.52)*12*30</f>
        <v>9988626.2400000002</v>
      </c>
      <c r="AT419" s="29">
        <f t="shared" si="171"/>
        <v>0</v>
      </c>
      <c r="AU419" s="29">
        <f>+P419-'[6]Приложение №1'!$P398</f>
        <v>0</v>
      </c>
      <c r="AV419" s="29">
        <f>+Q419-'[6]Приложение №1'!$Q398</f>
        <v>0</v>
      </c>
      <c r="AW419" s="29">
        <f>+R419-'[6]Приложение №1'!$R398</f>
        <v>0</v>
      </c>
      <c r="AX419" s="29">
        <f>+S419-'[6]Приложение №1'!$S398</f>
        <v>0</v>
      </c>
      <c r="AY419" s="29">
        <f>+T419-'[6]Приложение №1'!$T398</f>
        <v>0</v>
      </c>
    </row>
    <row r="420" spans="1:51" x14ac:dyDescent="0.25">
      <c r="A420" s="135">
        <f t="shared" si="170"/>
        <v>403</v>
      </c>
      <c r="B420" s="134">
        <f t="shared" si="170"/>
        <v>215</v>
      </c>
      <c r="C420" s="77" t="s">
        <v>50</v>
      </c>
      <c r="D420" s="77" t="s">
        <v>99</v>
      </c>
      <c r="E420" s="78">
        <v>1976</v>
      </c>
      <c r="F420" s="78">
        <v>2013</v>
      </c>
      <c r="G420" s="78" t="s">
        <v>44</v>
      </c>
      <c r="H420" s="78">
        <v>4</v>
      </c>
      <c r="I420" s="78">
        <v>6</v>
      </c>
      <c r="J420" s="44">
        <v>4690.7</v>
      </c>
      <c r="K420" s="44">
        <v>4312.1000000000004</v>
      </c>
      <c r="L420" s="44">
        <v>202.5</v>
      </c>
      <c r="M420" s="79">
        <v>191</v>
      </c>
      <c r="N420" s="72">
        <f t="shared" si="166"/>
        <v>12608792.0231</v>
      </c>
      <c r="O420" s="44"/>
      <c r="P420" s="68"/>
      <c r="Q420" s="68"/>
      <c r="R420" s="68">
        <f>+AQ420+AR420</f>
        <v>2366806.17</v>
      </c>
      <c r="S420" s="68">
        <f>+'Приложение №2'!E420-'Приложение №1'!R420</f>
        <v>10241985.8531</v>
      </c>
      <c r="T420" s="68">
        <v>0</v>
      </c>
      <c r="U420" s="44">
        <f t="shared" si="173"/>
        <v>2792.8923986842688</v>
      </c>
      <c r="V420" s="44">
        <f t="shared" si="173"/>
        <v>2792.8923986842688</v>
      </c>
      <c r="W420" s="80">
        <v>2023</v>
      </c>
      <c r="X420" s="29" t="e">
        <f>+#REF!-'[1]Приложение №1'!$P502</f>
        <v>#REF!</v>
      </c>
      <c r="Z420" s="31">
        <f t="shared" si="172"/>
        <v>46137074.220000006</v>
      </c>
      <c r="AA420" s="27">
        <v>12338963.873805661</v>
      </c>
      <c r="AB420" s="27">
        <v>0</v>
      </c>
      <c r="AC420" s="27">
        <v>0</v>
      </c>
      <c r="AD420" s="27">
        <v>2959633.3144828794</v>
      </c>
      <c r="AE420" s="27">
        <v>0</v>
      </c>
      <c r="AF420" s="27"/>
      <c r="AG420" s="27">
        <v>0</v>
      </c>
      <c r="AH420" s="27">
        <v>0</v>
      </c>
      <c r="AI420" s="27">
        <v>0</v>
      </c>
      <c r="AJ420" s="27">
        <v>0</v>
      </c>
      <c r="AK420" s="27">
        <v>12052636.301892061</v>
      </c>
      <c r="AL420" s="27">
        <v>12999978.84663156</v>
      </c>
      <c r="AM420" s="27">
        <v>4442091.8521999996</v>
      </c>
      <c r="AN420" s="32">
        <v>461370.74219999998</v>
      </c>
      <c r="AO420" s="33">
        <v>882399.28878784005</v>
      </c>
      <c r="AP420" s="84">
        <f>+N420-'Приложение №2'!E420</f>
        <v>0</v>
      </c>
      <c r="AQ420" s="1">
        <v>1885661.97</v>
      </c>
      <c r="AR420" s="1">
        <f>+(K420*10+L420*20)*12*0.85</f>
        <v>481144.2</v>
      </c>
      <c r="AS420" s="1">
        <f>+(K420*10+L420*20)*12*30</f>
        <v>16981560</v>
      </c>
      <c r="AT420" s="29">
        <f t="shared" si="171"/>
        <v>-6739574.1469000001</v>
      </c>
      <c r="AU420" s="29">
        <f>+P420-'[6]Приложение №1'!$P399</f>
        <v>0</v>
      </c>
      <c r="AV420" s="29">
        <f>+Q420-'[6]Приложение №1'!$Q399</f>
        <v>0</v>
      </c>
      <c r="AW420" s="29">
        <f>+R420-'[6]Приложение №1'!$R399</f>
        <v>0</v>
      </c>
      <c r="AX420" s="29">
        <f>+S420-'[6]Приложение №1'!$S399</f>
        <v>0</v>
      </c>
      <c r="AY420" s="29">
        <f>+T420-'[6]Приложение №1'!$T399</f>
        <v>0</v>
      </c>
    </row>
    <row r="421" spans="1:51" x14ac:dyDescent="0.25">
      <c r="A421" s="135">
        <f t="shared" si="170"/>
        <v>404</v>
      </c>
      <c r="B421" s="134">
        <f t="shared" si="170"/>
        <v>216</v>
      </c>
      <c r="C421" s="77" t="s">
        <v>50</v>
      </c>
      <c r="D421" s="77" t="s">
        <v>100</v>
      </c>
      <c r="E421" s="78">
        <v>1974</v>
      </c>
      <c r="F421" s="78">
        <v>2014</v>
      </c>
      <c r="G421" s="78" t="s">
        <v>44</v>
      </c>
      <c r="H421" s="78">
        <v>4</v>
      </c>
      <c r="I421" s="78">
        <v>6</v>
      </c>
      <c r="J421" s="44">
        <v>4464.7</v>
      </c>
      <c r="K421" s="44">
        <v>4072.9</v>
      </c>
      <c r="L421" s="44">
        <v>35.1</v>
      </c>
      <c r="M421" s="79">
        <v>161</v>
      </c>
      <c r="N421" s="72">
        <f t="shared" si="166"/>
        <v>11997336.196299998</v>
      </c>
      <c r="O421" s="44"/>
      <c r="P421" s="68"/>
      <c r="Q421" s="68"/>
      <c r="R421" s="68">
        <v>0</v>
      </c>
      <c r="S421" s="68">
        <f>+'Приложение №2'!E421-'Приложение №1'!R421</f>
        <v>11997336.196299998</v>
      </c>
      <c r="T421" s="68">
        <v>0</v>
      </c>
      <c r="U421" s="44">
        <f t="shared" si="173"/>
        <v>2920.4810604430377</v>
      </c>
      <c r="V421" s="44">
        <f t="shared" si="173"/>
        <v>2920.4810604430377</v>
      </c>
      <c r="W421" s="80">
        <v>2023</v>
      </c>
      <c r="X421" s="29" t="e">
        <f>+#REF!-'[1]Приложение №1'!$P827</f>
        <v>#REF!</v>
      </c>
      <c r="Z421" s="31">
        <f t="shared" si="172"/>
        <v>13183885.93</v>
      </c>
      <c r="AA421" s="27">
        <v>11740593.201699179</v>
      </c>
      <c r="AB421" s="27">
        <v>0</v>
      </c>
      <c r="AC421" s="27">
        <v>0</v>
      </c>
      <c r="AD421" s="27">
        <v>0</v>
      </c>
      <c r="AE421" s="27">
        <v>0</v>
      </c>
      <c r="AF421" s="27"/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1054710.8744000001</v>
      </c>
      <c r="AN421" s="32">
        <v>131838.85930000001</v>
      </c>
      <c r="AO421" s="33">
        <v>256742.99460081998</v>
      </c>
      <c r="AP421" s="84">
        <f>+N421-'Приложение №2'!E421</f>
        <v>0</v>
      </c>
      <c r="AQ421" s="29">
        <f>1783982.53-1137414.79-R161</f>
        <v>-860352.16999999993</v>
      </c>
      <c r="AR421" s="1">
        <f>+(K421*10+L421*20)*12*0.85</f>
        <v>422596.2</v>
      </c>
      <c r="AS421" s="1">
        <f>+(K421*10+L421*20)*12*30-1312050.47-S161</f>
        <v>13603109.529999999</v>
      </c>
      <c r="AT421" s="29">
        <f t="shared" si="171"/>
        <v>-1605773.3337000012</v>
      </c>
      <c r="AU421" s="29">
        <f>+P421-'[6]Приложение №1'!$P400</f>
        <v>0</v>
      </c>
      <c r="AV421" s="29">
        <f>+Q421-'[6]Приложение №1'!$Q400</f>
        <v>0</v>
      </c>
      <c r="AW421" s="29">
        <f>+R421-'[6]Приложение №1'!$R400</f>
        <v>0</v>
      </c>
      <c r="AX421" s="29">
        <f>+S421-'[6]Приложение №1'!$S400</f>
        <v>0</v>
      </c>
      <c r="AY421" s="29">
        <f>+T421-'[6]Приложение №1'!$T400</f>
        <v>0</v>
      </c>
    </row>
    <row r="422" spans="1:51" x14ac:dyDescent="0.25">
      <c r="A422" s="135">
        <f t="shared" si="170"/>
        <v>405</v>
      </c>
      <c r="B422" s="134">
        <f t="shared" si="170"/>
        <v>217</v>
      </c>
      <c r="C422" s="77" t="s">
        <v>50</v>
      </c>
      <c r="D422" s="77" t="s">
        <v>514</v>
      </c>
      <c r="E422" s="78">
        <v>1968</v>
      </c>
      <c r="F422" s="78">
        <v>2013</v>
      </c>
      <c r="G422" s="78" t="s">
        <v>44</v>
      </c>
      <c r="H422" s="78">
        <v>4</v>
      </c>
      <c r="I422" s="78">
        <v>2</v>
      </c>
      <c r="J422" s="44">
        <v>1327.8</v>
      </c>
      <c r="K422" s="44">
        <v>1187.9000000000001</v>
      </c>
      <c r="L422" s="44">
        <v>88.4</v>
      </c>
      <c r="M422" s="79">
        <v>51</v>
      </c>
      <c r="N422" s="72">
        <f t="shared" si="166"/>
        <v>8799436.5950600002</v>
      </c>
      <c r="O422" s="44"/>
      <c r="P422" s="68">
        <v>1179956.7183533337</v>
      </c>
      <c r="Q422" s="68"/>
      <c r="R422" s="68">
        <f>+AQ422+AR422</f>
        <v>634170.78</v>
      </c>
      <c r="S422" s="68">
        <f>+AS422</f>
        <v>4912920</v>
      </c>
      <c r="T422" s="68">
        <f>+'Приложение №2'!E422-'Приложение №1'!P422-'Приложение №1'!Q422-'Приложение №1'!R422-'Приложение №1'!S422</f>
        <v>2072389.0967066661</v>
      </c>
      <c r="U422" s="44">
        <f t="shared" si="173"/>
        <v>6894.4892228002809</v>
      </c>
      <c r="V422" s="44">
        <f t="shared" si="173"/>
        <v>6894.4892228002809</v>
      </c>
      <c r="W422" s="80">
        <v>2023</v>
      </c>
      <c r="X422" s="29" t="e">
        <f>+#REF!-'[1]Приложение №1'!$P1620</f>
        <v>#REF!</v>
      </c>
      <c r="Z422" s="31">
        <f t="shared" si="172"/>
        <v>15295757.840000004</v>
      </c>
      <c r="AA422" s="27">
        <v>3445493.8413932403</v>
      </c>
      <c r="AB422" s="27">
        <v>1263471.7949082602</v>
      </c>
      <c r="AC422" s="27">
        <v>1320031.53024918</v>
      </c>
      <c r="AD422" s="27">
        <v>826438.78871232003</v>
      </c>
      <c r="AE422" s="27">
        <v>0</v>
      </c>
      <c r="AF422" s="27"/>
      <c r="AG422" s="27">
        <v>113745.43921776001</v>
      </c>
      <c r="AH422" s="27">
        <v>0</v>
      </c>
      <c r="AI422" s="27">
        <v>6482085.1365060005</v>
      </c>
      <c r="AJ422" s="27">
        <v>0</v>
      </c>
      <c r="AK422" s="27">
        <v>0</v>
      </c>
      <c r="AL422" s="27">
        <v>0</v>
      </c>
      <c r="AM422" s="27">
        <v>1397381.7750000001</v>
      </c>
      <c r="AN422" s="32">
        <v>152957.5784</v>
      </c>
      <c r="AO422" s="33">
        <v>294151.95561324002</v>
      </c>
      <c r="AP422" s="84">
        <f>+N422-'Приложение №2'!E422</f>
        <v>0</v>
      </c>
      <c r="AQ422" s="1">
        <v>494971.38</v>
      </c>
      <c r="AR422" s="1">
        <f>+(K422*10+L422*20)*12*0.85</f>
        <v>139199.4</v>
      </c>
      <c r="AS422" s="1">
        <f>+(K422*10+L422*20)*12*30</f>
        <v>4912920</v>
      </c>
      <c r="AT422" s="29">
        <f t="shared" si="171"/>
        <v>0</v>
      </c>
      <c r="AU422" s="29">
        <f>+P422-'[6]Приложение №1'!$P401</f>
        <v>0</v>
      </c>
      <c r="AV422" s="29">
        <f>+Q422-'[6]Приложение №1'!$Q401</f>
        <v>0</v>
      </c>
      <c r="AW422" s="29">
        <f>+R422-'[6]Приложение №1'!$R401</f>
        <v>0</v>
      </c>
      <c r="AX422" s="29">
        <f>+S422-'[6]Приложение №1'!$S401</f>
        <v>0</v>
      </c>
      <c r="AY422" s="29">
        <f>+T422-'[6]Приложение №1'!$T401</f>
        <v>0</v>
      </c>
    </row>
    <row r="423" spans="1:51" x14ac:dyDescent="0.25">
      <c r="A423" s="135">
        <f t="shared" si="170"/>
        <v>406</v>
      </c>
      <c r="B423" s="134">
        <f t="shared" si="170"/>
        <v>218</v>
      </c>
      <c r="C423" s="77" t="s">
        <v>50</v>
      </c>
      <c r="D423" s="77" t="s">
        <v>419</v>
      </c>
      <c r="E423" s="78">
        <v>1991</v>
      </c>
      <c r="F423" s="78">
        <v>2015</v>
      </c>
      <c r="G423" s="78" t="s">
        <v>44</v>
      </c>
      <c r="H423" s="78">
        <v>9</v>
      </c>
      <c r="I423" s="78">
        <v>3</v>
      </c>
      <c r="J423" s="44">
        <v>6893.1</v>
      </c>
      <c r="K423" s="44">
        <v>6102.4</v>
      </c>
      <c r="L423" s="44">
        <v>65.5</v>
      </c>
      <c r="M423" s="79">
        <v>255</v>
      </c>
      <c r="N423" s="72">
        <f t="shared" si="166"/>
        <v>19723222.893742397</v>
      </c>
      <c r="O423" s="44"/>
      <c r="P423" s="68"/>
      <c r="Q423" s="68"/>
      <c r="R423" s="162">
        <f>+AQ423+AR423</f>
        <v>4332299.0011999998</v>
      </c>
      <c r="S423" s="162">
        <f>+'Приложение №2'!E423-'Приложение №1'!R423</f>
        <v>15390923.892542398</v>
      </c>
      <c r="T423" s="68">
        <v>0</v>
      </c>
      <c r="U423" s="44">
        <f t="shared" si="173"/>
        <v>3197.72092507051</v>
      </c>
      <c r="V423" s="44">
        <f t="shared" si="173"/>
        <v>3197.72092507051</v>
      </c>
      <c r="W423" s="80">
        <v>2023</v>
      </c>
      <c r="X423" s="29" t="e">
        <f>+#REF!-'[1]Приложение №1'!$P1447</f>
        <v>#REF!</v>
      </c>
      <c r="Z423" s="31">
        <f t="shared" si="172"/>
        <v>135273087.03</v>
      </c>
      <c r="AA423" s="27">
        <v>14114712.016718039</v>
      </c>
      <c r="AB423" s="27">
        <v>9686997.1466872804</v>
      </c>
      <c r="AC423" s="27">
        <v>5896650.3147518393</v>
      </c>
      <c r="AD423" s="27">
        <v>5320168.0919898003</v>
      </c>
      <c r="AE423" s="27">
        <v>0</v>
      </c>
      <c r="AF423" s="27"/>
      <c r="AG423" s="27">
        <v>679030.95234239998</v>
      </c>
      <c r="AH423" s="27">
        <v>0</v>
      </c>
      <c r="AI423" s="27">
        <v>6885510.0487487996</v>
      </c>
      <c r="AJ423" s="27">
        <v>0</v>
      </c>
      <c r="AK423" s="27">
        <v>59777000.180442296</v>
      </c>
      <c r="AL423" s="27">
        <v>15720059.33396766</v>
      </c>
      <c r="AM423" s="27">
        <v>13258054.825500002</v>
      </c>
      <c r="AN423" s="32">
        <v>1352730.8703000001</v>
      </c>
      <c r="AO423" s="33">
        <v>2582173.2485518805</v>
      </c>
      <c r="AP423" s="84">
        <f>+N423-'Приложение №2'!E423</f>
        <v>0</v>
      </c>
      <c r="AQ423" s="29">
        <f>3490024.25</f>
        <v>3490024.25</v>
      </c>
      <c r="AR423" s="1">
        <f t="shared" ref="AR423:AR431" si="174">+(K423*13.29+L423*22.52)*12*0.85</f>
        <v>842274.75119999982</v>
      </c>
      <c r="AS423" s="1">
        <f>+(K423*13.29+L423*22.52)*12*30</f>
        <v>29727344.159999996</v>
      </c>
      <c r="AT423" s="29">
        <f t="shared" si="171"/>
        <v>-14336420.267457599</v>
      </c>
      <c r="AU423" s="29">
        <f>+P423-'[6]Приложение №1'!$P402</f>
        <v>0</v>
      </c>
      <c r="AV423" s="29">
        <f>+Q423-'[6]Приложение №1'!$Q402</f>
        <v>0</v>
      </c>
      <c r="AW423" s="29">
        <f>+R423-'[6]Приложение №1'!$R402</f>
        <v>3192210.2211999996</v>
      </c>
      <c r="AX423" s="29">
        <f>+S423-'[6]Приложение №1'!$S402</f>
        <v>1428609.5387999993</v>
      </c>
      <c r="AY423" s="29">
        <f>+T423-'[6]Приложение №1'!$T402</f>
        <v>0</v>
      </c>
    </row>
    <row r="424" spans="1:51" x14ac:dyDescent="0.25">
      <c r="A424" s="135">
        <f t="shared" ref="A424:B439" si="175">+A423+1</f>
        <v>407</v>
      </c>
      <c r="B424" s="134">
        <f t="shared" si="175"/>
        <v>219</v>
      </c>
      <c r="C424" s="77" t="s">
        <v>50</v>
      </c>
      <c r="D424" s="77" t="s">
        <v>420</v>
      </c>
      <c r="E424" s="78">
        <v>1989</v>
      </c>
      <c r="F424" s="78">
        <v>2015</v>
      </c>
      <c r="G424" s="78" t="s">
        <v>44</v>
      </c>
      <c r="H424" s="78">
        <v>9</v>
      </c>
      <c r="I424" s="78">
        <v>1</v>
      </c>
      <c r="J424" s="44">
        <v>2263.8000000000002</v>
      </c>
      <c r="K424" s="44">
        <v>1890.48</v>
      </c>
      <c r="L424" s="44">
        <v>120.7</v>
      </c>
      <c r="M424" s="79">
        <v>89</v>
      </c>
      <c r="N424" s="72">
        <f t="shared" si="166"/>
        <v>5340335.5010032002</v>
      </c>
      <c r="O424" s="44"/>
      <c r="P424" s="68"/>
      <c r="Q424" s="68"/>
      <c r="R424" s="68">
        <f>+AQ424+AR424</f>
        <v>1315469.3506400001</v>
      </c>
      <c r="S424" s="68">
        <f>+'Приложение №2'!E424-'Приложение №1'!R424</f>
        <v>4024866.1503632003</v>
      </c>
      <c r="T424" s="68">
        <v>0</v>
      </c>
      <c r="U424" s="44">
        <f t="shared" si="173"/>
        <v>2655.3244866213863</v>
      </c>
      <c r="V424" s="44">
        <f t="shared" si="173"/>
        <v>2655.3244866213863</v>
      </c>
      <c r="W424" s="80">
        <v>2023</v>
      </c>
      <c r="X424" s="29" t="e">
        <f>+#REF!-'[1]Приложение №1'!$P1448</f>
        <v>#REF!</v>
      </c>
      <c r="Z424" s="31">
        <f t="shared" si="172"/>
        <v>9119250.5200000014</v>
      </c>
      <c r="AA424" s="27">
        <v>4650099.0199755002</v>
      </c>
      <c r="AB424" s="27">
        <v>3191386.1136439806</v>
      </c>
      <c r="AC424" s="27">
        <v>0</v>
      </c>
      <c r="AD424" s="27">
        <v>0</v>
      </c>
      <c r="AE424" s="27">
        <v>0</v>
      </c>
      <c r="AF424" s="27"/>
      <c r="AG424" s="27">
        <v>223707.09100319998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786496.37100000004</v>
      </c>
      <c r="AN424" s="32">
        <v>91192.505200000014</v>
      </c>
      <c r="AO424" s="33">
        <v>176369.41917732003</v>
      </c>
      <c r="AP424" s="84">
        <f>+N424-'Приложение №2'!E424</f>
        <v>0</v>
      </c>
      <c r="AQ424" s="1">
        <v>1031474.39</v>
      </c>
      <c r="AR424" s="1">
        <f t="shared" si="174"/>
        <v>283994.96064</v>
      </c>
      <c r="AS424" s="1">
        <f>+(K424*13.29+L424*22.52)*12*30</f>
        <v>10023351.552000001</v>
      </c>
      <c r="AT424" s="29">
        <f t="shared" si="171"/>
        <v>-5998485.4016368007</v>
      </c>
      <c r="AU424" s="29">
        <f>+P424-'[6]Приложение №1'!$P403</f>
        <v>0</v>
      </c>
      <c r="AV424" s="29">
        <f>+Q424-'[6]Приложение №1'!$Q403</f>
        <v>0</v>
      </c>
      <c r="AW424" s="29">
        <f>+R424-'[6]Приложение №1'!$R403</f>
        <v>0</v>
      </c>
      <c r="AX424" s="29">
        <f>+S424-'[6]Приложение №1'!$S403</f>
        <v>0</v>
      </c>
      <c r="AY424" s="29">
        <f>+T424-'[6]Приложение №1'!$T403</f>
        <v>0</v>
      </c>
    </row>
    <row r="425" spans="1:51" x14ac:dyDescent="0.25">
      <c r="A425" s="135">
        <f t="shared" si="175"/>
        <v>408</v>
      </c>
      <c r="B425" s="134">
        <f t="shared" si="175"/>
        <v>220</v>
      </c>
      <c r="C425" s="77" t="s">
        <v>50</v>
      </c>
      <c r="D425" s="77" t="s">
        <v>421</v>
      </c>
      <c r="E425" s="78">
        <v>1990</v>
      </c>
      <c r="F425" s="78">
        <v>2015</v>
      </c>
      <c r="G425" s="78" t="s">
        <v>44</v>
      </c>
      <c r="H425" s="78">
        <v>9</v>
      </c>
      <c r="I425" s="78">
        <v>4</v>
      </c>
      <c r="J425" s="44">
        <v>9225.6</v>
      </c>
      <c r="K425" s="44">
        <v>8138.5</v>
      </c>
      <c r="L425" s="44">
        <v>48</v>
      </c>
      <c r="M425" s="79">
        <v>380</v>
      </c>
      <c r="N425" s="72">
        <f t="shared" si="166"/>
        <v>25200863.723121602</v>
      </c>
      <c r="O425" s="44"/>
      <c r="P425" s="68"/>
      <c r="Q425" s="68"/>
      <c r="R425" s="68">
        <f>+AQ425+AR425</f>
        <v>5532618.585</v>
      </c>
      <c r="S425" s="68">
        <f>+'Приложение №2'!E425-'Приложение №1'!R425</f>
        <v>19668245.138121601</v>
      </c>
      <c r="T425" s="68">
        <v>9.3132257461547852E-10</v>
      </c>
      <c r="U425" s="44">
        <f t="shared" si="173"/>
        <v>3078.3440692752215</v>
      </c>
      <c r="V425" s="44">
        <f t="shared" si="173"/>
        <v>3078.3440692752215</v>
      </c>
      <c r="W425" s="80">
        <v>2023</v>
      </c>
      <c r="X425" s="29" t="e">
        <f>+#REF!-'[1]Приложение №1'!$P1449</f>
        <v>#REF!</v>
      </c>
      <c r="Z425" s="31">
        <f t="shared" si="172"/>
        <v>88860936.86999999</v>
      </c>
      <c r="AA425" s="27">
        <v>18821465.971318923</v>
      </c>
      <c r="AB425" s="27">
        <v>12917265.834582899</v>
      </c>
      <c r="AC425" s="27">
        <v>7862973.2694105599</v>
      </c>
      <c r="AD425" s="27">
        <v>7094254.7407149589</v>
      </c>
      <c r="AE425" s="27">
        <v>0</v>
      </c>
      <c r="AF425" s="27"/>
      <c r="AG425" s="27">
        <v>905463.60092160001</v>
      </c>
      <c r="AH425" s="27">
        <v>0</v>
      </c>
      <c r="AI425" s="27">
        <v>9181582.5123036001</v>
      </c>
      <c r="AJ425" s="27">
        <v>0</v>
      </c>
      <c r="AK425" s="27">
        <v>0</v>
      </c>
      <c r="AL425" s="27">
        <v>20962139.47557744</v>
      </c>
      <c r="AM425" s="27">
        <v>8527053.2270000018</v>
      </c>
      <c r="AN425" s="32">
        <v>888609.36870000011</v>
      </c>
      <c r="AO425" s="33">
        <v>1700128.8694700203</v>
      </c>
      <c r="AP425" s="84">
        <f>+N425-'Приложение №2'!E425</f>
        <v>0</v>
      </c>
      <c r="AQ425" s="29">
        <f>4418354.01</f>
        <v>4418354.01</v>
      </c>
      <c r="AR425" s="1">
        <f t="shared" si="174"/>
        <v>1114264.575</v>
      </c>
      <c r="AS425" s="1">
        <f>+(K425*13.29+L425*22.52)*12*30</f>
        <v>39326985</v>
      </c>
      <c r="AT425" s="29">
        <f t="shared" si="171"/>
        <v>-19658739.861878399</v>
      </c>
      <c r="AU425" s="29">
        <f>+P425-'[6]Приложение №1'!$P404</f>
        <v>0</v>
      </c>
      <c r="AV425" s="29">
        <f>+Q425-'[6]Приложение №1'!$Q404</f>
        <v>0</v>
      </c>
      <c r="AW425" s="29">
        <f>+R425-'[6]Приложение №1'!$R404</f>
        <v>0</v>
      </c>
      <c r="AX425" s="29">
        <f>+S425-'[6]Приложение №1'!$S404</f>
        <v>0</v>
      </c>
      <c r="AY425" s="29">
        <f>+T425-'[6]Приложение №1'!$T404</f>
        <v>0</v>
      </c>
    </row>
    <row r="426" spans="1:51" x14ac:dyDescent="0.25">
      <c r="A426" s="135">
        <f t="shared" si="175"/>
        <v>409</v>
      </c>
      <c r="B426" s="134">
        <f t="shared" si="175"/>
        <v>221</v>
      </c>
      <c r="C426" s="77" t="s">
        <v>50</v>
      </c>
      <c r="D426" s="77" t="s">
        <v>248</v>
      </c>
      <c r="E426" s="78">
        <v>1992</v>
      </c>
      <c r="F426" s="78">
        <v>2015</v>
      </c>
      <c r="G426" s="78" t="s">
        <v>44</v>
      </c>
      <c r="H426" s="78">
        <v>9</v>
      </c>
      <c r="I426" s="78">
        <v>3</v>
      </c>
      <c r="J426" s="44">
        <v>6872</v>
      </c>
      <c r="K426" s="44">
        <v>6094.4</v>
      </c>
      <c r="L426" s="44">
        <v>0</v>
      </c>
      <c r="M426" s="79">
        <v>259</v>
      </c>
      <c r="N426" s="72">
        <f t="shared" si="166"/>
        <v>14909658.0872232</v>
      </c>
      <c r="O426" s="44"/>
      <c r="P426" s="68"/>
      <c r="Q426" s="68"/>
      <c r="R426" s="68">
        <v>1484681.68870748</v>
      </c>
      <c r="S426" s="68">
        <f>+'Приложение №2'!E426-'Приложение №1'!R426</f>
        <v>13424976.39851572</v>
      </c>
      <c r="T426" s="68">
        <f>+'Приложение №2'!E426-'Приложение №1'!P426-'Приложение №1'!Q426-'Приложение №1'!R426-'Приложение №1'!S426</f>
        <v>0</v>
      </c>
      <c r="U426" s="44">
        <f t="shared" si="173"/>
        <v>2446.4521671080338</v>
      </c>
      <c r="V426" s="44">
        <f t="shared" si="173"/>
        <v>2446.4521671080338</v>
      </c>
      <c r="W426" s="80">
        <v>2023</v>
      </c>
      <c r="X426" s="29" t="e">
        <f>+#REF!-'[1]Приложение №1'!$P1158</f>
        <v>#REF!</v>
      </c>
      <c r="Y426" s="1" t="s">
        <v>549</v>
      </c>
      <c r="Z426" s="31">
        <f t="shared" si="172"/>
        <v>58070573.899999999</v>
      </c>
      <c r="AA426" s="27">
        <v>13934572.418976301</v>
      </c>
      <c r="AB426" s="27">
        <v>9563366.4457228798</v>
      </c>
      <c r="AC426" s="27">
        <v>5821394.0711791199</v>
      </c>
      <c r="AD426" s="27">
        <v>5252269.220784599</v>
      </c>
      <c r="AE426" s="27">
        <v>0</v>
      </c>
      <c r="AF426" s="27"/>
      <c r="AG426" s="27">
        <v>670364.7917232</v>
      </c>
      <c r="AH426" s="27">
        <v>0</v>
      </c>
      <c r="AI426" s="27">
        <v>0</v>
      </c>
      <c r="AJ426" s="27">
        <v>0</v>
      </c>
      <c r="AK426" s="27">
        <v>0</v>
      </c>
      <c r="AL426" s="27">
        <v>15519431.430770401</v>
      </c>
      <c r="AM426" s="27">
        <v>5618420.8085000012</v>
      </c>
      <c r="AN426" s="32">
        <v>580705.73900000006</v>
      </c>
      <c r="AO426" s="33">
        <v>1110048.9733435002</v>
      </c>
      <c r="AP426" s="84">
        <f>+N426-'Приложение №2'!E426</f>
        <v>0</v>
      </c>
      <c r="AQ426" s="29">
        <f>3336709.09-263343.45-R163</f>
        <v>3073365.6399999997</v>
      </c>
      <c r="AR426" s="1">
        <f t="shared" si="174"/>
        <v>826144.67519999982</v>
      </c>
      <c r="AS426" s="1">
        <f>+(K426*13.29+L426*22.52)*12*30-1442656.44</f>
        <v>27715390.919999991</v>
      </c>
      <c r="AT426" s="29">
        <f t="shared" si="171"/>
        <v>-14290414.521484271</v>
      </c>
      <c r="AU426" s="29">
        <f>+P426-'[6]Приложение №1'!$P405</f>
        <v>0</v>
      </c>
      <c r="AV426" s="29">
        <f>+Q426-'[6]Приложение №1'!$Q405</f>
        <v>0</v>
      </c>
      <c r="AW426" s="29">
        <f>+R426-'[6]Приложение №1'!$R405</f>
        <v>0</v>
      </c>
      <c r="AX426" s="29">
        <f>+S426-'[6]Приложение №1'!$S405</f>
        <v>0</v>
      </c>
      <c r="AY426" s="29">
        <f>+T426-'[6]Приложение №1'!$T405</f>
        <v>0</v>
      </c>
    </row>
    <row r="427" spans="1:51" x14ac:dyDescent="0.25">
      <c r="A427" s="135">
        <f t="shared" si="175"/>
        <v>410</v>
      </c>
      <c r="B427" s="134">
        <f t="shared" si="175"/>
        <v>222</v>
      </c>
      <c r="C427" s="77" t="s">
        <v>50</v>
      </c>
      <c r="D427" s="77" t="s">
        <v>422</v>
      </c>
      <c r="E427" s="78">
        <v>1989</v>
      </c>
      <c r="F427" s="78">
        <v>2015</v>
      </c>
      <c r="G427" s="78" t="s">
        <v>44</v>
      </c>
      <c r="H427" s="78">
        <v>9</v>
      </c>
      <c r="I427" s="78">
        <v>4</v>
      </c>
      <c r="J427" s="44">
        <v>9199.2999999999993</v>
      </c>
      <c r="K427" s="44">
        <v>8072</v>
      </c>
      <c r="L427" s="44">
        <v>65.599999999999994</v>
      </c>
      <c r="M427" s="79">
        <v>366</v>
      </c>
      <c r="N427" s="72">
        <f t="shared" si="166"/>
        <v>39658580.604182005</v>
      </c>
      <c r="O427" s="44"/>
      <c r="P427" s="68">
        <v>11067050.84</v>
      </c>
      <c r="Q427" s="68"/>
      <c r="R427" s="68">
        <f>+AQ427+AR427-R162</f>
        <v>4700408.8283999991</v>
      </c>
      <c r="S427" s="68">
        <f>+AS427</f>
        <v>14473887.709999997</v>
      </c>
      <c r="T427" s="68">
        <f>+'Приложение №2'!E427-'Приложение №1'!P427-'Приложение №1'!Q427-'Приложение №1'!R427-'Приложение №1'!S427</f>
        <v>9417233.2257820107</v>
      </c>
      <c r="U427" s="44">
        <f t="shared" si="173"/>
        <v>4873.4984029913003</v>
      </c>
      <c r="V427" s="44">
        <f t="shared" si="173"/>
        <v>4873.4984029913003</v>
      </c>
      <c r="W427" s="80">
        <v>2023</v>
      </c>
      <c r="X427" s="29" t="e">
        <f>+#REF!-'[1]Приложение №1'!$P1450</f>
        <v>#REF!</v>
      </c>
      <c r="Z427" s="31">
        <f t="shared" si="172"/>
        <v>77772109.160000011</v>
      </c>
      <c r="AA427" s="27">
        <v>18662138.402554922</v>
      </c>
      <c r="AB427" s="27">
        <v>12807918.526641842</v>
      </c>
      <c r="AC427" s="27">
        <v>7796411.5854290398</v>
      </c>
      <c r="AD427" s="27">
        <v>7034200.4194895998</v>
      </c>
      <c r="AE427" s="27">
        <v>0</v>
      </c>
      <c r="AF427" s="27"/>
      <c r="AG427" s="27">
        <v>897798.66553440015</v>
      </c>
      <c r="AH427" s="27">
        <v>0</v>
      </c>
      <c r="AI427" s="27">
        <v>0</v>
      </c>
      <c r="AJ427" s="27">
        <v>0</v>
      </c>
      <c r="AK427" s="27">
        <v>0</v>
      </c>
      <c r="AL427" s="27">
        <v>20784690.663111482</v>
      </c>
      <c r="AM427" s="27">
        <v>7524575.8236000016</v>
      </c>
      <c r="AN427" s="32">
        <v>777721.09159999993</v>
      </c>
      <c r="AO427" s="33">
        <v>1486653.9820387203</v>
      </c>
      <c r="AP427" s="84">
        <f>+N427-'Приложение №2'!E427</f>
        <v>0</v>
      </c>
      <c r="AQ427" s="1">
        <v>4641267.93</v>
      </c>
      <c r="AR427" s="1">
        <f t="shared" si="174"/>
        <v>1109292.7583999999</v>
      </c>
      <c r="AS427" s="1">
        <f>+(K427*13.29+L427*22.52)*12*30-AS162</f>
        <v>14473887.709999997</v>
      </c>
      <c r="AT427" s="29">
        <f t="shared" si="171"/>
        <v>0</v>
      </c>
      <c r="AU427" s="29">
        <f>+P427-'[6]Приложение №1'!$P406</f>
        <v>0</v>
      </c>
      <c r="AV427" s="29">
        <f>+Q427-'[6]Приложение №1'!$Q406</f>
        <v>0</v>
      </c>
      <c r="AW427" s="29">
        <f>+R427-'[6]Приложение №1'!$R406</f>
        <v>0</v>
      </c>
      <c r="AX427" s="29">
        <f>+S427-'[6]Приложение №1'!$S406</f>
        <v>0</v>
      </c>
      <c r="AY427" s="29">
        <f>+T427-'[6]Приложение №1'!$T406</f>
        <v>0</v>
      </c>
    </row>
    <row r="428" spans="1:51" x14ac:dyDescent="0.25">
      <c r="A428" s="135">
        <f t="shared" si="175"/>
        <v>411</v>
      </c>
      <c r="B428" s="134">
        <f t="shared" si="175"/>
        <v>223</v>
      </c>
      <c r="C428" s="77" t="s">
        <v>50</v>
      </c>
      <c r="D428" s="77" t="s">
        <v>249</v>
      </c>
      <c r="E428" s="78">
        <v>1981</v>
      </c>
      <c r="F428" s="78">
        <v>2012</v>
      </c>
      <c r="G428" s="78" t="s">
        <v>44</v>
      </c>
      <c r="H428" s="78">
        <v>9</v>
      </c>
      <c r="I428" s="78">
        <v>1</v>
      </c>
      <c r="J428" s="44">
        <v>3186</v>
      </c>
      <c r="K428" s="44">
        <v>2438</v>
      </c>
      <c r="L428" s="44">
        <v>0</v>
      </c>
      <c r="M428" s="79">
        <v>147</v>
      </c>
      <c r="N428" s="72">
        <f t="shared" si="166"/>
        <v>24395451.924600001</v>
      </c>
      <c r="O428" s="44"/>
      <c r="P428" s="68">
        <v>4675363.0278000021</v>
      </c>
      <c r="Q428" s="68"/>
      <c r="R428" s="68">
        <f>+AQ428+AR428</f>
        <v>1721639.844</v>
      </c>
      <c r="S428" s="68">
        <f>+AS428</f>
        <v>11664367.199999999</v>
      </c>
      <c r="T428" s="68">
        <f>+'Приложение №2'!E428-'Приложение №1'!P428-'Приложение №1'!Q428-'Приложение №1'!R428-'Приложение №1'!S428</f>
        <v>6334081.8528000005</v>
      </c>
      <c r="U428" s="44">
        <f t="shared" si="173"/>
        <v>10006.337951025431</v>
      </c>
      <c r="V428" s="44">
        <f t="shared" si="173"/>
        <v>10006.337951025431</v>
      </c>
      <c r="W428" s="80">
        <v>2023</v>
      </c>
      <c r="X428" s="29" t="e">
        <f>+#REF!-'[1]Приложение №1'!$P830</f>
        <v>#REF!</v>
      </c>
      <c r="Z428" s="31">
        <f t="shared" si="172"/>
        <v>50902320.63000001</v>
      </c>
      <c r="AA428" s="27">
        <v>5637051.2554028397</v>
      </c>
      <c r="AB428" s="27">
        <v>3868736.3499422399</v>
      </c>
      <c r="AC428" s="27">
        <v>2354969.76838536</v>
      </c>
      <c r="AD428" s="27">
        <v>2124737.6642049598</v>
      </c>
      <c r="AE428" s="27">
        <v>0</v>
      </c>
      <c r="AF428" s="27"/>
      <c r="AG428" s="27">
        <v>271187.41644959996</v>
      </c>
      <c r="AH428" s="27">
        <v>0</v>
      </c>
      <c r="AI428" s="27">
        <v>0</v>
      </c>
      <c r="AJ428" s="27">
        <v>0</v>
      </c>
      <c r="AK428" s="27">
        <v>23873389.253413562</v>
      </c>
      <c r="AL428" s="27">
        <v>6278185.5016536601</v>
      </c>
      <c r="AM428" s="27">
        <v>5013921.5710000005</v>
      </c>
      <c r="AN428" s="32">
        <v>509023.20629999996</v>
      </c>
      <c r="AO428" s="33">
        <v>971118.64324777992</v>
      </c>
      <c r="AP428" s="84">
        <f>+N428-'Приложение №2'!E428</f>
        <v>0</v>
      </c>
      <c r="AQ428" s="1">
        <v>1391149.44</v>
      </c>
      <c r="AR428" s="1">
        <f t="shared" si="174"/>
        <v>330490.40399999998</v>
      </c>
      <c r="AS428" s="1">
        <f>+(K428*13.29+L428*22.52)*12*30</f>
        <v>11664367.199999999</v>
      </c>
      <c r="AT428" s="29">
        <f t="shared" si="171"/>
        <v>0</v>
      </c>
      <c r="AU428" s="29">
        <f>+P428-'[6]Приложение №1'!$P407</f>
        <v>0</v>
      </c>
      <c r="AV428" s="29">
        <f>+Q428-'[6]Приложение №1'!$Q407</f>
        <v>0</v>
      </c>
      <c r="AW428" s="29">
        <f>+R428-'[6]Приложение №1'!$R407</f>
        <v>0</v>
      </c>
      <c r="AX428" s="29">
        <f>+S428-'[6]Приложение №1'!$S407</f>
        <v>0</v>
      </c>
      <c r="AY428" s="29">
        <f>+T428-'[6]Приложение №1'!$T407</f>
        <v>0</v>
      </c>
    </row>
    <row r="429" spans="1:51" x14ac:dyDescent="0.25">
      <c r="A429" s="135">
        <f t="shared" si="175"/>
        <v>412</v>
      </c>
      <c r="B429" s="134">
        <f t="shared" si="175"/>
        <v>224</v>
      </c>
      <c r="C429" s="77" t="s">
        <v>50</v>
      </c>
      <c r="D429" s="77" t="s">
        <v>423</v>
      </c>
      <c r="E429" s="78">
        <v>1989</v>
      </c>
      <c r="F429" s="78">
        <v>2015</v>
      </c>
      <c r="G429" s="78" t="s">
        <v>44</v>
      </c>
      <c r="H429" s="78">
        <v>9</v>
      </c>
      <c r="I429" s="78">
        <v>1</v>
      </c>
      <c r="J429" s="44">
        <v>2250.9</v>
      </c>
      <c r="K429" s="44">
        <v>2005.7</v>
      </c>
      <c r="L429" s="44">
        <v>0</v>
      </c>
      <c r="M429" s="79">
        <v>81</v>
      </c>
      <c r="N429" s="72">
        <f t="shared" si="166"/>
        <v>8858174.1696719993</v>
      </c>
      <c r="O429" s="44"/>
      <c r="P429" s="68"/>
      <c r="Q429" s="68"/>
      <c r="R429" s="68">
        <f>+AQ429+AR429</f>
        <v>1375698.0906</v>
      </c>
      <c r="S429" s="68">
        <f>+'Приложение №2'!E429-'Приложение №1'!R429</f>
        <v>7482476.0790719995</v>
      </c>
      <c r="T429" s="68">
        <v>0</v>
      </c>
      <c r="U429" s="44">
        <f t="shared" si="173"/>
        <v>4416.500059665952</v>
      </c>
      <c r="V429" s="44">
        <f t="shared" si="173"/>
        <v>4416.500059665952</v>
      </c>
      <c r="W429" s="80">
        <v>2023</v>
      </c>
      <c r="X429" s="29" t="e">
        <f>+#REF!-'[1]Приложение №1'!$P1452</f>
        <v>#REF!</v>
      </c>
      <c r="Z429" s="31">
        <f t="shared" si="172"/>
        <v>8960039.7127500009</v>
      </c>
      <c r="AA429" s="27">
        <v>4869659.12</v>
      </c>
      <c r="AB429" s="27">
        <v>3179641.99571718</v>
      </c>
      <c r="AC429" s="27">
        <v>0</v>
      </c>
      <c r="AD429" s="27">
        <v>0</v>
      </c>
      <c r="AE429" s="27">
        <v>0</v>
      </c>
      <c r="AF429" s="27"/>
      <c r="AG429" s="27">
        <v>222883.86136800001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449564.57699999999</v>
      </c>
      <c r="AN429" s="32">
        <v>61925.636700000003</v>
      </c>
      <c r="AO429" s="33">
        <v>176364.52196481999</v>
      </c>
      <c r="AP429" s="84">
        <f>+N429-'Приложение №2'!E429</f>
        <v>0</v>
      </c>
      <c r="AQ429" s="1">
        <v>1103809.4099999999</v>
      </c>
      <c r="AR429" s="1">
        <f t="shared" si="174"/>
        <v>271888.68060000002</v>
      </c>
      <c r="AS429" s="1">
        <f>+(K429*13.29+L429*22.52)*12*30</f>
        <v>9596071.0800000001</v>
      </c>
      <c r="AT429" s="29">
        <f t="shared" si="171"/>
        <v>-2113595.0009280005</v>
      </c>
      <c r="AU429" s="29">
        <f>+P429-'[6]Приложение №1'!$P408</f>
        <v>0</v>
      </c>
      <c r="AV429" s="29">
        <f>+Q429-'[6]Приложение №1'!$Q408</f>
        <v>0</v>
      </c>
      <c r="AW429" s="29">
        <f>+R429-'[6]Приложение №1'!$R408</f>
        <v>0</v>
      </c>
      <c r="AX429" s="29">
        <f>+S429-'[6]Приложение №1'!$S408</f>
        <v>0</v>
      </c>
      <c r="AY429" s="29">
        <f>+T429-'[6]Приложение №1'!$T408</f>
        <v>0</v>
      </c>
    </row>
    <row r="430" spans="1:51" x14ac:dyDescent="0.25">
      <c r="A430" s="135">
        <f t="shared" si="175"/>
        <v>413</v>
      </c>
      <c r="B430" s="134">
        <f t="shared" si="175"/>
        <v>225</v>
      </c>
      <c r="C430" s="77" t="s">
        <v>50</v>
      </c>
      <c r="D430" s="77" t="s">
        <v>424</v>
      </c>
      <c r="E430" s="78">
        <v>1988</v>
      </c>
      <c r="F430" s="78">
        <v>2014</v>
      </c>
      <c r="G430" s="78" t="s">
        <v>44</v>
      </c>
      <c r="H430" s="78">
        <v>9</v>
      </c>
      <c r="I430" s="78">
        <v>1</v>
      </c>
      <c r="J430" s="44">
        <v>2270.5</v>
      </c>
      <c r="K430" s="44">
        <v>2006.4</v>
      </c>
      <c r="L430" s="44">
        <v>66</v>
      </c>
      <c r="M430" s="79">
        <v>90</v>
      </c>
      <c r="N430" s="72">
        <f t="shared" si="166"/>
        <v>7481358.0205419995</v>
      </c>
      <c r="O430" s="44"/>
      <c r="P430" s="68"/>
      <c r="Q430" s="68"/>
      <c r="R430" s="68">
        <f>+AQ430+AR430</f>
        <v>1477419.7452</v>
      </c>
      <c r="S430" s="68">
        <f>+'Приложение №2'!E430-'Приложение №1'!R430</f>
        <v>6003938.2753419997</v>
      </c>
      <c r="T430" s="68">
        <v>0</v>
      </c>
      <c r="U430" s="44">
        <f t="shared" si="173"/>
        <v>3609.9971147182009</v>
      </c>
      <c r="V430" s="44">
        <f t="shared" si="173"/>
        <v>3609.9971147182009</v>
      </c>
      <c r="W430" s="80">
        <v>2023</v>
      </c>
      <c r="X430" s="29" t="e">
        <f>+#REF!-'[1]Приложение №1'!$P1453</f>
        <v>#REF!</v>
      </c>
      <c r="Z430" s="31">
        <f t="shared" si="172"/>
        <v>11270269.226899998</v>
      </c>
      <c r="AA430" s="27">
        <v>4965914.72</v>
      </c>
      <c r="AB430" s="27">
        <v>3178213.6485762601</v>
      </c>
      <c r="AC430" s="27">
        <v>1934636.11525968</v>
      </c>
      <c r="AD430" s="27">
        <v>0</v>
      </c>
      <c r="AE430" s="27">
        <v>0</v>
      </c>
      <c r="AF430" s="27"/>
      <c r="AG430" s="27">
        <v>222783.73884480001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671526.34699999995</v>
      </c>
      <c r="AN430" s="32">
        <v>76330.362099999984</v>
      </c>
      <c r="AO430" s="33">
        <v>220864.29511925997</v>
      </c>
      <c r="AP430" s="84">
        <f>+N430-'Приложение №2'!E430</f>
        <v>0</v>
      </c>
      <c r="AQ430" s="1">
        <v>1190275.71</v>
      </c>
      <c r="AR430" s="1">
        <f t="shared" si="174"/>
        <v>287144.03519999998</v>
      </c>
      <c r="AS430" s="1">
        <f>+(K430*13.29+L430*22.52)*12*30</f>
        <v>10134495.359999999</v>
      </c>
      <c r="AT430" s="29">
        <f t="shared" si="171"/>
        <v>-4130557.0846579997</v>
      </c>
      <c r="AU430" s="29">
        <f>+P430-'[6]Приложение №1'!$P409</f>
        <v>0</v>
      </c>
      <c r="AV430" s="29">
        <f>+Q430-'[6]Приложение №1'!$Q409</f>
        <v>0</v>
      </c>
      <c r="AW430" s="29">
        <f>+R430-'[6]Приложение №1'!$R409</f>
        <v>0</v>
      </c>
      <c r="AX430" s="29">
        <f>+S430-'[6]Приложение №1'!$S409</f>
        <v>0</v>
      </c>
      <c r="AY430" s="29">
        <f>+T430-'[6]Приложение №1'!$T409</f>
        <v>0</v>
      </c>
    </row>
    <row r="431" spans="1:51" x14ac:dyDescent="0.25">
      <c r="A431" s="135">
        <f t="shared" si="175"/>
        <v>414</v>
      </c>
      <c r="B431" s="134">
        <f t="shared" si="175"/>
        <v>226</v>
      </c>
      <c r="C431" s="77" t="s">
        <v>50</v>
      </c>
      <c r="D431" s="77" t="s">
        <v>517</v>
      </c>
      <c r="E431" s="78">
        <v>1991</v>
      </c>
      <c r="F431" s="78">
        <v>2012</v>
      </c>
      <c r="G431" s="78" t="s">
        <v>44</v>
      </c>
      <c r="H431" s="78">
        <v>9</v>
      </c>
      <c r="I431" s="78">
        <v>1</v>
      </c>
      <c r="J431" s="44">
        <v>2282.58</v>
      </c>
      <c r="K431" s="44">
        <v>1973.3</v>
      </c>
      <c r="L431" s="44">
        <v>54.5</v>
      </c>
      <c r="M431" s="79">
        <v>71</v>
      </c>
      <c r="N431" s="72">
        <f t="shared" si="166"/>
        <v>2192601.5954139996</v>
      </c>
      <c r="O431" s="44"/>
      <c r="P431" s="68"/>
      <c r="Q431" s="68"/>
      <c r="R431" s="68">
        <f>+AQ431+AR431</f>
        <v>1188247.6894</v>
      </c>
      <c r="S431" s="68">
        <f>+'Приложение №2'!E431-'Приложение №1'!R431</f>
        <v>1004353.9060139996</v>
      </c>
      <c r="T431" s="68">
        <v>0</v>
      </c>
      <c r="U431" s="44">
        <f t="shared" si="173"/>
        <v>1081.2711290137092</v>
      </c>
      <c r="V431" s="44">
        <f t="shared" si="173"/>
        <v>1081.2711290137092</v>
      </c>
      <c r="W431" s="80">
        <v>2023</v>
      </c>
      <c r="X431" s="29" t="e">
        <f>+#REF!-'[1]Приложение №1'!$P1624</f>
        <v>#REF!</v>
      </c>
      <c r="Z431" s="31">
        <f t="shared" si="172"/>
        <v>11449528.669999998</v>
      </c>
      <c r="AA431" s="27">
        <v>4690983.077540759</v>
      </c>
      <c r="AB431" s="27">
        <v>3219445.0464132596</v>
      </c>
      <c r="AC431" s="27">
        <v>1959734.4140967599</v>
      </c>
      <c r="AD431" s="27">
        <v>0</v>
      </c>
      <c r="AE431" s="27">
        <v>0</v>
      </c>
      <c r="AF431" s="27"/>
      <c r="AG431" s="27">
        <v>225673.94234783997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1018421.4066000001</v>
      </c>
      <c r="AN431" s="32">
        <v>114495.28669999998</v>
      </c>
      <c r="AO431" s="33">
        <v>220775.49630137999</v>
      </c>
      <c r="AP431" s="84">
        <f>+N431-'Приложение №2'!E431</f>
        <v>0</v>
      </c>
      <c r="AQ431" s="1">
        <v>908232.22</v>
      </c>
      <c r="AR431" s="1">
        <f t="shared" si="174"/>
        <v>280015.4694</v>
      </c>
      <c r="AS431" s="1">
        <f>+(K431*13.29+L431*22.52)*12*30</f>
        <v>9882898.9199999999</v>
      </c>
      <c r="AT431" s="29">
        <f t="shared" si="171"/>
        <v>-8878545.0139860008</v>
      </c>
      <c r="AU431" s="29">
        <f>+P431-'[6]Приложение №1'!$P410</f>
        <v>0</v>
      </c>
      <c r="AV431" s="29">
        <f>+Q431-'[6]Приложение №1'!$Q410</f>
        <v>0</v>
      </c>
      <c r="AW431" s="29">
        <f>+R431-'[6]Приложение №1'!$R410</f>
        <v>0</v>
      </c>
      <c r="AX431" s="29">
        <f>+S431-'[6]Приложение №1'!$S410</f>
        <v>0</v>
      </c>
      <c r="AY431" s="29">
        <f>+T431-'[6]Приложение №1'!$T410</f>
        <v>0</v>
      </c>
    </row>
    <row r="432" spans="1:51" x14ac:dyDescent="0.25">
      <c r="A432" s="135">
        <f t="shared" si="175"/>
        <v>415</v>
      </c>
      <c r="B432" s="134">
        <f t="shared" si="175"/>
        <v>227</v>
      </c>
      <c r="C432" s="77" t="s">
        <v>50</v>
      </c>
      <c r="D432" s="77" t="s">
        <v>101</v>
      </c>
      <c r="E432" s="78">
        <v>1971</v>
      </c>
      <c r="F432" s="78">
        <v>2015</v>
      </c>
      <c r="G432" s="78" t="s">
        <v>44</v>
      </c>
      <c r="H432" s="78">
        <v>4</v>
      </c>
      <c r="I432" s="78">
        <v>3</v>
      </c>
      <c r="J432" s="44">
        <v>2186.1</v>
      </c>
      <c r="K432" s="44">
        <v>2051.6</v>
      </c>
      <c r="L432" s="44">
        <v>31.5</v>
      </c>
      <c r="M432" s="79">
        <v>100</v>
      </c>
      <c r="N432" s="72">
        <f t="shared" si="166"/>
        <v>5983323.2459000004</v>
      </c>
      <c r="O432" s="44"/>
      <c r="P432" s="68"/>
      <c r="Q432" s="68"/>
      <c r="R432" s="68">
        <f>+AQ432+AR432</f>
        <v>1109273.1399999999</v>
      </c>
      <c r="S432" s="68">
        <f>+'Приложение №2'!E432-'Приложение №1'!R432</f>
        <v>4874050.1059000008</v>
      </c>
      <c r="T432" s="68">
        <v>0</v>
      </c>
      <c r="U432" s="44">
        <f t="shared" si="173"/>
        <v>2872.3168575200425</v>
      </c>
      <c r="V432" s="44">
        <f t="shared" si="173"/>
        <v>2872.3168575200425</v>
      </c>
      <c r="W432" s="80">
        <v>2023</v>
      </c>
      <c r="X432" s="29" t="e">
        <f>+#REF!-'[1]Приложение №1'!$P508</f>
        <v>#REF!</v>
      </c>
      <c r="Z432" s="31">
        <f t="shared" si="172"/>
        <v>6575080.4900000002</v>
      </c>
      <c r="AA432" s="27">
        <v>5855280.1284377407</v>
      </c>
      <c r="AB432" s="27">
        <v>0</v>
      </c>
      <c r="AC432" s="27">
        <v>0</v>
      </c>
      <c r="AD432" s="27">
        <v>0</v>
      </c>
      <c r="AE432" s="27">
        <v>0</v>
      </c>
      <c r="AF432" s="27"/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526006.43920000002</v>
      </c>
      <c r="AN432" s="32">
        <v>65750.804900000003</v>
      </c>
      <c r="AO432" s="33">
        <v>128043.11746226001</v>
      </c>
      <c r="AP432" s="84">
        <f>+N432-'Приложение №2'!E432</f>
        <v>0</v>
      </c>
      <c r="AQ432" s="1">
        <v>893583.94</v>
      </c>
      <c r="AR432" s="1">
        <f>+(K432*10+L432*20)*12*0.85</f>
        <v>215689.19999999998</v>
      </c>
      <c r="AS432" s="1">
        <f>+(K432*10+L432*20)*12*30</f>
        <v>7612560</v>
      </c>
      <c r="AT432" s="29">
        <f t="shared" si="171"/>
        <v>-2738509.8940999992</v>
      </c>
      <c r="AU432" s="29">
        <f>+P432-'[6]Приложение №1'!$P411</f>
        <v>0</v>
      </c>
      <c r="AV432" s="29">
        <f>+Q432-'[6]Приложение №1'!$Q411</f>
        <v>0</v>
      </c>
      <c r="AW432" s="29">
        <f>+R432-'[6]Приложение №1'!$R411</f>
        <v>0</v>
      </c>
      <c r="AX432" s="29">
        <f>+S432-'[6]Приложение №1'!$S411</f>
        <v>0</v>
      </c>
      <c r="AY432" s="29">
        <f>+T432-'[6]Приложение №1'!$T411</f>
        <v>0</v>
      </c>
    </row>
    <row r="433" spans="1:51" x14ac:dyDescent="0.25">
      <c r="A433" s="135">
        <f t="shared" si="175"/>
        <v>416</v>
      </c>
      <c r="B433" s="134">
        <f t="shared" si="175"/>
        <v>228</v>
      </c>
      <c r="C433" s="77" t="s">
        <v>50</v>
      </c>
      <c r="D433" s="77" t="s">
        <v>252</v>
      </c>
      <c r="E433" s="78">
        <v>1993</v>
      </c>
      <c r="F433" s="78">
        <v>2014</v>
      </c>
      <c r="G433" s="78" t="s">
        <v>44</v>
      </c>
      <c r="H433" s="78">
        <v>9</v>
      </c>
      <c r="I433" s="78">
        <v>1</v>
      </c>
      <c r="J433" s="44">
        <v>2553.4</v>
      </c>
      <c r="K433" s="44">
        <v>2128.8000000000002</v>
      </c>
      <c r="L433" s="44">
        <v>0</v>
      </c>
      <c r="M433" s="79">
        <v>78</v>
      </c>
      <c r="N433" s="72">
        <f t="shared" si="166"/>
        <v>9815875.3841793202</v>
      </c>
      <c r="O433" s="44"/>
      <c r="P433" s="68"/>
      <c r="Q433" s="68"/>
      <c r="R433" s="68">
        <v>597799.18099999998</v>
      </c>
      <c r="S433" s="68">
        <f>+AS433</f>
        <v>7283384.3099999987</v>
      </c>
      <c r="T433" s="68">
        <f>+'Приложение №2'!E433-'Приложение №1'!P433-'Приложение №1'!Q433-'Приложение №1'!R433-'Приложение №1'!S433</f>
        <v>1934691.8931793217</v>
      </c>
      <c r="U433" s="44">
        <f t="shared" si="173"/>
        <v>4610.9899399564638</v>
      </c>
      <c r="V433" s="44">
        <f t="shared" si="173"/>
        <v>4610.9899399564638</v>
      </c>
      <c r="W433" s="80">
        <v>2023</v>
      </c>
      <c r="X433" s="29" t="e">
        <f>+#REF!-'[1]Приложение №1'!$P1082</f>
        <v>#REF!</v>
      </c>
      <c r="Z433" s="31">
        <f t="shared" si="172"/>
        <v>44395710.680000007</v>
      </c>
      <c r="AA433" s="27">
        <v>4916492.8733411394</v>
      </c>
      <c r="AB433" s="27">
        <v>3374213.5460846401</v>
      </c>
      <c r="AC433" s="27">
        <v>2053944.7940944801</v>
      </c>
      <c r="AD433" s="27">
        <v>1853142.2046320401</v>
      </c>
      <c r="AE433" s="27">
        <v>0</v>
      </c>
      <c r="AF433" s="27"/>
      <c r="AG433" s="27">
        <v>236522.77397279997</v>
      </c>
      <c r="AH433" s="27">
        <v>0</v>
      </c>
      <c r="AI433" s="27">
        <v>0</v>
      </c>
      <c r="AJ433" s="27">
        <v>0</v>
      </c>
      <c r="AK433" s="27">
        <v>20821763.508175142</v>
      </c>
      <c r="AL433" s="27">
        <v>5475673.8714455394</v>
      </c>
      <c r="AM433" s="27">
        <v>4373014.9959000014</v>
      </c>
      <c r="AN433" s="32">
        <v>443957.10680000001</v>
      </c>
      <c r="AO433" s="33">
        <v>846985.00555422006</v>
      </c>
      <c r="AP433" s="84">
        <f>+N433-'Приложение №2'!E433</f>
        <v>0</v>
      </c>
      <c r="AQ433" s="1">
        <f>1103126.79-79353.74-714183.7328</f>
        <v>309589.31720000005</v>
      </c>
      <c r="AR433" s="1">
        <f>+(K433*13.29+L433*22.52)*12*0.85</f>
        <v>288575.87039999996</v>
      </c>
      <c r="AS433" s="1">
        <f>+(K433*13.29+L433*22.52)*12*30-300950.5-2600695.91</f>
        <v>7283384.3099999987</v>
      </c>
      <c r="AT433" s="29">
        <f t="shared" si="171"/>
        <v>0</v>
      </c>
      <c r="AU433" s="29">
        <f>+P433-'[6]Приложение №1'!$P412</f>
        <v>0</v>
      </c>
      <c r="AV433" s="29">
        <f>+Q433-'[6]Приложение №1'!$Q412</f>
        <v>0</v>
      </c>
      <c r="AW433" s="29">
        <f>+R433-'[6]Приложение №1'!$R412</f>
        <v>0</v>
      </c>
      <c r="AX433" s="29">
        <f>+S433-'[6]Приложение №1'!$S412</f>
        <v>0</v>
      </c>
      <c r="AY433" s="29">
        <f>+T433-'[6]Приложение №1'!$T412</f>
        <v>0</v>
      </c>
    </row>
    <row r="434" spans="1:51" x14ac:dyDescent="0.25">
      <c r="A434" s="135">
        <f t="shared" si="175"/>
        <v>417</v>
      </c>
      <c r="B434" s="134">
        <f t="shared" si="175"/>
        <v>229</v>
      </c>
      <c r="C434" s="77" t="s">
        <v>50</v>
      </c>
      <c r="D434" s="77" t="s">
        <v>518</v>
      </c>
      <c r="E434" s="78">
        <v>1993</v>
      </c>
      <c r="F434" s="78">
        <v>2016</v>
      </c>
      <c r="G434" s="78" t="s">
        <v>44</v>
      </c>
      <c r="H434" s="78">
        <v>9</v>
      </c>
      <c r="I434" s="78">
        <v>1</v>
      </c>
      <c r="J434" s="44">
        <v>2834.5</v>
      </c>
      <c r="K434" s="44">
        <v>1783.4</v>
      </c>
      <c r="L434" s="44">
        <v>0</v>
      </c>
      <c r="M434" s="79">
        <v>147</v>
      </c>
      <c r="N434" s="72">
        <f t="shared" si="166"/>
        <v>3195363.8498400003</v>
      </c>
      <c r="O434" s="44"/>
      <c r="P434" s="68"/>
      <c r="Q434" s="68"/>
      <c r="R434" s="68">
        <f>+AQ434+AR434</f>
        <v>779041.65720000002</v>
      </c>
      <c r="S434" s="68">
        <f>+'Приложение №2'!E434-'Приложение №1'!R434</f>
        <v>2416322.19264</v>
      </c>
      <c r="T434" s="68">
        <v>0</v>
      </c>
      <c r="U434" s="44">
        <f t="shared" si="173"/>
        <v>1791.7258325894359</v>
      </c>
      <c r="V434" s="44">
        <f t="shared" si="173"/>
        <v>1791.7258325894359</v>
      </c>
      <c r="W434" s="80">
        <v>2023</v>
      </c>
      <c r="X434" s="29" t="e">
        <f>+#REF!-'[1]Приложение №1'!$P1625</f>
        <v>#REF!</v>
      </c>
      <c r="Z434" s="31">
        <f t="shared" si="172"/>
        <v>3200641.1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/>
      <c r="AG434" s="27">
        <v>0</v>
      </c>
      <c r="AH434" s="27">
        <v>0</v>
      </c>
      <c r="AI434" s="27">
        <v>2818932.6424140004</v>
      </c>
      <c r="AJ434" s="27">
        <v>0</v>
      </c>
      <c r="AK434" s="27">
        <v>0</v>
      </c>
      <c r="AL434" s="27">
        <v>0</v>
      </c>
      <c r="AM434" s="27">
        <v>288057.69900000002</v>
      </c>
      <c r="AN434" s="32">
        <v>32006.411</v>
      </c>
      <c r="AO434" s="33">
        <v>61644.347586000011</v>
      </c>
      <c r="AP434" s="84">
        <f>+N434-'Приложение №2'!E434</f>
        <v>0</v>
      </c>
      <c r="AQ434" s="1">
        <v>537287.52</v>
      </c>
      <c r="AR434" s="1">
        <f>+(K434*13.29+L434*22.52)*12*0.85</f>
        <v>241754.13719999997</v>
      </c>
      <c r="AS434" s="1">
        <f>+(K434*13.29+L434*22.52)*12*30</f>
        <v>8532498.959999999</v>
      </c>
      <c r="AT434" s="29">
        <f t="shared" si="171"/>
        <v>-6116176.767359999</v>
      </c>
      <c r="AU434" s="29">
        <f>+P434-'[6]Приложение №1'!$P413</f>
        <v>0</v>
      </c>
      <c r="AV434" s="29">
        <f>+Q434-'[6]Приложение №1'!$Q413</f>
        <v>0</v>
      </c>
      <c r="AW434" s="29">
        <f>+R434-'[6]Приложение №1'!$R413</f>
        <v>0</v>
      </c>
      <c r="AX434" s="29">
        <f>+S434-'[6]Приложение №1'!$S413</f>
        <v>0</v>
      </c>
      <c r="AY434" s="29">
        <f>+T434-'[6]Приложение №1'!$T413</f>
        <v>0</v>
      </c>
    </row>
    <row r="435" spans="1:51" x14ac:dyDescent="0.25">
      <c r="A435" s="135">
        <f t="shared" si="175"/>
        <v>418</v>
      </c>
      <c r="B435" s="134">
        <f t="shared" si="175"/>
        <v>230</v>
      </c>
      <c r="C435" s="77" t="s">
        <v>50</v>
      </c>
      <c r="D435" s="77" t="s">
        <v>426</v>
      </c>
      <c r="E435" s="78">
        <v>1972</v>
      </c>
      <c r="F435" s="78">
        <v>2013</v>
      </c>
      <c r="G435" s="78" t="s">
        <v>44</v>
      </c>
      <c r="H435" s="78">
        <v>4</v>
      </c>
      <c r="I435" s="78">
        <v>6</v>
      </c>
      <c r="J435" s="44">
        <v>4437.8999999999996</v>
      </c>
      <c r="K435" s="44">
        <v>4088.2</v>
      </c>
      <c r="L435" s="44">
        <v>0</v>
      </c>
      <c r="M435" s="79">
        <v>207</v>
      </c>
      <c r="N435" s="72">
        <f t="shared" si="166"/>
        <v>13125184.475528559</v>
      </c>
      <c r="O435" s="44"/>
      <c r="P435" s="68">
        <f>+'Приложение №2'!E435-'Приложение №1'!R435-'Приложение №1'!S435</f>
        <v>0</v>
      </c>
      <c r="Q435" s="68"/>
      <c r="R435" s="68">
        <f>+AQ435+AR435</f>
        <v>2349964.75</v>
      </c>
      <c r="S435" s="68">
        <f>+'Приложение №2'!E435-'Приложение №1'!R435</f>
        <v>10775219.725528559</v>
      </c>
      <c r="T435" s="68">
        <f>+'Приложение №2'!E435-'Приложение №1'!P435-'Приложение №1'!Q435-'Приложение №1'!R435-'Приложение №1'!S435</f>
        <v>0</v>
      </c>
      <c r="U435" s="44">
        <f t="shared" si="173"/>
        <v>3210.5044947724082</v>
      </c>
      <c r="V435" s="44">
        <f t="shared" si="173"/>
        <v>3210.5044947724082</v>
      </c>
      <c r="W435" s="80">
        <v>2023</v>
      </c>
      <c r="X435" s="29" t="e">
        <f>+#REF!-'[1]Приложение №1'!$P1456</f>
        <v>#REF!</v>
      </c>
      <c r="Z435" s="31">
        <f t="shared" si="172"/>
        <v>26371012.292399999</v>
      </c>
      <c r="AA435" s="27">
        <v>12305507</v>
      </c>
      <c r="AB435" s="27">
        <v>4288000.4889749996</v>
      </c>
      <c r="AC435" s="27">
        <v>4479954.2738714404</v>
      </c>
      <c r="AD435" s="27">
        <v>3127291</v>
      </c>
      <c r="AE435" s="27">
        <v>0</v>
      </c>
      <c r="AF435" s="27"/>
      <c r="AG435" s="27">
        <v>386031.94970675994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1122564.2276999999</v>
      </c>
      <c r="AN435" s="32">
        <v>134247.94030000002</v>
      </c>
      <c r="AO435" s="33">
        <v>527415.41184680001</v>
      </c>
      <c r="AP435" s="84">
        <f>+N435-'Приложение №2'!E435</f>
        <v>0</v>
      </c>
      <c r="AQ435" s="1">
        <v>1932968.35</v>
      </c>
      <c r="AR435" s="1">
        <f t="shared" ref="AR435:AR441" si="176">+(K435*10+L435*20)*12*0.85</f>
        <v>416996.39999999997</v>
      </c>
      <c r="AS435" s="1">
        <f>+(K435*10+L435*20)*12*30</f>
        <v>14717520</v>
      </c>
      <c r="AT435" s="29">
        <f t="shared" si="171"/>
        <v>-3942300.2744714413</v>
      </c>
      <c r="AU435" s="29">
        <f>+P435-'[6]Приложение №1'!$P414</f>
        <v>0</v>
      </c>
      <c r="AV435" s="29">
        <f>+Q435-'[6]Приложение №1'!$Q414</f>
        <v>0</v>
      </c>
      <c r="AW435" s="29">
        <f>+R435-'[6]Приложение №1'!$R414</f>
        <v>0</v>
      </c>
      <c r="AX435" s="29">
        <f>+S435-'[6]Приложение №1'!$S414</f>
        <v>0</v>
      </c>
      <c r="AY435" s="29">
        <f>+T435-'[6]Приложение №1'!$T414</f>
        <v>0</v>
      </c>
    </row>
    <row r="436" spans="1:51" x14ac:dyDescent="0.25">
      <c r="A436" s="135">
        <f t="shared" si="175"/>
        <v>419</v>
      </c>
      <c r="B436" s="134">
        <f t="shared" si="175"/>
        <v>231</v>
      </c>
      <c r="C436" s="77" t="s">
        <v>103</v>
      </c>
      <c r="D436" s="77" t="s">
        <v>428</v>
      </c>
      <c r="E436" s="78">
        <v>1985</v>
      </c>
      <c r="F436" s="78">
        <v>1985</v>
      </c>
      <c r="G436" s="78" t="s">
        <v>44</v>
      </c>
      <c r="H436" s="78">
        <v>5</v>
      </c>
      <c r="I436" s="78">
        <v>4</v>
      </c>
      <c r="J436" s="44">
        <v>4957.5</v>
      </c>
      <c r="K436" s="44">
        <v>4305.3999999999996</v>
      </c>
      <c r="L436" s="44">
        <v>651.20000000000005</v>
      </c>
      <c r="M436" s="79">
        <v>166</v>
      </c>
      <c r="N436" s="72">
        <f t="shared" si="166"/>
        <v>19747257.494666997</v>
      </c>
      <c r="O436" s="44"/>
      <c r="P436" s="68">
        <f>+'Приложение №2'!E436-'Приложение №1'!R436-'Приложение №1'!S436</f>
        <v>0</v>
      </c>
      <c r="Q436" s="68"/>
      <c r="R436" s="68">
        <f>+AQ436+AR436</f>
        <v>2600649.54</v>
      </c>
      <c r="S436" s="68">
        <f>+'Приложение №2'!E436-'Приложение №1'!R436</f>
        <v>17146607.954666998</v>
      </c>
      <c r="T436" s="68">
        <f>+'Приложение №2'!E436-'Приложение №1'!P436-'Приложение №1'!Q436-'Приложение №1'!R436-'Приложение №1'!S436</f>
        <v>0</v>
      </c>
      <c r="U436" s="44">
        <f t="shared" si="173"/>
        <v>3984.0329045448493</v>
      </c>
      <c r="V436" s="44">
        <f t="shared" si="173"/>
        <v>3984.0329045448493</v>
      </c>
      <c r="W436" s="80">
        <v>2023</v>
      </c>
      <c r="X436" s="29" t="e">
        <f>+#REF!-'[1]Приложение №1'!$P1633</f>
        <v>#REF!</v>
      </c>
      <c r="Z436" s="31">
        <f t="shared" si="172"/>
        <v>19423335.669999994</v>
      </c>
      <c r="AA436" s="27">
        <v>12305784.620476618</v>
      </c>
      <c r="AB436" s="27">
        <v>4512564.0806433605</v>
      </c>
      <c r="AC436" s="27">
        <v>0</v>
      </c>
      <c r="AD436" s="27">
        <v>0</v>
      </c>
      <c r="AE436" s="27">
        <v>0</v>
      </c>
      <c r="AF436" s="27"/>
      <c r="AG436" s="27">
        <v>406248.53806487995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1627838.0182</v>
      </c>
      <c r="AN436" s="32">
        <v>194233.35670000003</v>
      </c>
      <c r="AO436" s="33">
        <v>376667.05591514008</v>
      </c>
      <c r="AP436" s="84">
        <f>+N436-'Приложение №2'!E436</f>
        <v>0</v>
      </c>
      <c r="AQ436" s="1">
        <v>2028653.94</v>
      </c>
      <c r="AR436" s="1">
        <f t="shared" si="176"/>
        <v>571995.6</v>
      </c>
      <c r="AS436" s="1">
        <f>+(K436*10+L436*20)*12*30</f>
        <v>20188080</v>
      </c>
      <c r="AT436" s="29">
        <f t="shared" si="171"/>
        <v>-3041472.0453330018</v>
      </c>
      <c r="AU436" s="29">
        <f>+P436-'[6]Приложение №1'!$P415</f>
        <v>0</v>
      </c>
      <c r="AV436" s="29">
        <f>+Q436-'[6]Приложение №1'!$Q415</f>
        <v>0</v>
      </c>
      <c r="AW436" s="29">
        <f>+R436-'[6]Приложение №1'!$R415</f>
        <v>0</v>
      </c>
      <c r="AX436" s="29">
        <f>+S436-'[6]Приложение №1'!$S415</f>
        <v>0</v>
      </c>
      <c r="AY436" s="29">
        <f>+T436-'[6]Приложение №1'!$T415</f>
        <v>0</v>
      </c>
    </row>
    <row r="437" spans="1:51" x14ac:dyDescent="0.25">
      <c r="A437" s="135">
        <f t="shared" si="175"/>
        <v>420</v>
      </c>
      <c r="B437" s="134">
        <f t="shared" si="175"/>
        <v>232</v>
      </c>
      <c r="C437" s="77" t="s">
        <v>103</v>
      </c>
      <c r="D437" s="77" t="s">
        <v>429</v>
      </c>
      <c r="E437" s="78">
        <v>1988</v>
      </c>
      <c r="F437" s="78">
        <v>1988</v>
      </c>
      <c r="G437" s="78" t="s">
        <v>44</v>
      </c>
      <c r="H437" s="78">
        <v>5</v>
      </c>
      <c r="I437" s="78">
        <v>4</v>
      </c>
      <c r="J437" s="44">
        <v>5038.3999999999996</v>
      </c>
      <c r="K437" s="44">
        <v>3442.8</v>
      </c>
      <c r="L437" s="44">
        <v>1586</v>
      </c>
      <c r="M437" s="79">
        <v>156</v>
      </c>
      <c r="N437" s="72">
        <f t="shared" si="166"/>
        <v>24458262.938600004</v>
      </c>
      <c r="O437" s="44"/>
      <c r="P437" s="68">
        <f>+'Приложение №2'!E437-'Приложение №1'!R437-'Приложение №1'!S437</f>
        <v>7143822.512739202</v>
      </c>
      <c r="Q437" s="68"/>
      <c r="R437" s="68">
        <f>+AR437</f>
        <v>674709.6</v>
      </c>
      <c r="S437" s="68">
        <f>+AS437</f>
        <v>16639730.8258608</v>
      </c>
      <c r="T437" s="68">
        <f>+'Приложение №2'!E437-'Приложение №1'!P437-'Приложение №1'!Q437-'Приложение №1'!R437-'Приложение №1'!S437</f>
        <v>0</v>
      </c>
      <c r="U437" s="44">
        <f t="shared" si="173"/>
        <v>4863.6380326519256</v>
      </c>
      <c r="V437" s="44">
        <f t="shared" si="173"/>
        <v>4863.6380326519256</v>
      </c>
      <c r="W437" s="80">
        <v>2023</v>
      </c>
      <c r="X437" s="29" t="e">
        <f>+#REF!-'[1]Приложение №1'!$P1466</f>
        <v>#REF!</v>
      </c>
      <c r="Z437" s="31">
        <f t="shared" si="172"/>
        <v>50851543.909999996</v>
      </c>
      <c r="AA437" s="27">
        <v>12240570.226002298</v>
      </c>
      <c r="AB437" s="27">
        <v>4488649.7915120395</v>
      </c>
      <c r="AC437" s="27">
        <v>4689585.7163009401</v>
      </c>
      <c r="AD437" s="27">
        <v>0</v>
      </c>
      <c r="AE437" s="27">
        <v>0</v>
      </c>
      <c r="AF437" s="27"/>
      <c r="AG437" s="27">
        <v>404095.62569795997</v>
      </c>
      <c r="AH437" s="27">
        <v>0</v>
      </c>
      <c r="AI437" s="27">
        <v>23028460.340860799</v>
      </c>
      <c r="AJ437" s="27">
        <v>0</v>
      </c>
      <c r="AK437" s="27">
        <v>0</v>
      </c>
      <c r="AL437" s="27">
        <v>0</v>
      </c>
      <c r="AM437" s="27">
        <v>4510858.3295000009</v>
      </c>
      <c r="AN437" s="32">
        <v>508515.43910000008</v>
      </c>
      <c r="AO437" s="33">
        <v>980808.44102596026</v>
      </c>
      <c r="AP437" s="84">
        <f>+N437-'Приложение №2'!E437</f>
        <v>0</v>
      </c>
      <c r="AQ437" s="29">
        <f>2748459.05-R169</f>
        <v>-128443.95999999996</v>
      </c>
      <c r="AR437" s="1">
        <f t="shared" si="176"/>
        <v>674709.6</v>
      </c>
      <c r="AS437" s="1">
        <f>+(K437*10+L437*20)*12*30-S169</f>
        <v>16639730.8258608</v>
      </c>
      <c r="AT437" s="29">
        <f t="shared" si="171"/>
        <v>0</v>
      </c>
      <c r="AU437" s="29">
        <f>+P437-'[6]Приложение №1'!$P416</f>
        <v>0</v>
      </c>
      <c r="AV437" s="29">
        <f>+Q437-'[6]Приложение №1'!$Q416</f>
        <v>0</v>
      </c>
      <c r="AW437" s="29">
        <f>+R437-'[6]Приложение №1'!$R416</f>
        <v>0</v>
      </c>
      <c r="AX437" s="29">
        <f>+S437-'[6]Приложение №1'!$S416</f>
        <v>0</v>
      </c>
      <c r="AY437" s="29">
        <f>+T437-'[6]Приложение №1'!$T416</f>
        <v>0</v>
      </c>
    </row>
    <row r="438" spans="1:51" x14ac:dyDescent="0.25">
      <c r="A438" s="135">
        <f t="shared" si="175"/>
        <v>421</v>
      </c>
      <c r="B438" s="134">
        <f t="shared" si="175"/>
        <v>233</v>
      </c>
      <c r="C438" s="77" t="s">
        <v>103</v>
      </c>
      <c r="D438" s="77" t="s">
        <v>430</v>
      </c>
      <c r="E438" s="78">
        <v>1985</v>
      </c>
      <c r="F438" s="78">
        <v>1985</v>
      </c>
      <c r="G438" s="78" t="s">
        <v>44</v>
      </c>
      <c r="H438" s="78">
        <v>5</v>
      </c>
      <c r="I438" s="78">
        <v>1</v>
      </c>
      <c r="J438" s="44">
        <v>3093.6</v>
      </c>
      <c r="K438" s="44">
        <v>1867</v>
      </c>
      <c r="L438" s="44">
        <v>323</v>
      </c>
      <c r="M438" s="79">
        <v>98</v>
      </c>
      <c r="N438" s="72">
        <f t="shared" si="166"/>
        <v>6450583.4850394018</v>
      </c>
      <c r="O438" s="44"/>
      <c r="P438" s="68">
        <v>686514.50749999983</v>
      </c>
      <c r="Q438" s="68"/>
      <c r="R438" s="68">
        <f>+AQ438+AR438</f>
        <v>1268360.26</v>
      </c>
      <c r="S438" s="68">
        <f>+'Приложение №2'!E438-'Приложение №1'!P438-'Приложение №1'!Q438-'Приложение №1'!R438</f>
        <v>4495708.7175394017</v>
      </c>
      <c r="T438" s="68">
        <f>+'Приложение №2'!E438-'Приложение №1'!P438-'Приложение №1'!Q438-'Приложение №1'!R438-'Приложение №1'!S438</f>
        <v>0</v>
      </c>
      <c r="U438" s="44">
        <f t="shared" si="173"/>
        <v>2945.4719109768957</v>
      </c>
      <c r="V438" s="44">
        <f t="shared" si="173"/>
        <v>2945.4719109768957</v>
      </c>
      <c r="W438" s="80">
        <v>2023</v>
      </c>
      <c r="X438" s="29" t="e">
        <f>+#REF!-'[1]Приложение №1'!$P1470</f>
        <v>#REF!</v>
      </c>
      <c r="Z438" s="31">
        <f t="shared" si="172"/>
        <v>25777981.720000003</v>
      </c>
      <c r="AA438" s="27">
        <v>6939898.4786422197</v>
      </c>
      <c r="AB438" s="27">
        <v>2544879.30231024</v>
      </c>
      <c r="AC438" s="27">
        <v>0</v>
      </c>
      <c r="AD438" s="27">
        <v>0</v>
      </c>
      <c r="AE438" s="27">
        <v>0</v>
      </c>
      <c r="AF438" s="27"/>
      <c r="AG438" s="27">
        <v>229105.55551800001</v>
      </c>
      <c r="AH438" s="27">
        <v>0</v>
      </c>
      <c r="AI438" s="27">
        <v>13056187.249110602</v>
      </c>
      <c r="AJ438" s="27">
        <v>0</v>
      </c>
      <c r="AK438" s="27">
        <v>0</v>
      </c>
      <c r="AL438" s="27">
        <v>0</v>
      </c>
      <c r="AM438" s="27">
        <v>2252195.9907</v>
      </c>
      <c r="AN438" s="32">
        <v>257779.81719999999</v>
      </c>
      <c r="AO438" s="33">
        <v>497935.32651894004</v>
      </c>
      <c r="AP438" s="84">
        <f>+N438-'Приложение №2'!E438</f>
        <v>0</v>
      </c>
      <c r="AQ438" s="1">
        <v>1012034.26</v>
      </c>
      <c r="AR438" s="1">
        <f t="shared" si="176"/>
        <v>256326</v>
      </c>
      <c r="AS438" s="1">
        <f>+(K438*10+L438*20)*12*30</f>
        <v>9046800</v>
      </c>
      <c r="AT438" s="29">
        <f t="shared" si="171"/>
        <v>-4551091.2824605983</v>
      </c>
      <c r="AU438" s="29">
        <f>+P438-'[6]Приложение №1'!$P417</f>
        <v>0</v>
      </c>
      <c r="AV438" s="29">
        <f>+Q438-'[6]Приложение №1'!$Q417</f>
        <v>0</v>
      </c>
      <c r="AW438" s="29">
        <f>+R438-'[6]Приложение №1'!$R417</f>
        <v>0</v>
      </c>
      <c r="AX438" s="29">
        <f>+S438-'[6]Приложение №1'!$S417</f>
        <v>0</v>
      </c>
      <c r="AY438" s="29">
        <f>+T438-'[6]Приложение №1'!$T417</f>
        <v>0</v>
      </c>
    </row>
    <row r="439" spans="1:51" x14ac:dyDescent="0.25">
      <c r="A439" s="135">
        <f t="shared" si="175"/>
        <v>422</v>
      </c>
      <c r="B439" s="134">
        <f t="shared" si="175"/>
        <v>234</v>
      </c>
      <c r="C439" s="77" t="s">
        <v>103</v>
      </c>
      <c r="D439" s="77" t="s">
        <v>432</v>
      </c>
      <c r="E439" s="78">
        <v>1987</v>
      </c>
      <c r="F439" s="78">
        <v>1987</v>
      </c>
      <c r="G439" s="78" t="s">
        <v>44</v>
      </c>
      <c r="H439" s="78">
        <v>5</v>
      </c>
      <c r="I439" s="78">
        <v>1</v>
      </c>
      <c r="J439" s="44">
        <v>2928.7</v>
      </c>
      <c r="K439" s="44">
        <v>2372.1</v>
      </c>
      <c r="L439" s="44">
        <v>221.2</v>
      </c>
      <c r="M439" s="79">
        <v>125</v>
      </c>
      <c r="N439" s="72">
        <f t="shared" si="166"/>
        <v>16843607.011849999</v>
      </c>
      <c r="O439" s="44"/>
      <c r="P439" s="68">
        <v>3489956.9766666661</v>
      </c>
      <c r="Q439" s="68"/>
      <c r="R439" s="68">
        <f>+AR439</f>
        <v>287079</v>
      </c>
      <c r="S439" s="68">
        <f>+AS439</f>
        <v>10132200</v>
      </c>
      <c r="T439" s="68">
        <f>+'Приложение №2'!E439-'Приложение №1'!P439-'Приложение №1'!Q439-'Приложение №1'!R439-'Приложение №1'!S439</f>
        <v>2934371.0351833329</v>
      </c>
      <c r="U439" s="44">
        <f t="shared" ref="U439:V458" si="177">$N439/($K439+$L439)</f>
        <v>6495.0476272895539</v>
      </c>
      <c r="V439" s="44">
        <f t="shared" si="177"/>
        <v>6495.0476272895539</v>
      </c>
      <c r="W439" s="80">
        <v>2023</v>
      </c>
      <c r="X439" s="29" t="e">
        <f>+#REF!-'[1]Приложение №1'!$P1479</f>
        <v>#REF!</v>
      </c>
      <c r="Z439" s="31">
        <f t="shared" si="172"/>
        <v>25208513.880000003</v>
      </c>
      <c r="AA439" s="27">
        <v>6786587.4460183801</v>
      </c>
      <c r="AB439" s="27">
        <v>2488659.7441826407</v>
      </c>
      <c r="AC439" s="27">
        <v>0</v>
      </c>
      <c r="AD439" s="27">
        <v>0</v>
      </c>
      <c r="AE439" s="27">
        <v>0</v>
      </c>
      <c r="AF439" s="27"/>
      <c r="AG439" s="27">
        <v>224044.32360912001</v>
      </c>
      <c r="AH439" s="27">
        <v>0</v>
      </c>
      <c r="AI439" s="27">
        <v>12767759.748387001</v>
      </c>
      <c r="AJ439" s="27">
        <v>0</v>
      </c>
      <c r="AK439" s="27">
        <v>0</v>
      </c>
      <c r="AL439" s="27">
        <v>0</v>
      </c>
      <c r="AM439" s="27">
        <v>2202442.1663000002</v>
      </c>
      <c r="AN439" s="32">
        <v>252085.13879999999</v>
      </c>
      <c r="AO439" s="33">
        <v>486935.3127028601</v>
      </c>
      <c r="AP439" s="84">
        <f>+N439-'Приложение №2'!E439</f>
        <v>0</v>
      </c>
      <c r="AQ439" s="29">
        <f>1039812.33</f>
        <v>1039812.33</v>
      </c>
      <c r="AR439" s="1">
        <f t="shared" si="176"/>
        <v>287079</v>
      </c>
      <c r="AS439" s="1">
        <f>+(K439*10+L439*20)*12*30</f>
        <v>10132200</v>
      </c>
      <c r="AT439" s="29">
        <f t="shared" si="171"/>
        <v>0</v>
      </c>
      <c r="AU439" s="29">
        <f>+P439-'[6]Приложение №1'!$P418</f>
        <v>0</v>
      </c>
      <c r="AV439" s="29">
        <f>+Q439-'[6]Приложение №1'!$Q418</f>
        <v>0</v>
      </c>
      <c r="AW439" s="29">
        <f>+R439-'[6]Приложение №1'!$R418</f>
        <v>0</v>
      </c>
      <c r="AX439" s="29">
        <f>+S439-'[6]Приложение №1'!$S418</f>
        <v>0</v>
      </c>
      <c r="AY439" s="29">
        <f>+T439-'[6]Приложение №1'!$T418</f>
        <v>0</v>
      </c>
    </row>
    <row r="440" spans="1:51" x14ac:dyDescent="0.25">
      <c r="A440" s="135">
        <f t="shared" ref="A440:B455" si="178">+A439+1</f>
        <v>423</v>
      </c>
      <c r="B440" s="134">
        <f t="shared" si="178"/>
        <v>235</v>
      </c>
      <c r="C440" s="77" t="s">
        <v>103</v>
      </c>
      <c r="D440" s="77" t="s">
        <v>433</v>
      </c>
      <c r="E440" s="78">
        <v>1987</v>
      </c>
      <c r="F440" s="78">
        <v>1987</v>
      </c>
      <c r="G440" s="78" t="s">
        <v>44</v>
      </c>
      <c r="H440" s="78">
        <v>5</v>
      </c>
      <c r="I440" s="78">
        <v>4</v>
      </c>
      <c r="J440" s="44">
        <v>4891.3999999999996</v>
      </c>
      <c r="K440" s="44">
        <v>4293.1000000000004</v>
      </c>
      <c r="L440" s="44">
        <v>598.29999999999995</v>
      </c>
      <c r="M440" s="79">
        <v>199</v>
      </c>
      <c r="N440" s="72">
        <f t="shared" si="166"/>
        <v>28815163.8424908</v>
      </c>
      <c r="O440" s="44"/>
      <c r="P440" s="68">
        <f>+'Приложение №2'!E440-'Приложение №1'!R440-'Приложение №1'!S440</f>
        <v>6483712.7524907999</v>
      </c>
      <c r="Q440" s="68"/>
      <c r="R440" s="68">
        <f>+AQ440+AR440</f>
        <v>2568531.09</v>
      </c>
      <c r="S440" s="68">
        <f>+AS440</f>
        <v>19762920</v>
      </c>
      <c r="T440" s="68">
        <f>+'Приложение №2'!E440-'Приложение №1'!P440-'Приложение №1'!Q440-'Приложение №1'!R440-'Приложение №1'!S440</f>
        <v>0</v>
      </c>
      <c r="U440" s="44">
        <f t="shared" si="177"/>
        <v>5890.9849618699755</v>
      </c>
      <c r="V440" s="44">
        <f t="shared" si="177"/>
        <v>5890.9849618699755</v>
      </c>
      <c r="W440" s="80">
        <v>2023</v>
      </c>
      <c r="X440" s="29" t="e">
        <f>+#REF!-'[1]Приложение №1'!$P1634</f>
        <v>#REF!</v>
      </c>
      <c r="Z440" s="31">
        <f t="shared" si="172"/>
        <v>19345683.869999997</v>
      </c>
      <c r="AA440" s="27">
        <v>12256587.796574939</v>
      </c>
      <c r="AB440" s="27">
        <v>4494523.4791594204</v>
      </c>
      <c r="AC440" s="27">
        <v>0</v>
      </c>
      <c r="AD440" s="27">
        <v>0</v>
      </c>
      <c r="AE440" s="27">
        <v>0</v>
      </c>
      <c r="AF440" s="27"/>
      <c r="AG440" s="27">
        <v>404624.41455659998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1621330.1477000001</v>
      </c>
      <c r="AN440" s="32">
        <v>193456.83870000002</v>
      </c>
      <c r="AO440" s="33">
        <v>375161.19330903998</v>
      </c>
      <c r="AP440" s="84">
        <f>+N440-'Приложение №2'!E440</f>
        <v>0</v>
      </c>
      <c r="AQ440" s="1">
        <v>2008581.69</v>
      </c>
      <c r="AR440" s="1">
        <f t="shared" si="176"/>
        <v>559949.4</v>
      </c>
      <c r="AS440" s="1">
        <f>+(K440*10+L440*20)*12*30</f>
        <v>19762920</v>
      </c>
      <c r="AT440" s="29">
        <f t="shared" si="171"/>
        <v>0</v>
      </c>
      <c r="AU440" s="29">
        <f>+P440-'[6]Приложение №1'!$P419</f>
        <v>0</v>
      </c>
      <c r="AV440" s="29">
        <f>+Q440-'[6]Приложение №1'!$Q419</f>
        <v>0</v>
      </c>
      <c r="AW440" s="29">
        <f>+R440-'[6]Приложение №1'!$R419</f>
        <v>0</v>
      </c>
      <c r="AX440" s="29">
        <f>+S440-'[6]Приложение №1'!$S419</f>
        <v>0</v>
      </c>
      <c r="AY440" s="29">
        <f>+T440-'[6]Приложение №1'!$T419</f>
        <v>0</v>
      </c>
    </row>
    <row r="441" spans="1:51" x14ac:dyDescent="0.25">
      <c r="A441" s="135">
        <f t="shared" si="178"/>
        <v>424</v>
      </c>
      <c r="B441" s="134">
        <f t="shared" si="178"/>
        <v>236</v>
      </c>
      <c r="C441" s="77" t="s">
        <v>103</v>
      </c>
      <c r="D441" s="77" t="s">
        <v>434</v>
      </c>
      <c r="E441" s="78">
        <v>1986</v>
      </c>
      <c r="F441" s="78">
        <v>1986</v>
      </c>
      <c r="G441" s="78" t="s">
        <v>44</v>
      </c>
      <c r="H441" s="78">
        <v>5</v>
      </c>
      <c r="I441" s="78">
        <v>4</v>
      </c>
      <c r="J441" s="44">
        <v>4691.8999999999996</v>
      </c>
      <c r="K441" s="44">
        <v>4321.1000000000004</v>
      </c>
      <c r="L441" s="44">
        <v>298</v>
      </c>
      <c r="M441" s="79">
        <v>195</v>
      </c>
      <c r="N441" s="72">
        <f t="shared" si="166"/>
        <v>17059045.641933002</v>
      </c>
      <c r="O441" s="44"/>
      <c r="P441" s="68">
        <v>5099425.17</v>
      </c>
      <c r="Q441" s="68"/>
      <c r="R441" s="68">
        <f>+AQ441+AR441</f>
        <v>1322918.1599999999</v>
      </c>
      <c r="S441" s="68">
        <f>+AS441</f>
        <v>6767397.514069479</v>
      </c>
      <c r="T441" s="68">
        <f>+'Приложение №2'!E441-'Приложение №1'!P441-'Приложение №1'!Q441-'Приложение №1'!R441-'Приложение №1'!S441</f>
        <v>3869304.7978635225</v>
      </c>
      <c r="U441" s="44">
        <f t="shared" si="177"/>
        <v>3693.1535671306101</v>
      </c>
      <c r="V441" s="44">
        <f t="shared" si="177"/>
        <v>3693.1535671306101</v>
      </c>
      <c r="W441" s="80">
        <v>2023</v>
      </c>
      <c r="X441" s="29" t="e">
        <f>+#REF!-'[1]Приложение №1'!$P1635</f>
        <v>#REF!</v>
      </c>
      <c r="Z441" s="31">
        <f t="shared" si="172"/>
        <v>19513628.469999999</v>
      </c>
      <c r="AA441" s="27">
        <v>12362990.22966462</v>
      </c>
      <c r="AB441" s="27">
        <v>4533541.53030576</v>
      </c>
      <c r="AC441" s="27">
        <v>0</v>
      </c>
      <c r="AD441" s="27">
        <v>0</v>
      </c>
      <c r="AE441" s="27">
        <v>0</v>
      </c>
      <c r="AF441" s="27"/>
      <c r="AG441" s="27">
        <v>408137.05600247998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1635405.3101999999</v>
      </c>
      <c r="AN441" s="32">
        <v>195136.28469999999</v>
      </c>
      <c r="AO441" s="33">
        <v>378418.05912714003</v>
      </c>
      <c r="AP441" s="84">
        <f>+N441-'Приложение №2'!E441</f>
        <v>0</v>
      </c>
      <c r="AQ441" s="29">
        <f>1886055.9-R170</f>
        <v>821373.96</v>
      </c>
      <c r="AR441" s="1">
        <f t="shared" si="176"/>
        <v>501544.2</v>
      </c>
      <c r="AS441" s="1">
        <f>+(K441*10+L441*20)*12*30-S170</f>
        <v>6767397.514069479</v>
      </c>
      <c r="AT441" s="29">
        <f t="shared" si="171"/>
        <v>0</v>
      </c>
      <c r="AU441" s="29">
        <f>+P441-'[6]Приложение №1'!$P420</f>
        <v>-5030178.2581183314</v>
      </c>
      <c r="AV441" s="29">
        <f>+Q441-'[6]Приложение №1'!$Q420</f>
        <v>0</v>
      </c>
      <c r="AW441" s="29">
        <f>+R441-'[6]Приложение №1'!$R420</f>
        <v>-1064681.9400000002</v>
      </c>
      <c r="AX441" s="29">
        <f>+S441-'[6]Приложение №1'!$S420</f>
        <v>-10934162.485930521</v>
      </c>
      <c r="AY441" s="29">
        <f>+T441-'[6]Приложение №1'!$T420</f>
        <v>1514055.4140488524</v>
      </c>
    </row>
    <row r="442" spans="1:51" x14ac:dyDescent="0.25">
      <c r="A442" s="135">
        <f t="shared" si="178"/>
        <v>425</v>
      </c>
      <c r="B442" s="134">
        <f t="shared" si="178"/>
        <v>237</v>
      </c>
      <c r="C442" s="77" t="s">
        <v>104</v>
      </c>
      <c r="D442" s="77" t="s">
        <v>519</v>
      </c>
      <c r="E442" s="78">
        <v>2003</v>
      </c>
      <c r="F442" s="78">
        <v>2003</v>
      </c>
      <c r="G442" s="78" t="s">
        <v>44</v>
      </c>
      <c r="H442" s="78">
        <v>6</v>
      </c>
      <c r="I442" s="78">
        <v>2</v>
      </c>
      <c r="J442" s="44">
        <v>4628.5</v>
      </c>
      <c r="K442" s="44">
        <v>3639.6</v>
      </c>
      <c r="L442" s="44">
        <v>0</v>
      </c>
      <c r="M442" s="79">
        <v>142</v>
      </c>
      <c r="N442" s="72">
        <f t="shared" si="166"/>
        <v>22010479.830000002</v>
      </c>
      <c r="O442" s="44"/>
      <c r="P442" s="68">
        <v>886090.96180000121</v>
      </c>
      <c r="Q442" s="68"/>
      <c r="R442" s="68">
        <f>+AQ442+AR442</f>
        <v>2164436.5467999997</v>
      </c>
      <c r="S442" s="68">
        <f>+AS442</f>
        <v>17413302.239999998</v>
      </c>
      <c r="T442" s="68">
        <f>+'Приложение №2'!E442-'Приложение №1'!P442-'Приложение №1'!Q442-'Приложение №1'!R442-'Приложение №1'!S442</f>
        <v>1546650.0814000033</v>
      </c>
      <c r="U442" s="44">
        <f t="shared" si="177"/>
        <v>6047.4996785361036</v>
      </c>
      <c r="V442" s="44">
        <f t="shared" si="177"/>
        <v>6047.4996785361036</v>
      </c>
      <c r="W442" s="80">
        <v>2023</v>
      </c>
      <c r="X442" s="29" t="e">
        <f>+#REF!-'[1]Приложение №1'!$P1641</f>
        <v>#REF!</v>
      </c>
      <c r="Z442" s="31">
        <f t="shared" si="172"/>
        <v>22231583.710000001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/>
      <c r="AG442" s="27">
        <v>0</v>
      </c>
      <c r="AH442" s="27">
        <v>0</v>
      </c>
      <c r="AI442" s="27">
        <v>19580245.036745403</v>
      </c>
      <c r="AJ442" s="27">
        <v>0</v>
      </c>
      <c r="AK442" s="27">
        <v>0</v>
      </c>
      <c r="AL442" s="27">
        <v>0</v>
      </c>
      <c r="AM442" s="27">
        <v>2000842.5338999999</v>
      </c>
      <c r="AN442" s="32">
        <v>222315.8371</v>
      </c>
      <c r="AO442" s="33">
        <v>428180.3022546001</v>
      </c>
      <c r="AP442" s="84">
        <f>+N442-'Приложение №2'!E442</f>
        <v>0</v>
      </c>
      <c r="AQ442" s="1">
        <v>1671059.65</v>
      </c>
      <c r="AR442" s="1">
        <f>+(K442*13.29+L442*22.52)*12*0.85</f>
        <v>493376.89679999993</v>
      </c>
      <c r="AS442" s="1">
        <f>+(K442*13.29+L442*22.52)*12*30</f>
        <v>17413302.239999998</v>
      </c>
      <c r="AT442" s="29">
        <f t="shared" si="171"/>
        <v>0</v>
      </c>
      <c r="AU442" s="29">
        <f>+P442-'[6]Приложение №1'!$P421</f>
        <v>0</v>
      </c>
      <c r="AV442" s="29">
        <f>+Q442-'[6]Приложение №1'!$Q421</f>
        <v>0</v>
      </c>
      <c r="AW442" s="29">
        <f>+R442-'[6]Приложение №1'!$R421</f>
        <v>0</v>
      </c>
      <c r="AX442" s="29">
        <f>+S442-'[6]Приложение №1'!$S421</f>
        <v>0</v>
      </c>
      <c r="AY442" s="29">
        <f>+T442-'[6]Приложение №1'!$T421</f>
        <v>0</v>
      </c>
    </row>
    <row r="443" spans="1:51" x14ac:dyDescent="0.25">
      <c r="A443" s="135">
        <f t="shared" si="178"/>
        <v>426</v>
      </c>
      <c r="B443" s="134">
        <f t="shared" si="178"/>
        <v>238</v>
      </c>
      <c r="C443" s="77" t="s">
        <v>104</v>
      </c>
      <c r="D443" s="77" t="s">
        <v>435</v>
      </c>
      <c r="E443" s="78">
        <v>1995</v>
      </c>
      <c r="F443" s="78">
        <v>2009</v>
      </c>
      <c r="G443" s="78" t="s">
        <v>44</v>
      </c>
      <c r="H443" s="78">
        <v>5</v>
      </c>
      <c r="I443" s="78">
        <v>2</v>
      </c>
      <c r="J443" s="44">
        <v>2134.1999999999998</v>
      </c>
      <c r="K443" s="44">
        <v>1911.8</v>
      </c>
      <c r="L443" s="44">
        <v>0</v>
      </c>
      <c r="M443" s="79">
        <v>75</v>
      </c>
      <c r="N443" s="72">
        <f t="shared" si="166"/>
        <v>3633489.3452695999</v>
      </c>
      <c r="O443" s="44"/>
      <c r="P443" s="68">
        <v>930573.32250000024</v>
      </c>
      <c r="Q443" s="68"/>
      <c r="R443" s="68">
        <f>+AQ443+AR443</f>
        <v>1062863.97</v>
      </c>
      <c r="S443" s="68">
        <f>+'Приложение №2'!E443-'Приложение №1'!P443-'Приложение №1'!Q443-'Приложение №1'!R443</f>
        <v>1640052.0527695997</v>
      </c>
      <c r="T443" s="68">
        <f>+'Приложение №2'!E443-'Приложение №1'!P443-'Приложение №1'!Q443-'Приложение №1'!R443-'Приложение №1'!S443</f>
        <v>0</v>
      </c>
      <c r="U443" s="44">
        <f t="shared" si="177"/>
        <v>1900.5593395070614</v>
      </c>
      <c r="V443" s="44">
        <f t="shared" si="177"/>
        <v>1900.5593395070614</v>
      </c>
      <c r="W443" s="80">
        <v>2023</v>
      </c>
      <c r="X443" s="29" t="e">
        <f>+#REF!-'[1]Приложение №1'!$P1486</f>
        <v>#REF!</v>
      </c>
      <c r="Z443" s="31">
        <f t="shared" si="172"/>
        <v>11647646.460000001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/>
      <c r="AG443" s="27">
        <v>0</v>
      </c>
      <c r="AH443" s="27">
        <v>0</v>
      </c>
      <c r="AI443" s="27">
        <v>10258548.143180402</v>
      </c>
      <c r="AJ443" s="27">
        <v>0</v>
      </c>
      <c r="AK443" s="27">
        <v>0</v>
      </c>
      <c r="AL443" s="27">
        <v>0</v>
      </c>
      <c r="AM443" s="27">
        <v>1048288.1814</v>
      </c>
      <c r="AN443" s="32">
        <v>116476.46460000001</v>
      </c>
      <c r="AO443" s="33">
        <v>224333.67081960003</v>
      </c>
      <c r="AP443" s="84">
        <f>+N443-'Приложение №2'!E443</f>
        <v>0</v>
      </c>
      <c r="AQ443" s="1">
        <v>867860.37</v>
      </c>
      <c r="AR443" s="1">
        <f t="shared" ref="AR443:AR460" si="179">+(K443*10+L443*20)*12*0.85</f>
        <v>195003.6</v>
      </c>
      <c r="AS443" s="1">
        <f>+(K443*10+L443*20)*12*30</f>
        <v>6882480</v>
      </c>
      <c r="AT443" s="29">
        <f t="shared" si="171"/>
        <v>-5242427.9472304005</v>
      </c>
      <c r="AU443" s="29">
        <f>+P443-'[6]Приложение №1'!$P422</f>
        <v>0</v>
      </c>
      <c r="AV443" s="29">
        <f>+Q443-'[6]Приложение №1'!$Q422</f>
        <v>0</v>
      </c>
      <c r="AW443" s="29">
        <f>+R443-'[6]Приложение №1'!$R422</f>
        <v>0</v>
      </c>
      <c r="AX443" s="29">
        <f>+S443-'[6]Приложение №1'!$S422</f>
        <v>0</v>
      </c>
      <c r="AY443" s="29">
        <f>+T443-'[6]Приложение №1'!$T422</f>
        <v>0</v>
      </c>
    </row>
    <row r="444" spans="1:51" x14ac:dyDescent="0.25">
      <c r="A444" s="135">
        <f t="shared" si="178"/>
        <v>427</v>
      </c>
      <c r="B444" s="134">
        <f t="shared" si="178"/>
        <v>239</v>
      </c>
      <c r="C444" s="77" t="s">
        <v>253</v>
      </c>
      <c r="D444" s="77" t="s">
        <v>522</v>
      </c>
      <c r="E444" s="78">
        <v>1982</v>
      </c>
      <c r="F444" s="78">
        <v>1982</v>
      </c>
      <c r="G444" s="78" t="s">
        <v>44</v>
      </c>
      <c r="H444" s="78">
        <v>5</v>
      </c>
      <c r="I444" s="78">
        <v>1</v>
      </c>
      <c r="J444" s="44">
        <v>982.9</v>
      </c>
      <c r="K444" s="44">
        <v>982.9</v>
      </c>
      <c r="L444" s="44">
        <v>0</v>
      </c>
      <c r="M444" s="79">
        <v>23</v>
      </c>
      <c r="N444" s="72">
        <f t="shared" si="166"/>
        <v>1832846.1297638123</v>
      </c>
      <c r="O444" s="44"/>
      <c r="P444" s="68">
        <v>1398916.8396544</v>
      </c>
      <c r="Q444" s="68"/>
      <c r="R444" s="68">
        <f>+AR444</f>
        <v>100255.8</v>
      </c>
      <c r="S444" s="68">
        <v>0</v>
      </c>
      <c r="T444" s="68">
        <f>+'Приложение №2'!E444-'Приложение №1'!P444-'Приложение №1'!Q444-'Приложение №1'!R444-'Приложение №1'!S444</f>
        <v>333673.49010941229</v>
      </c>
      <c r="U444" s="44">
        <f t="shared" si="177"/>
        <v>1864.7330651783623</v>
      </c>
      <c r="V444" s="44">
        <f t="shared" si="177"/>
        <v>1864.7330651783623</v>
      </c>
      <c r="W444" s="80">
        <v>2023</v>
      </c>
      <c r="X444" s="29" t="e">
        <f>+#REF!-'[1]Приложение №1'!$P1857</f>
        <v>#REF!</v>
      </c>
      <c r="Z444" s="31">
        <f t="shared" si="172"/>
        <v>25846647.639999997</v>
      </c>
      <c r="AA444" s="27">
        <v>3015626.05896552</v>
      </c>
      <c r="AB444" s="27">
        <v>1381996.98965328</v>
      </c>
      <c r="AC444" s="27">
        <v>1398423.8962755599</v>
      </c>
      <c r="AD444" s="27">
        <v>910108.47884880006</v>
      </c>
      <c r="AE444" s="27">
        <v>0</v>
      </c>
      <c r="AF444" s="27"/>
      <c r="AG444" s="27">
        <v>91642.682540640002</v>
      </c>
      <c r="AH444" s="27">
        <v>0</v>
      </c>
      <c r="AI444" s="27">
        <v>7209302.2726031998</v>
      </c>
      <c r="AJ444" s="27">
        <v>0</v>
      </c>
      <c r="AK444" s="27">
        <v>3664064.3373272396</v>
      </c>
      <c r="AL444" s="27">
        <v>4963125.4813509602</v>
      </c>
      <c r="AM444" s="27">
        <v>2458924.8816</v>
      </c>
      <c r="AN444" s="32">
        <v>258466.47640000001</v>
      </c>
      <c r="AO444" s="33">
        <v>494966.08443480008</v>
      </c>
      <c r="AP444" s="84">
        <f>+N444-'Приложение №2'!E444</f>
        <v>0</v>
      </c>
      <c r="AQ444" s="29">
        <f>344430.27-R172</f>
        <v>34340.72000000003</v>
      </c>
      <c r="AR444" s="1">
        <f t="shared" si="179"/>
        <v>100255.8</v>
      </c>
      <c r="AS444" s="1">
        <f>+(K444*10+L444*20)*12*30-S172</f>
        <v>6523.44023618754</v>
      </c>
      <c r="AT444" s="29">
        <f t="shared" si="171"/>
        <v>-6523.44023618754</v>
      </c>
      <c r="AU444" s="29">
        <f>+P444-'[6]Приложение №1'!$P423</f>
        <v>0</v>
      </c>
      <c r="AV444" s="29">
        <f>+Q444-'[6]Приложение №1'!$Q423</f>
        <v>0</v>
      </c>
      <c r="AW444" s="29">
        <f>+R444-'[6]Приложение №1'!$R423</f>
        <v>0</v>
      </c>
      <c r="AX444" s="29">
        <f>+S444-'[6]Приложение №1'!$S423</f>
        <v>0</v>
      </c>
      <c r="AY444" s="29">
        <f>+T444-'[6]Приложение №1'!$T423</f>
        <v>0</v>
      </c>
    </row>
    <row r="445" spans="1:51" x14ac:dyDescent="0.25">
      <c r="A445" s="135">
        <f t="shared" si="178"/>
        <v>428</v>
      </c>
      <c r="B445" s="134">
        <f t="shared" si="178"/>
        <v>240</v>
      </c>
      <c r="C445" s="77" t="s">
        <v>253</v>
      </c>
      <c r="D445" s="77" t="s">
        <v>437</v>
      </c>
      <c r="E445" s="78">
        <v>1979</v>
      </c>
      <c r="F445" s="78">
        <v>2013</v>
      </c>
      <c r="G445" s="78" t="s">
        <v>44</v>
      </c>
      <c r="H445" s="78">
        <v>4</v>
      </c>
      <c r="I445" s="78">
        <v>2</v>
      </c>
      <c r="J445" s="44">
        <v>1304.3</v>
      </c>
      <c r="K445" s="44">
        <v>1304.3</v>
      </c>
      <c r="L445" s="44">
        <v>0</v>
      </c>
      <c r="M445" s="79">
        <v>47</v>
      </c>
      <c r="N445" s="72">
        <f t="shared" si="166"/>
        <v>8034419.9657033104</v>
      </c>
      <c r="O445" s="44"/>
      <c r="P445" s="68">
        <v>2682675.2085677697</v>
      </c>
      <c r="Q445" s="68"/>
      <c r="R445" s="68">
        <f>+AR445</f>
        <v>133038.6</v>
      </c>
      <c r="S445" s="68">
        <f>+AS445</f>
        <v>4695480</v>
      </c>
      <c r="T445" s="68">
        <f>+'Приложение №2'!E445-'Приложение №1'!P445-'Приложение №1'!Q445-'Приложение №1'!R445-'Приложение №1'!S445</f>
        <v>523226.15713554062</v>
      </c>
      <c r="U445" s="44">
        <f t="shared" si="177"/>
        <v>6159.9478384599488</v>
      </c>
      <c r="V445" s="44">
        <f t="shared" si="177"/>
        <v>6159.9478384599488</v>
      </c>
      <c r="W445" s="80">
        <v>2023</v>
      </c>
      <c r="X445" s="29" t="e">
        <f>+#REF!-'[1]Приложение №1'!$P1474</f>
        <v>#REF!</v>
      </c>
      <c r="Z445" s="31">
        <f t="shared" si="172"/>
        <v>28614187.700000003</v>
      </c>
      <c r="AA445" s="27">
        <v>0</v>
      </c>
      <c r="AB445" s="27">
        <v>0</v>
      </c>
      <c r="AC445" s="27">
        <v>1925825.0481519001</v>
      </c>
      <c r="AD445" s="27">
        <v>1253346.5063616</v>
      </c>
      <c r="AE445" s="27">
        <v>0</v>
      </c>
      <c r="AF445" s="27"/>
      <c r="AG445" s="27">
        <v>0</v>
      </c>
      <c r="AH445" s="27">
        <v>0</v>
      </c>
      <c r="AI445" s="27">
        <v>9928216.292715</v>
      </c>
      <c r="AJ445" s="27">
        <v>0</v>
      </c>
      <c r="AK445" s="27">
        <v>5045928.4281096598</v>
      </c>
      <c r="AL445" s="27">
        <v>6834917.0833343398</v>
      </c>
      <c r="AM445" s="27">
        <v>2793370.4105000002</v>
      </c>
      <c r="AN445" s="32">
        <v>286141.87699999998</v>
      </c>
      <c r="AO445" s="33">
        <v>546442.05382749997</v>
      </c>
      <c r="AP445" s="84">
        <f>+N445-'Приложение №2'!E445</f>
        <v>0</v>
      </c>
      <c r="AQ445" s="29">
        <f>505122.22</f>
        <v>505122.22</v>
      </c>
      <c r="AR445" s="1">
        <f t="shared" si="179"/>
        <v>133038.6</v>
      </c>
      <c r="AS445" s="1">
        <f>+(K445*10+L445*20)*12*30</f>
        <v>4695480</v>
      </c>
      <c r="AT445" s="29">
        <f t="shared" si="171"/>
        <v>0</v>
      </c>
      <c r="AU445" s="29">
        <f>+P445-'[6]Приложение №1'!$P424</f>
        <v>0</v>
      </c>
      <c r="AV445" s="29">
        <f>+Q445-'[6]Приложение №1'!$Q424</f>
        <v>0</v>
      </c>
      <c r="AW445" s="29">
        <f>+R445-'[6]Приложение №1'!$R424</f>
        <v>0</v>
      </c>
      <c r="AX445" s="29">
        <f>+S445-'[6]Приложение №1'!$S424</f>
        <v>0</v>
      </c>
      <c r="AY445" s="29">
        <f>+T445-'[6]Приложение №1'!$T424</f>
        <v>0</v>
      </c>
    </row>
    <row r="446" spans="1:51" x14ac:dyDescent="0.25">
      <c r="A446" s="135">
        <f t="shared" si="178"/>
        <v>429</v>
      </c>
      <c r="B446" s="134">
        <f t="shared" si="178"/>
        <v>241</v>
      </c>
      <c r="C446" s="77" t="s">
        <v>253</v>
      </c>
      <c r="D446" s="77" t="s">
        <v>255</v>
      </c>
      <c r="E446" s="78">
        <v>1979</v>
      </c>
      <c r="F446" s="78">
        <v>1979</v>
      </c>
      <c r="G446" s="78" t="s">
        <v>44</v>
      </c>
      <c r="H446" s="78">
        <v>4</v>
      </c>
      <c r="I446" s="78">
        <v>2</v>
      </c>
      <c r="J446" s="44">
        <v>1251.7</v>
      </c>
      <c r="K446" s="44">
        <v>1251.7</v>
      </c>
      <c r="L446" s="44">
        <v>0</v>
      </c>
      <c r="M446" s="79">
        <v>44</v>
      </c>
      <c r="N446" s="72">
        <f t="shared" si="166"/>
        <v>9688406.258375138</v>
      </c>
      <c r="O446" s="44"/>
      <c r="P446" s="68">
        <v>2843838.4141774648</v>
      </c>
      <c r="Q446" s="68"/>
      <c r="R446" s="68">
        <f>+AR446</f>
        <v>127673.4</v>
      </c>
      <c r="S446" s="68">
        <f>+AS446</f>
        <v>3216138.08</v>
      </c>
      <c r="T446" s="68">
        <f>+'Приложение №2'!E446-'Приложение №1'!P446-'Приложение №1'!Q446-'Приложение №1'!R446-'Приложение №1'!S446</f>
        <v>3500756.3641976733</v>
      </c>
      <c r="U446" s="44">
        <f t="shared" si="177"/>
        <v>7740.198336961842</v>
      </c>
      <c r="V446" s="44">
        <f t="shared" si="177"/>
        <v>7740.198336961842</v>
      </c>
      <c r="W446" s="80">
        <v>2023</v>
      </c>
      <c r="X446" s="29" t="e">
        <f>+#REF!-'[1]Приложение №1'!$P1191</f>
        <v>#REF!</v>
      </c>
      <c r="Z446" s="31">
        <f t="shared" si="172"/>
        <v>10704920.850000001</v>
      </c>
      <c r="AA446" s="27">
        <v>4162366.3452462004</v>
      </c>
      <c r="AB446" s="27">
        <v>1907523.5611068003</v>
      </c>
      <c r="AC446" s="27">
        <v>1930197.0630411</v>
      </c>
      <c r="AD446" s="27">
        <v>1256191.858278</v>
      </c>
      <c r="AE446" s="27">
        <v>0</v>
      </c>
      <c r="AF446" s="27"/>
      <c r="AG446" s="27">
        <v>126491.2857684</v>
      </c>
      <c r="AH446" s="27">
        <v>0</v>
      </c>
      <c r="AI446" s="27"/>
      <c r="AJ446" s="27">
        <v>0</v>
      </c>
      <c r="AK446" s="27"/>
      <c r="AL446" s="27"/>
      <c r="AM446" s="27">
        <v>1009919.3489999999</v>
      </c>
      <c r="AN446" s="32">
        <v>107049.20850000002</v>
      </c>
      <c r="AO446" s="33">
        <v>205182.17905950005</v>
      </c>
      <c r="AP446" s="84">
        <f>+N446-'Приложение №2'!E446</f>
        <v>0</v>
      </c>
      <c r="AQ446" s="29">
        <f>438075.68</f>
        <v>438075.68</v>
      </c>
      <c r="AR446" s="1">
        <f t="shared" si="179"/>
        <v>127673.4</v>
      </c>
      <c r="AS446" s="1">
        <f>+(K446*10+L446*20)*12*30-1289981.92</f>
        <v>3216138.08</v>
      </c>
      <c r="AT446" s="29">
        <f t="shared" si="171"/>
        <v>0</v>
      </c>
      <c r="AU446" s="29">
        <f>+P446-'[6]Приложение №1'!$P425</f>
        <v>0</v>
      </c>
      <c r="AV446" s="29">
        <f>+Q446-'[6]Приложение №1'!$Q425</f>
        <v>0</v>
      </c>
      <c r="AW446" s="29">
        <f>+R446-'[6]Приложение №1'!$R425</f>
        <v>0</v>
      </c>
      <c r="AX446" s="29">
        <f>+S446-'[6]Приложение №1'!$S425</f>
        <v>0</v>
      </c>
      <c r="AY446" s="29">
        <f>+T446-'[6]Приложение №1'!$T425</f>
        <v>0</v>
      </c>
    </row>
    <row r="447" spans="1:51" x14ac:dyDescent="0.25">
      <c r="A447" s="135">
        <f t="shared" si="178"/>
        <v>430</v>
      </c>
      <c r="B447" s="134">
        <f t="shared" si="178"/>
        <v>242</v>
      </c>
      <c r="C447" s="77" t="s">
        <v>253</v>
      </c>
      <c r="D447" s="77" t="s">
        <v>256</v>
      </c>
      <c r="E447" s="78">
        <v>1972</v>
      </c>
      <c r="F447" s="78">
        <v>1972</v>
      </c>
      <c r="G447" s="78" t="s">
        <v>44</v>
      </c>
      <c r="H447" s="78">
        <v>4</v>
      </c>
      <c r="I447" s="78">
        <v>2</v>
      </c>
      <c r="J447" s="44">
        <v>1471.5</v>
      </c>
      <c r="K447" s="44">
        <v>1257.9000000000001</v>
      </c>
      <c r="L447" s="44">
        <v>0</v>
      </c>
      <c r="M447" s="79">
        <v>37</v>
      </c>
      <c r="N447" s="72">
        <f t="shared" si="166"/>
        <v>6648750.9974127999</v>
      </c>
      <c r="O447" s="44"/>
      <c r="P447" s="68">
        <v>331357.31247093313</v>
      </c>
      <c r="Q447" s="68"/>
      <c r="R447" s="68">
        <f t="shared" ref="R447:R469" si="180">+AQ447+AR447</f>
        <v>466035.92</v>
      </c>
      <c r="S447" s="68">
        <f>+AS447</f>
        <v>4528440</v>
      </c>
      <c r="T447" s="68">
        <f>+'Приложение №2'!E447-'Приложение №1'!P447-'Приложение №1'!Q447-'Приложение №1'!R447-'Приложение №1'!S447</f>
        <v>1322917.7649418665</v>
      </c>
      <c r="U447" s="44">
        <f t="shared" si="177"/>
        <v>5285.5958322702909</v>
      </c>
      <c r="V447" s="44">
        <f t="shared" si="177"/>
        <v>5285.5958322702909</v>
      </c>
      <c r="W447" s="80">
        <v>2023</v>
      </c>
      <c r="X447" s="29" t="e">
        <f>+#REF!-'[1]Приложение №1'!$P859</f>
        <v>#REF!</v>
      </c>
      <c r="Z447" s="31">
        <f t="shared" si="172"/>
        <v>16159497.98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/>
      <c r="AG447" s="27">
        <v>0</v>
      </c>
      <c r="AH447" s="27">
        <v>0</v>
      </c>
      <c r="AI447" s="27">
        <v>0</v>
      </c>
      <c r="AJ447" s="27">
        <v>0</v>
      </c>
      <c r="AK447" s="27">
        <v>5977461.9471230991</v>
      </c>
      <c r="AL447" s="27">
        <v>8096717.4565498196</v>
      </c>
      <c r="AM447" s="27">
        <v>1615949.7980000002</v>
      </c>
      <c r="AN447" s="32">
        <v>161594.9798</v>
      </c>
      <c r="AO447" s="33">
        <v>307773.79852707998</v>
      </c>
      <c r="AP447" s="84">
        <f>+N447-'Приложение №2'!E447</f>
        <v>0</v>
      </c>
      <c r="AQ447" s="1">
        <f>337730.12</f>
        <v>337730.12</v>
      </c>
      <c r="AR447" s="1">
        <f t="shared" si="179"/>
        <v>128305.8</v>
      </c>
      <c r="AS447" s="1">
        <f>+(K447*10+L447*20)*12*30</f>
        <v>4528440</v>
      </c>
      <c r="AT447" s="29">
        <f t="shared" si="171"/>
        <v>0</v>
      </c>
      <c r="AU447" s="29">
        <f>+P447-'[6]Приложение №1'!$P426</f>
        <v>0</v>
      </c>
      <c r="AV447" s="29">
        <f>+Q447-'[6]Приложение №1'!$Q426</f>
        <v>0</v>
      </c>
      <c r="AW447" s="29">
        <f>+R447-'[6]Приложение №1'!$R426</f>
        <v>0</v>
      </c>
      <c r="AX447" s="29">
        <f>+S447-'[6]Приложение №1'!$S426</f>
        <v>0</v>
      </c>
      <c r="AY447" s="29">
        <f>+T447-'[6]Приложение №1'!$T426</f>
        <v>0</v>
      </c>
    </row>
    <row r="448" spans="1:51" x14ac:dyDescent="0.25">
      <c r="A448" s="135">
        <f t="shared" si="178"/>
        <v>431</v>
      </c>
      <c r="B448" s="134">
        <f t="shared" si="178"/>
        <v>243</v>
      </c>
      <c r="C448" s="77" t="s">
        <v>253</v>
      </c>
      <c r="D448" s="77" t="s">
        <v>438</v>
      </c>
      <c r="E448" s="78">
        <v>1975</v>
      </c>
      <c r="F448" s="78">
        <v>2010</v>
      </c>
      <c r="G448" s="78" t="s">
        <v>44</v>
      </c>
      <c r="H448" s="78">
        <v>4</v>
      </c>
      <c r="I448" s="78">
        <v>2</v>
      </c>
      <c r="J448" s="44">
        <v>1415.4</v>
      </c>
      <c r="K448" s="44">
        <v>1415.4</v>
      </c>
      <c r="L448" s="44">
        <v>0</v>
      </c>
      <c r="M448" s="79">
        <v>39</v>
      </c>
      <c r="N448" s="72">
        <f t="shared" si="166"/>
        <v>9102569.4658067226</v>
      </c>
      <c r="O448" s="44"/>
      <c r="P448" s="68">
        <v>1386547.1137890664</v>
      </c>
      <c r="Q448" s="68"/>
      <c r="R448" s="68">
        <f t="shared" si="180"/>
        <v>231788.24</v>
      </c>
      <c r="S448" s="68">
        <f>+AS448</f>
        <v>4466725.7279000003</v>
      </c>
      <c r="T448" s="68">
        <f>+'Приложение №2'!E448-'Приложение №1'!P448-'Приложение №1'!Q448-'Приложение №1'!R448-'Приложение №1'!S448</f>
        <v>3017508.3841176555</v>
      </c>
      <c r="U448" s="44">
        <f t="shared" si="177"/>
        <v>6431.0933063492457</v>
      </c>
      <c r="V448" s="44">
        <f t="shared" si="177"/>
        <v>6431.0933063492457</v>
      </c>
      <c r="W448" s="80">
        <v>2023</v>
      </c>
      <c r="X448" s="29" t="e">
        <f>+#REF!-'[1]Приложение №1'!$P1245</f>
        <v>#REF!</v>
      </c>
      <c r="Z448" s="31">
        <f t="shared" si="172"/>
        <v>29462353.34</v>
      </c>
      <c r="AA448" s="27">
        <v>0</v>
      </c>
      <c r="AB448" s="27">
        <v>0</v>
      </c>
      <c r="AC448" s="27">
        <v>1982909.2719916198</v>
      </c>
      <c r="AD448" s="27">
        <v>1290497.4993876</v>
      </c>
      <c r="AE448" s="27">
        <v>0</v>
      </c>
      <c r="AF448" s="27"/>
      <c r="AG448" s="27">
        <v>0</v>
      </c>
      <c r="AH448" s="27">
        <v>0</v>
      </c>
      <c r="AI448" s="27">
        <v>10222502.889866399</v>
      </c>
      <c r="AJ448" s="27">
        <v>0</v>
      </c>
      <c r="AK448" s="27">
        <v>5195496.9927289803</v>
      </c>
      <c r="AL448" s="27">
        <v>7037513.8477249201</v>
      </c>
      <c r="AM448" s="27">
        <v>2876169.9234000002</v>
      </c>
      <c r="AN448" s="32">
        <v>294623.53340000001</v>
      </c>
      <c r="AO448" s="33">
        <v>562639.38150048</v>
      </c>
      <c r="AP448" s="84">
        <f>+N448-'Приложение №2'!E448</f>
        <v>0</v>
      </c>
      <c r="AQ448" s="1">
        <f>559628.74-472211.3</f>
        <v>87417.44</v>
      </c>
      <c r="AR448" s="1">
        <f t="shared" si="179"/>
        <v>144370.79999999999</v>
      </c>
      <c r="AS448" s="1">
        <f>+(K448*10+L448*20)*12*30-628714.2721</f>
        <v>4466725.7279000003</v>
      </c>
      <c r="AT448" s="29">
        <f t="shared" si="171"/>
        <v>0</v>
      </c>
      <c r="AU448" s="29">
        <f>+P448-'[6]Приложение №1'!$P427</f>
        <v>0</v>
      </c>
      <c r="AV448" s="29">
        <f>+Q448-'[6]Приложение №1'!$Q427</f>
        <v>0</v>
      </c>
      <c r="AW448" s="29">
        <f>+R448-'[6]Приложение №1'!$R427</f>
        <v>0</v>
      </c>
      <c r="AX448" s="29">
        <f>+S448-'[6]Приложение №1'!$S427</f>
        <v>0</v>
      </c>
      <c r="AY448" s="29">
        <f>+T448-'[6]Приложение №1'!$T427</f>
        <v>0</v>
      </c>
    </row>
    <row r="449" spans="1:51" x14ac:dyDescent="0.25">
      <c r="A449" s="135">
        <f t="shared" si="178"/>
        <v>432</v>
      </c>
      <c r="B449" s="134">
        <f t="shared" si="178"/>
        <v>244</v>
      </c>
      <c r="C449" s="77" t="s">
        <v>253</v>
      </c>
      <c r="D449" s="77" t="s">
        <v>436</v>
      </c>
      <c r="E449" s="78">
        <v>1989</v>
      </c>
      <c r="F449" s="78">
        <v>2013</v>
      </c>
      <c r="G449" s="78" t="s">
        <v>44</v>
      </c>
      <c r="H449" s="78">
        <v>5</v>
      </c>
      <c r="I449" s="78">
        <v>3</v>
      </c>
      <c r="J449" s="44">
        <v>2867.1</v>
      </c>
      <c r="K449" s="44">
        <v>2862</v>
      </c>
      <c r="L449" s="44">
        <v>0</v>
      </c>
      <c r="M449" s="79">
        <v>82</v>
      </c>
      <c r="N449" s="72">
        <f t="shared" si="166"/>
        <v>7717731.9717803607</v>
      </c>
      <c r="O449" s="44"/>
      <c r="P449" s="68">
        <f>+'Приложение №2'!E449-'Приложение №1'!R449-'Приложение №1'!S449</f>
        <v>6571877.8117803605</v>
      </c>
      <c r="Q449" s="68"/>
      <c r="R449" s="68">
        <f t="shared" si="180"/>
        <v>1145854.1600000001</v>
      </c>
      <c r="S449" s="68"/>
      <c r="T449" s="68"/>
      <c r="U449" s="44">
        <f t="shared" si="177"/>
        <v>2696.6219328373027</v>
      </c>
      <c r="V449" s="44">
        <f t="shared" si="177"/>
        <v>2696.6219328373027</v>
      </c>
      <c r="W449" s="80">
        <v>2023</v>
      </c>
      <c r="X449" s="29" t="e">
        <f>+#REF!-'[1]Приложение №1'!$P1492</f>
        <v>#REF!</v>
      </c>
      <c r="Z449" s="31">
        <f t="shared" si="172"/>
        <v>8541004.8900000006</v>
      </c>
      <c r="AA449" s="27">
        <v>0</v>
      </c>
      <c r="AB449" s="27">
        <v>0</v>
      </c>
      <c r="AC449" s="27">
        <v>4445034.5403198004</v>
      </c>
      <c r="AD449" s="27">
        <v>2892873.6360392398</v>
      </c>
      <c r="AE449" s="27">
        <v>0</v>
      </c>
      <c r="AF449" s="27"/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957221.47470000014</v>
      </c>
      <c r="AN449" s="32">
        <v>85410.048900000009</v>
      </c>
      <c r="AO449" s="33">
        <v>160465.19004096001</v>
      </c>
      <c r="AP449" s="84">
        <f>+N449-'Приложение №2'!E449</f>
        <v>0</v>
      </c>
      <c r="AQ449" s="1">
        <v>853930.16</v>
      </c>
      <c r="AR449" s="1">
        <f t="shared" si="179"/>
        <v>291924</v>
      </c>
      <c r="AS449" s="1">
        <f>+(K449*10+L449*20)*12*30</f>
        <v>10303200</v>
      </c>
      <c r="AT449" s="29">
        <f t="shared" si="171"/>
        <v>-10303200</v>
      </c>
      <c r="AU449" s="29">
        <f>+P449-'[6]Приложение №1'!$P428</f>
        <v>0</v>
      </c>
      <c r="AV449" s="29">
        <f>+Q449-'[6]Приложение №1'!$Q428</f>
        <v>0</v>
      </c>
      <c r="AW449" s="29">
        <f>+R449-'[6]Приложение №1'!$R428</f>
        <v>0</v>
      </c>
      <c r="AX449" s="29">
        <f>+S449-'[6]Приложение №1'!$S428</f>
        <v>0</v>
      </c>
      <c r="AY449" s="29">
        <f>+T449-'[6]Приложение №1'!$T428</f>
        <v>0</v>
      </c>
    </row>
    <row r="450" spans="1:51" x14ac:dyDescent="0.25">
      <c r="A450" s="135">
        <f t="shared" si="178"/>
        <v>433</v>
      </c>
      <c r="B450" s="134">
        <f t="shared" si="178"/>
        <v>245</v>
      </c>
      <c r="C450" s="77" t="s">
        <v>253</v>
      </c>
      <c r="D450" s="77" t="s">
        <v>254</v>
      </c>
      <c r="E450" s="78">
        <v>1971</v>
      </c>
      <c r="F450" s="78">
        <v>2012</v>
      </c>
      <c r="G450" s="78" t="s">
        <v>44</v>
      </c>
      <c r="H450" s="78">
        <v>4</v>
      </c>
      <c r="I450" s="78">
        <v>4</v>
      </c>
      <c r="J450" s="44">
        <v>2748.3</v>
      </c>
      <c r="K450" s="44">
        <v>2738.3</v>
      </c>
      <c r="L450" s="44">
        <v>0</v>
      </c>
      <c r="M450" s="79">
        <v>105</v>
      </c>
      <c r="N450" s="72">
        <f t="shared" si="166"/>
        <v>6161823.34667484</v>
      </c>
      <c r="O450" s="44"/>
      <c r="P450" s="68">
        <v>3797418.9970000004</v>
      </c>
      <c r="Q450" s="68"/>
      <c r="R450" s="68">
        <f t="shared" si="180"/>
        <v>1250766.44</v>
      </c>
      <c r="S450" s="68">
        <f>+'Приложение №2'!E450-'Приложение №1'!R450-P450</f>
        <v>1113637.9096748391</v>
      </c>
      <c r="T450" s="68">
        <f>+'Приложение №2'!E450-'Приложение №1'!P450-'Приложение №1'!Q450-'Приложение №1'!R450-'Приложение №1'!S450</f>
        <v>0</v>
      </c>
      <c r="U450" s="44">
        <f t="shared" si="177"/>
        <v>2250.2367697749842</v>
      </c>
      <c r="V450" s="44">
        <f t="shared" si="177"/>
        <v>2250.2367697749842</v>
      </c>
      <c r="W450" s="80">
        <v>2023</v>
      </c>
      <c r="X450" s="29" t="e">
        <f>+#REF!-'[1]Приложение №1'!$P1105</f>
        <v>#REF!</v>
      </c>
      <c r="Z450" s="31">
        <f t="shared" ref="Z450:Z479" si="181">SUM(AA450:AO450)</f>
        <v>62662210.079999991</v>
      </c>
      <c r="AA450" s="27">
        <v>0</v>
      </c>
      <c r="AB450" s="27">
        <v>0</v>
      </c>
      <c r="AC450" s="27">
        <v>4217364.3079906795</v>
      </c>
      <c r="AD450" s="27">
        <v>2744703.5403370801</v>
      </c>
      <c r="AE450" s="27">
        <v>0</v>
      </c>
      <c r="AF450" s="27"/>
      <c r="AG450" s="27">
        <v>0</v>
      </c>
      <c r="AH450" s="27">
        <v>0</v>
      </c>
      <c r="AI450" s="27">
        <v>21741801.005597401</v>
      </c>
      <c r="AJ450" s="27">
        <v>0</v>
      </c>
      <c r="AK450" s="27">
        <v>11050078.731239939</v>
      </c>
      <c r="AL450" s="27">
        <v>14967785.027242739</v>
      </c>
      <c r="AM450" s="27">
        <v>6117201.9047999997</v>
      </c>
      <c r="AN450" s="32">
        <v>626622.10080000001</v>
      </c>
      <c r="AO450" s="33">
        <v>1196653.4619921602</v>
      </c>
      <c r="AP450" s="84">
        <f>+N450-'Приложение №2'!E450</f>
        <v>0</v>
      </c>
      <c r="AQ450" s="1">
        <v>971459.84</v>
      </c>
      <c r="AR450" s="1">
        <f t="shared" si="179"/>
        <v>279306.59999999998</v>
      </c>
      <c r="AS450" s="1">
        <f>+(K450*10+L450*20)*12*30</f>
        <v>9857880</v>
      </c>
      <c r="AT450" s="29">
        <f t="shared" si="171"/>
        <v>-8744242.0903251618</v>
      </c>
      <c r="AU450" s="29">
        <f>+P450-'[6]Приложение №1'!$P429</f>
        <v>0</v>
      </c>
      <c r="AV450" s="29">
        <f>+Q450-'[6]Приложение №1'!$Q429</f>
        <v>0</v>
      </c>
      <c r="AW450" s="29">
        <f>+R450-'[6]Приложение №1'!$R429</f>
        <v>0</v>
      </c>
      <c r="AX450" s="29">
        <f>+S450-'[6]Приложение №1'!$S429</f>
        <v>0</v>
      </c>
      <c r="AY450" s="29">
        <f>+T450-'[6]Приложение №1'!$T429</f>
        <v>0</v>
      </c>
    </row>
    <row r="451" spans="1:51" x14ac:dyDescent="0.25">
      <c r="A451" s="135">
        <f t="shared" si="178"/>
        <v>434</v>
      </c>
      <c r="B451" s="134">
        <f t="shared" si="178"/>
        <v>246</v>
      </c>
      <c r="C451" s="77" t="s">
        <v>253</v>
      </c>
      <c r="D451" s="77" t="s">
        <v>523</v>
      </c>
      <c r="E451" s="78">
        <v>1981</v>
      </c>
      <c r="F451" s="78">
        <v>1981</v>
      </c>
      <c r="G451" s="78" t="s">
        <v>44</v>
      </c>
      <c r="H451" s="78">
        <v>4</v>
      </c>
      <c r="I451" s="78">
        <v>2</v>
      </c>
      <c r="J451" s="44">
        <v>1312.5</v>
      </c>
      <c r="K451" s="44">
        <v>1312.5</v>
      </c>
      <c r="L451" s="44">
        <v>0</v>
      </c>
      <c r="M451" s="79">
        <v>60</v>
      </c>
      <c r="N451" s="72">
        <f t="shared" si="166"/>
        <v>8194296.4237568006</v>
      </c>
      <c r="O451" s="44"/>
      <c r="P451" s="68">
        <v>1276378.0712522666</v>
      </c>
      <c r="Q451" s="68"/>
      <c r="R451" s="68">
        <f t="shared" si="180"/>
        <v>169987.72999999998</v>
      </c>
      <c r="S451" s="68">
        <f>+AS451</f>
        <v>4469610.4400000004</v>
      </c>
      <c r="T451" s="68">
        <f>+'Приложение №2'!E451-'Приложение №1'!P451-'Приложение №1'!Q451-'Приложение №1'!R451-'Приложение №1'!S451</f>
        <v>2278320.1825045338</v>
      </c>
      <c r="U451" s="44">
        <f t="shared" si="177"/>
        <v>6243.2734657194669</v>
      </c>
      <c r="V451" s="44">
        <f t="shared" si="177"/>
        <v>6243.2734657194669</v>
      </c>
      <c r="W451" s="80">
        <v>2023</v>
      </c>
      <c r="X451" s="29" t="e">
        <f>+#REF!-'[1]Приложение №1'!$P1675</f>
        <v>#REF!</v>
      </c>
      <c r="Z451" s="31">
        <f t="shared" si="181"/>
        <v>36563550.32</v>
      </c>
      <c r="AA451" s="27">
        <v>4266007.5956097599</v>
      </c>
      <c r="AB451" s="27">
        <v>1955020.1317046401</v>
      </c>
      <c r="AC451" s="27">
        <v>1978258.1947312797</v>
      </c>
      <c r="AD451" s="27">
        <v>1287470.5310543999</v>
      </c>
      <c r="AE451" s="27">
        <v>0</v>
      </c>
      <c r="AF451" s="27"/>
      <c r="AG451" s="27">
        <v>129640.86798431998</v>
      </c>
      <c r="AH451" s="27">
        <v>0</v>
      </c>
      <c r="AI451" s="27">
        <v>10198525.1661216</v>
      </c>
      <c r="AJ451" s="27">
        <v>0</v>
      </c>
      <c r="AK451" s="27">
        <v>5183310.5259751193</v>
      </c>
      <c r="AL451" s="27">
        <v>7021006.7784964805</v>
      </c>
      <c r="AM451" s="27">
        <v>3478479.1008000001</v>
      </c>
      <c r="AN451" s="32">
        <v>365635.50320000004</v>
      </c>
      <c r="AO451" s="33">
        <v>700195.92432240013</v>
      </c>
      <c r="AP451" s="84">
        <f>+N451-'Приложение №2'!E451</f>
        <v>0</v>
      </c>
      <c r="AQ451" s="1">
        <f>461712.25-425599.52</f>
        <v>36112.729999999981</v>
      </c>
      <c r="AR451" s="1">
        <f t="shared" si="179"/>
        <v>133875</v>
      </c>
      <c r="AS451" s="1">
        <f>+(K451*10+L451*20)*12*30-255389.56</f>
        <v>4469610.4400000004</v>
      </c>
      <c r="AT451" s="29">
        <f t="shared" si="171"/>
        <v>0</v>
      </c>
      <c r="AU451" s="29">
        <f>+P451-'[6]Приложение №1'!$P430</f>
        <v>0</v>
      </c>
      <c r="AV451" s="29">
        <f>+Q451-'[6]Приложение №1'!$Q430</f>
        <v>0</v>
      </c>
      <c r="AW451" s="29">
        <f>+R451-'[6]Приложение №1'!$R430</f>
        <v>0</v>
      </c>
      <c r="AX451" s="29">
        <f>+S451-'[6]Приложение №1'!$S430</f>
        <v>0</v>
      </c>
      <c r="AY451" s="29">
        <f>+T451-'[6]Приложение №1'!$T430</f>
        <v>0</v>
      </c>
    </row>
    <row r="452" spans="1:51" x14ac:dyDescent="0.25">
      <c r="A452" s="135">
        <f t="shared" si="178"/>
        <v>435</v>
      </c>
      <c r="B452" s="134">
        <f t="shared" si="178"/>
        <v>247</v>
      </c>
      <c r="C452" s="77" t="s">
        <v>105</v>
      </c>
      <c r="D452" s="77" t="s">
        <v>439</v>
      </c>
      <c r="E452" s="78">
        <v>1989</v>
      </c>
      <c r="F452" s="78">
        <v>2013</v>
      </c>
      <c r="G452" s="78" t="s">
        <v>44</v>
      </c>
      <c r="H452" s="78">
        <v>4</v>
      </c>
      <c r="I452" s="78">
        <v>2</v>
      </c>
      <c r="J452" s="44">
        <v>1529.1</v>
      </c>
      <c r="K452" s="44">
        <v>1348.1</v>
      </c>
      <c r="L452" s="44">
        <v>0</v>
      </c>
      <c r="M452" s="79">
        <v>46</v>
      </c>
      <c r="N452" s="72">
        <f t="shared" si="166"/>
        <v>7441099.7124260003</v>
      </c>
      <c r="O452" s="44"/>
      <c r="P452" s="68">
        <v>1104159.1966666665</v>
      </c>
      <c r="Q452" s="68"/>
      <c r="R452" s="68">
        <f t="shared" si="180"/>
        <v>716576.24</v>
      </c>
      <c r="S452" s="68">
        <f>+AS452</f>
        <v>4853160</v>
      </c>
      <c r="T452" s="68">
        <f>+'Приложение №2'!E452-'Приложение №1'!P452-'Приложение №1'!Q452-'Приложение №1'!R452-'Приложение №1'!S452</f>
        <v>767204.27575933374</v>
      </c>
      <c r="U452" s="44">
        <f t="shared" si="177"/>
        <v>5519.6941713715605</v>
      </c>
      <c r="V452" s="44">
        <f t="shared" si="177"/>
        <v>5519.6941713715605</v>
      </c>
      <c r="W452" s="80">
        <v>2023</v>
      </c>
      <c r="X452" s="29" t="e">
        <f>+#REF!-'[1]Приложение №1'!$P1679</f>
        <v>#REF!</v>
      </c>
      <c r="Z452" s="31">
        <f t="shared" si="181"/>
        <v>12006150.48</v>
      </c>
      <c r="AA452" s="27">
        <v>2778320.4092007005</v>
      </c>
      <c r="AB452" s="27">
        <v>1283573.09968482</v>
      </c>
      <c r="AC452" s="27">
        <v>0</v>
      </c>
      <c r="AD452" s="27">
        <v>0</v>
      </c>
      <c r="AE452" s="27">
        <v>0</v>
      </c>
      <c r="AF452" s="27"/>
      <c r="AG452" s="27">
        <v>0</v>
      </c>
      <c r="AH452" s="27">
        <v>0</v>
      </c>
      <c r="AI452" s="27">
        <v>6528512.2887180001</v>
      </c>
      <c r="AJ452" s="27">
        <v>0</v>
      </c>
      <c r="AK452" s="27">
        <v>0</v>
      </c>
      <c r="AL452" s="27">
        <v>0</v>
      </c>
      <c r="AM452" s="27">
        <v>1064092.452</v>
      </c>
      <c r="AN452" s="32">
        <v>120061.50480000001</v>
      </c>
      <c r="AO452" s="33">
        <v>231590.72559648004</v>
      </c>
      <c r="AP452" s="84">
        <f>+N452-'Приложение №2'!E452</f>
        <v>0</v>
      </c>
      <c r="AQ452" s="1">
        <v>579070.04</v>
      </c>
      <c r="AR452" s="1">
        <f t="shared" si="179"/>
        <v>137506.19999999998</v>
      </c>
      <c r="AS452" s="1">
        <f>+(K452*10+L452*20)*12*30</f>
        <v>4853160</v>
      </c>
      <c r="AT452" s="29">
        <f t="shared" si="171"/>
        <v>0</v>
      </c>
      <c r="AU452" s="29">
        <f>+P452-'[6]Приложение №1'!$P431</f>
        <v>0</v>
      </c>
      <c r="AV452" s="29">
        <f>+Q452-'[6]Приложение №1'!$Q431</f>
        <v>0</v>
      </c>
      <c r="AW452" s="29">
        <f>+R452-'[6]Приложение №1'!$R431</f>
        <v>0</v>
      </c>
      <c r="AX452" s="29">
        <f>+S452-'[6]Приложение №1'!$S431</f>
        <v>0</v>
      </c>
      <c r="AY452" s="29">
        <f>+T452-'[6]Приложение №1'!$T431</f>
        <v>0</v>
      </c>
    </row>
    <row r="453" spans="1:51" x14ac:dyDescent="0.25">
      <c r="A453" s="135">
        <f t="shared" si="178"/>
        <v>436</v>
      </c>
      <c r="B453" s="134">
        <f t="shared" si="178"/>
        <v>248</v>
      </c>
      <c r="C453" s="77" t="s">
        <v>105</v>
      </c>
      <c r="D453" s="77" t="s">
        <v>524</v>
      </c>
      <c r="E453" s="78">
        <v>1989</v>
      </c>
      <c r="F453" s="78">
        <v>2013</v>
      </c>
      <c r="G453" s="78" t="s">
        <v>44</v>
      </c>
      <c r="H453" s="78">
        <v>4</v>
      </c>
      <c r="I453" s="78">
        <v>1</v>
      </c>
      <c r="J453" s="44">
        <v>875.7</v>
      </c>
      <c r="K453" s="44">
        <v>808.7</v>
      </c>
      <c r="L453" s="44">
        <v>67</v>
      </c>
      <c r="M453" s="79">
        <v>23</v>
      </c>
      <c r="N453" s="72">
        <f t="shared" si="166"/>
        <v>3577560.5733999996</v>
      </c>
      <c r="O453" s="44"/>
      <c r="P453" s="68"/>
      <c r="Q453" s="68"/>
      <c r="R453" s="68">
        <f t="shared" si="180"/>
        <v>495536.14</v>
      </c>
      <c r="S453" s="68">
        <f>+'Приложение №2'!E453-'Приложение №1'!R453</f>
        <v>3082024.4333999995</v>
      </c>
      <c r="T453" s="68">
        <v>5.8207660913467407E-11</v>
      </c>
      <c r="U453" s="44">
        <f t="shared" si="177"/>
        <v>4085.3723574283426</v>
      </c>
      <c r="V453" s="44">
        <f t="shared" si="177"/>
        <v>4085.3723574283426</v>
      </c>
      <c r="W453" s="80">
        <v>2023</v>
      </c>
      <c r="X453" s="29" t="e">
        <f>+#REF!-'[1]Приложение №1'!$P1680</f>
        <v>#REF!</v>
      </c>
      <c r="Z453" s="31">
        <f t="shared" si="181"/>
        <v>3689249.02</v>
      </c>
      <c r="AA453" s="27">
        <v>1648298.3059179001</v>
      </c>
      <c r="AB453" s="27">
        <v>761507.33362662012</v>
      </c>
      <c r="AC453" s="27">
        <v>771439.24014654011</v>
      </c>
      <c r="AD453" s="27">
        <v>0</v>
      </c>
      <c r="AE453" s="27">
        <v>0</v>
      </c>
      <c r="AF453" s="27"/>
      <c r="AG453" s="27">
        <v>75038.982825239989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324864.33429999999</v>
      </c>
      <c r="AN453" s="32">
        <v>36892.490199999993</v>
      </c>
      <c r="AO453" s="33">
        <v>71208.332983699991</v>
      </c>
      <c r="AP453" s="84">
        <f>+N453-'Приложение №2'!E453</f>
        <v>0</v>
      </c>
      <c r="AQ453" s="1">
        <v>399380.74</v>
      </c>
      <c r="AR453" s="1">
        <f t="shared" si="179"/>
        <v>96155.4</v>
      </c>
      <c r="AS453" s="1">
        <f>+(K453*10+L453*20)*12*30</f>
        <v>3393720</v>
      </c>
      <c r="AT453" s="29">
        <f t="shared" si="171"/>
        <v>-311695.56660000049</v>
      </c>
      <c r="AU453" s="29">
        <f>+P453-'[6]Приложение №1'!$P432</f>
        <v>0</v>
      </c>
      <c r="AV453" s="29">
        <f>+Q453-'[6]Приложение №1'!$Q432</f>
        <v>0</v>
      </c>
      <c r="AW453" s="29">
        <f>+R453-'[6]Приложение №1'!$R432</f>
        <v>0</v>
      </c>
      <c r="AX453" s="29">
        <f>+S453-'[6]Приложение №1'!$S432</f>
        <v>0</v>
      </c>
      <c r="AY453" s="29">
        <f>+T453-'[6]Приложение №1'!$T432</f>
        <v>0</v>
      </c>
    </row>
    <row r="454" spans="1:51" x14ac:dyDescent="0.25">
      <c r="A454" s="135">
        <f t="shared" si="178"/>
        <v>437</v>
      </c>
      <c r="B454" s="134">
        <f t="shared" si="178"/>
        <v>249</v>
      </c>
      <c r="C454" s="77" t="s">
        <v>105</v>
      </c>
      <c r="D454" s="77" t="s">
        <v>525</v>
      </c>
      <c r="E454" s="78">
        <v>1992</v>
      </c>
      <c r="F454" s="78">
        <v>2013</v>
      </c>
      <c r="G454" s="78" t="s">
        <v>44</v>
      </c>
      <c r="H454" s="78">
        <v>5</v>
      </c>
      <c r="I454" s="78">
        <v>3</v>
      </c>
      <c r="J454" s="44">
        <v>3334.6</v>
      </c>
      <c r="K454" s="44">
        <v>2949.9</v>
      </c>
      <c r="L454" s="44">
        <v>0</v>
      </c>
      <c r="M454" s="79">
        <v>91</v>
      </c>
      <c r="N454" s="72">
        <f t="shared" si="166"/>
        <v>17965449.162177999</v>
      </c>
      <c r="O454" s="44"/>
      <c r="P454" s="68">
        <v>3312889.3466666671</v>
      </c>
      <c r="Q454" s="68"/>
      <c r="R454" s="68">
        <f t="shared" si="180"/>
        <v>1493518.79</v>
      </c>
      <c r="S454" s="68">
        <f>+AS454</f>
        <v>10619640</v>
      </c>
      <c r="T454" s="68">
        <f>+'Приложение №2'!E454-'Приложение №1'!P454-'Приложение №1'!Q454-'Приложение №1'!R454-'Приложение №1'!S454</f>
        <v>2539401.0255113319</v>
      </c>
      <c r="U454" s="44">
        <f t="shared" si="177"/>
        <v>6090.1892139319971</v>
      </c>
      <c r="V454" s="44">
        <f t="shared" si="177"/>
        <v>6090.1892139319971</v>
      </c>
      <c r="W454" s="80">
        <v>2023</v>
      </c>
      <c r="X454" s="29" t="e">
        <f>+#REF!-'[1]Приложение №1'!$P1681</f>
        <v>#REF!</v>
      </c>
      <c r="Z454" s="31">
        <f t="shared" si="181"/>
        <v>24232773.930000003</v>
      </c>
      <c r="AA454" s="27">
        <v>6144661.3698833995</v>
      </c>
      <c r="AB454" s="27">
        <v>2838809.3808026402</v>
      </c>
      <c r="AC454" s="27">
        <v>2875834.3669440001</v>
      </c>
      <c r="AD454" s="27">
        <v>1857721.65669048</v>
      </c>
      <c r="AE454" s="27">
        <v>0</v>
      </c>
      <c r="AF454" s="27"/>
      <c r="AG454" s="27">
        <v>0</v>
      </c>
      <c r="AH454" s="27">
        <v>0</v>
      </c>
      <c r="AI454" s="27">
        <v>0</v>
      </c>
      <c r="AJ454" s="27">
        <v>0</v>
      </c>
      <c r="AK454" s="27">
        <v>7458847.8699054606</v>
      </c>
      <c r="AL454" s="27">
        <v>0</v>
      </c>
      <c r="AM454" s="27">
        <v>2351498.0564000001</v>
      </c>
      <c r="AN454" s="32">
        <v>242327.73930000002</v>
      </c>
      <c r="AO454" s="33">
        <v>463073.49007401994</v>
      </c>
      <c r="AP454" s="84">
        <f>+N454-'Приложение №2'!E454</f>
        <v>0</v>
      </c>
      <c r="AQ454" s="1">
        <v>1192628.99</v>
      </c>
      <c r="AR454" s="1">
        <f t="shared" si="179"/>
        <v>300889.8</v>
      </c>
      <c r="AS454" s="1">
        <f>+(K454*10+L454*20)*12*30</f>
        <v>10619640</v>
      </c>
      <c r="AT454" s="29">
        <f t="shared" si="171"/>
        <v>0</v>
      </c>
      <c r="AU454" s="29">
        <f>+P454-'[6]Приложение №1'!$P433</f>
        <v>0</v>
      </c>
      <c r="AV454" s="29">
        <f>+Q454-'[6]Приложение №1'!$Q433</f>
        <v>0</v>
      </c>
      <c r="AW454" s="29">
        <f>+R454-'[6]Приложение №1'!$R433</f>
        <v>0</v>
      </c>
      <c r="AX454" s="29">
        <f>+S454-'[6]Приложение №1'!$S433</f>
        <v>0</v>
      </c>
      <c r="AY454" s="29">
        <f>+T454-'[6]Приложение №1'!$T433</f>
        <v>0</v>
      </c>
    </row>
    <row r="455" spans="1:51" x14ac:dyDescent="0.25">
      <c r="A455" s="135">
        <f t="shared" si="178"/>
        <v>438</v>
      </c>
      <c r="B455" s="134">
        <f t="shared" si="178"/>
        <v>250</v>
      </c>
      <c r="C455" s="77" t="s">
        <v>105</v>
      </c>
      <c r="D455" s="77" t="s">
        <v>440</v>
      </c>
      <c r="E455" s="78">
        <v>1993</v>
      </c>
      <c r="F455" s="78">
        <v>2013</v>
      </c>
      <c r="G455" s="78" t="s">
        <v>44</v>
      </c>
      <c r="H455" s="78">
        <v>4</v>
      </c>
      <c r="I455" s="78">
        <v>2</v>
      </c>
      <c r="J455" s="44">
        <v>1957.1</v>
      </c>
      <c r="K455" s="44">
        <v>1782.2</v>
      </c>
      <c r="L455" s="44">
        <v>0</v>
      </c>
      <c r="M455" s="79">
        <v>51</v>
      </c>
      <c r="N455" s="72">
        <f t="shared" si="166"/>
        <v>7768881.3499999996</v>
      </c>
      <c r="O455" s="44"/>
      <c r="P455" s="68">
        <f>+'Приложение №2'!E455-'Приложение №1'!R455-'Приложение №1'!S455</f>
        <v>489303.72999999952</v>
      </c>
      <c r="Q455" s="68"/>
      <c r="R455" s="68">
        <f t="shared" si="180"/>
        <v>863657.62</v>
      </c>
      <c r="S455" s="68">
        <f>+AS455</f>
        <v>6415920</v>
      </c>
      <c r="T455" s="68">
        <f>+'Приложение №2'!E455-'Приложение №1'!P455-'Приложение №1'!Q455-'Приложение №1'!R455-'Приложение №1'!S455</f>
        <v>0</v>
      </c>
      <c r="U455" s="44">
        <f t="shared" si="177"/>
        <v>4359.1523678599478</v>
      </c>
      <c r="V455" s="44">
        <f t="shared" si="177"/>
        <v>4359.1523678599478</v>
      </c>
      <c r="W455" s="80">
        <v>2023</v>
      </c>
      <c r="X455" s="29" t="e">
        <f>+#REF!-'[1]Приложение №1'!$P1251</f>
        <v>#REF!</v>
      </c>
      <c r="Z455" s="31">
        <f t="shared" si="181"/>
        <v>9192230.629999999</v>
      </c>
      <c r="AA455" s="27">
        <v>3604821.641694</v>
      </c>
      <c r="AB455" s="27">
        <v>1665413.416611</v>
      </c>
      <c r="AC455" s="27">
        <v>1687134.4693795198</v>
      </c>
      <c r="AD455" s="27">
        <v>1089849.3568830001</v>
      </c>
      <c r="AE455" s="27">
        <v>0</v>
      </c>
      <c r="AF455" s="27"/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877113.06050000002</v>
      </c>
      <c r="AN455" s="32">
        <v>91922.306299999997</v>
      </c>
      <c r="AO455" s="33">
        <v>175976.37863247999</v>
      </c>
      <c r="AP455" s="84">
        <f>+N455-'Приложение №2'!E455</f>
        <v>0</v>
      </c>
      <c r="AQ455" s="1">
        <v>681873.22</v>
      </c>
      <c r="AR455" s="1">
        <f t="shared" si="179"/>
        <v>181784.4</v>
      </c>
      <c r="AS455" s="1">
        <f>+(K455*10+L455*20)*12*30</f>
        <v>6415920</v>
      </c>
      <c r="AT455" s="29">
        <f t="shared" si="171"/>
        <v>0</v>
      </c>
      <c r="AU455" s="29">
        <f>+P455-'[6]Приложение №1'!$P434</f>
        <v>0</v>
      </c>
      <c r="AV455" s="29">
        <f>+Q455-'[6]Приложение №1'!$Q434</f>
        <v>0</v>
      </c>
      <c r="AW455" s="29">
        <f>+R455-'[6]Приложение №1'!$R434</f>
        <v>0</v>
      </c>
      <c r="AX455" s="29">
        <f>+S455-'[6]Приложение №1'!$S434</f>
        <v>0</v>
      </c>
      <c r="AY455" s="29">
        <f>+T455-'[6]Приложение №1'!$T434</f>
        <v>0</v>
      </c>
    </row>
    <row r="456" spans="1:51" x14ac:dyDescent="0.25">
      <c r="A456" s="135">
        <f t="shared" ref="A456:B470" si="182">+A455+1</f>
        <v>439</v>
      </c>
      <c r="B456" s="134">
        <f t="shared" si="182"/>
        <v>251</v>
      </c>
      <c r="C456" s="77" t="s">
        <v>105</v>
      </c>
      <c r="D456" s="77" t="s">
        <v>441</v>
      </c>
      <c r="E456" s="78">
        <v>1995</v>
      </c>
      <c r="F456" s="78">
        <v>2013</v>
      </c>
      <c r="G456" s="78" t="s">
        <v>44</v>
      </c>
      <c r="H456" s="78">
        <v>5</v>
      </c>
      <c r="I456" s="78">
        <v>3</v>
      </c>
      <c r="J456" s="44">
        <v>3373.2</v>
      </c>
      <c r="K456" s="44">
        <v>2966.3</v>
      </c>
      <c r="L456" s="44">
        <v>0</v>
      </c>
      <c r="M456" s="79">
        <v>107</v>
      </c>
      <c r="N456" s="72">
        <f t="shared" si="166"/>
        <v>10164042.109999999</v>
      </c>
      <c r="O456" s="44"/>
      <c r="P456" s="68"/>
      <c r="Q456" s="68"/>
      <c r="R456" s="68">
        <f t="shared" si="180"/>
        <v>1643881.3900000001</v>
      </c>
      <c r="S456" s="68">
        <f>+'Приложение №2'!E456-'Приложение №1'!R456</f>
        <v>8520160.7199999988</v>
      </c>
      <c r="T456" s="68">
        <v>0</v>
      </c>
      <c r="U456" s="44">
        <f t="shared" si="177"/>
        <v>3426.505110744024</v>
      </c>
      <c r="V456" s="44">
        <f t="shared" si="177"/>
        <v>3426.505110744024</v>
      </c>
      <c r="W456" s="80">
        <v>2023</v>
      </c>
      <c r="X456" s="29" t="e">
        <f>+#REF!-'[1]Приложение №1'!$P1252</f>
        <v>#REF!</v>
      </c>
      <c r="Z456" s="31">
        <f t="shared" si="181"/>
        <v>12550430.99</v>
      </c>
      <c r="AA456" s="27">
        <v>6235881.2519148607</v>
      </c>
      <c r="AB456" s="27">
        <v>2880952.6065108599</v>
      </c>
      <c r="AC456" s="27">
        <v>0</v>
      </c>
      <c r="AD456" s="27">
        <v>1885300.26106884</v>
      </c>
      <c r="AE456" s="27">
        <v>0</v>
      </c>
      <c r="AF456" s="27"/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1182198.1705</v>
      </c>
      <c r="AN456" s="32">
        <v>125504.30989999999</v>
      </c>
      <c r="AO456" s="33">
        <v>240594.39010543999</v>
      </c>
      <c r="AP456" s="84">
        <f>+N456-'Приложение №2'!E456</f>
        <v>0</v>
      </c>
      <c r="AQ456" s="1">
        <v>1341318.79</v>
      </c>
      <c r="AR456" s="1">
        <f t="shared" si="179"/>
        <v>302562.59999999998</v>
      </c>
      <c r="AS456" s="1">
        <f>+(K456*10+L456*20)*12*30</f>
        <v>10678680</v>
      </c>
      <c r="AT456" s="29">
        <f t="shared" si="171"/>
        <v>-2158519.2800000012</v>
      </c>
      <c r="AU456" s="29">
        <f>+P456-'[6]Приложение №1'!$P435</f>
        <v>0</v>
      </c>
      <c r="AV456" s="29">
        <f>+Q456-'[6]Приложение №1'!$Q435</f>
        <v>0</v>
      </c>
      <c r="AW456" s="29">
        <f>+R456-'[6]Приложение №1'!$R435</f>
        <v>0</v>
      </c>
      <c r="AX456" s="29">
        <f>+S456-'[6]Приложение №1'!$S435</f>
        <v>0</v>
      </c>
      <c r="AY456" s="29">
        <f>+T456-'[6]Приложение №1'!$T435</f>
        <v>0</v>
      </c>
    </row>
    <row r="457" spans="1:51" x14ac:dyDescent="0.25">
      <c r="A457" s="135">
        <f t="shared" si="182"/>
        <v>440</v>
      </c>
      <c r="B457" s="134">
        <f t="shared" si="182"/>
        <v>252</v>
      </c>
      <c r="C457" s="77" t="s">
        <v>105</v>
      </c>
      <c r="D457" s="77" t="s">
        <v>258</v>
      </c>
      <c r="E457" s="78">
        <v>1988</v>
      </c>
      <c r="F457" s="78">
        <v>2013</v>
      </c>
      <c r="G457" s="78" t="s">
        <v>44</v>
      </c>
      <c r="H457" s="78">
        <v>3</v>
      </c>
      <c r="I457" s="78">
        <v>3</v>
      </c>
      <c r="J457" s="44">
        <v>1390.3</v>
      </c>
      <c r="K457" s="44">
        <v>1293.32</v>
      </c>
      <c r="L457" s="44">
        <v>0</v>
      </c>
      <c r="M457" s="79">
        <v>45</v>
      </c>
      <c r="N457" s="72">
        <f t="shared" si="166"/>
        <v>9321568.8579660002</v>
      </c>
      <c r="O457" s="44"/>
      <c r="P457" s="68">
        <v>3324827.2333333329</v>
      </c>
      <c r="Q457" s="68"/>
      <c r="R457" s="68">
        <f t="shared" si="180"/>
        <v>444526.31000000006</v>
      </c>
      <c r="S457" s="68">
        <f>+AS457</f>
        <v>3594082.05</v>
      </c>
      <c r="T457" s="68">
        <f>+'Приложение №2'!E457-'Приложение №1'!P457-'Приложение №1'!Q457-'Приложение №1'!R457-'Приложение №1'!S457</f>
        <v>1958133.2646326674</v>
      </c>
      <c r="U457" s="44">
        <f t="shared" si="177"/>
        <v>7207.4729053644887</v>
      </c>
      <c r="V457" s="44">
        <f t="shared" si="177"/>
        <v>7207.4729053644887</v>
      </c>
      <c r="W457" s="80">
        <v>2023</v>
      </c>
      <c r="X457" s="29" t="e">
        <f>+#REF!-'[1]Приложение №1'!$P1253</f>
        <v>#REF!</v>
      </c>
      <c r="Z457" s="31">
        <f t="shared" si="181"/>
        <v>25655177.409999996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/>
      <c r="AG457" s="27">
        <v>0</v>
      </c>
      <c r="AH457" s="27">
        <v>0</v>
      </c>
      <c r="AI457" s="27">
        <v>12294937.7469324</v>
      </c>
      <c r="AJ457" s="27">
        <v>0</v>
      </c>
      <c r="AK457" s="27">
        <v>10186152.058427099</v>
      </c>
      <c r="AL457" s="27">
        <v>0</v>
      </c>
      <c r="AM457" s="27">
        <v>2425919.9283999996</v>
      </c>
      <c r="AN457" s="32">
        <v>256551.77410000001</v>
      </c>
      <c r="AO457" s="33">
        <v>491615.90214050008</v>
      </c>
      <c r="AP457" s="84">
        <f>+N457-'Приложение №2'!E457</f>
        <v>0</v>
      </c>
      <c r="AQ457" s="1">
        <f>536959.76-224352.09</f>
        <v>312607.67000000004</v>
      </c>
      <c r="AR457" s="1">
        <f t="shared" si="179"/>
        <v>131918.63999999998</v>
      </c>
      <c r="AS457" s="1">
        <f>+(K457*10+L457*20)*12*30-1061869.95</f>
        <v>3594082.05</v>
      </c>
      <c r="AT457" s="29">
        <f t="shared" si="171"/>
        <v>0</v>
      </c>
      <c r="AU457" s="29">
        <f>+P457-'[6]Приложение №1'!$P436</f>
        <v>0</v>
      </c>
      <c r="AV457" s="29">
        <f>+Q457-'[6]Приложение №1'!$Q436</f>
        <v>0</v>
      </c>
      <c r="AW457" s="29">
        <f>+R457-'[6]Приложение №1'!$R436</f>
        <v>0</v>
      </c>
      <c r="AX457" s="29">
        <f>+S457-'[6]Приложение №1'!$S436</f>
        <v>0</v>
      </c>
      <c r="AY457" s="29">
        <f>+T457-'[6]Приложение №1'!$T436</f>
        <v>0</v>
      </c>
    </row>
    <row r="458" spans="1:51" x14ac:dyDescent="0.25">
      <c r="A458" s="135">
        <f t="shared" si="182"/>
        <v>441</v>
      </c>
      <c r="B458" s="134">
        <f t="shared" si="182"/>
        <v>253</v>
      </c>
      <c r="C458" s="77" t="s">
        <v>105</v>
      </c>
      <c r="D458" s="77" t="s">
        <v>257</v>
      </c>
      <c r="E458" s="78">
        <v>1987</v>
      </c>
      <c r="F458" s="78">
        <v>2013</v>
      </c>
      <c r="G458" s="78" t="s">
        <v>44</v>
      </c>
      <c r="H458" s="78">
        <v>3</v>
      </c>
      <c r="I458" s="78">
        <v>1</v>
      </c>
      <c r="J458" s="44">
        <v>801.1</v>
      </c>
      <c r="K458" s="44">
        <v>730.3</v>
      </c>
      <c r="L458" s="44">
        <v>0</v>
      </c>
      <c r="M458" s="79">
        <v>20</v>
      </c>
      <c r="N458" s="72">
        <f t="shared" si="166"/>
        <v>1811123.542842</v>
      </c>
      <c r="O458" s="44"/>
      <c r="P458" s="68"/>
      <c r="Q458" s="68"/>
      <c r="R458" s="68">
        <f t="shared" si="180"/>
        <v>370716.75999999995</v>
      </c>
      <c r="S458" s="68">
        <f>+'Приложение №2'!E458-'Приложение №1'!R458</f>
        <v>1440406.782842</v>
      </c>
      <c r="T458" s="68">
        <v>0</v>
      </c>
      <c r="U458" s="44">
        <f t="shared" si="177"/>
        <v>2479.9719880076682</v>
      </c>
      <c r="V458" s="44">
        <f t="shared" si="177"/>
        <v>2479.9719880076682</v>
      </c>
      <c r="W458" s="80">
        <v>2023</v>
      </c>
      <c r="X458" s="29" t="e">
        <f>+#REF!-'[1]Приложение №1'!$P860</f>
        <v>#REF!</v>
      </c>
      <c r="Z458" s="31">
        <f t="shared" si="181"/>
        <v>11533143.700000001</v>
      </c>
      <c r="AA458" s="27">
        <v>2498530.6047538198</v>
      </c>
      <c r="AB458" s="27">
        <v>1521682.50827208</v>
      </c>
      <c r="AC458" s="27">
        <v>0</v>
      </c>
      <c r="AD458" s="27">
        <v>0</v>
      </c>
      <c r="AE458" s="27">
        <v>0</v>
      </c>
      <c r="AF458" s="27"/>
      <c r="AG458" s="27">
        <v>230726.84989368002</v>
      </c>
      <c r="AH458" s="27">
        <v>0</v>
      </c>
      <c r="AI458" s="27">
        <v>0</v>
      </c>
      <c r="AJ458" s="27">
        <v>0</v>
      </c>
      <c r="AK458" s="27">
        <v>5869999.6362147005</v>
      </c>
      <c r="AL458" s="27">
        <v>0</v>
      </c>
      <c r="AM458" s="27">
        <v>1075548.2132000001</v>
      </c>
      <c r="AN458" s="32">
        <v>115331.43699999999</v>
      </c>
      <c r="AO458" s="33">
        <v>221324.45066571998</v>
      </c>
      <c r="AP458" s="84">
        <f>+N458-'Приложение №2'!E458</f>
        <v>0</v>
      </c>
      <c r="AQ458" s="1">
        <f>366713.48-70487.32</f>
        <v>296226.15999999997</v>
      </c>
      <c r="AR458" s="1">
        <f t="shared" si="179"/>
        <v>74490.599999999991</v>
      </c>
      <c r="AS458" s="1">
        <f>+(K458*10+L458*20)*12*30-373794.5</f>
        <v>2255285.5</v>
      </c>
      <c r="AT458" s="29">
        <f t="shared" si="171"/>
        <v>-814878.71715799998</v>
      </c>
      <c r="AU458" s="29">
        <f>+P458-'[6]Приложение №1'!$P437</f>
        <v>0</v>
      </c>
      <c r="AV458" s="29">
        <f>+Q458-'[6]Приложение №1'!$Q437</f>
        <v>0</v>
      </c>
      <c r="AW458" s="29">
        <f>+R458-'[6]Приложение №1'!$R437</f>
        <v>0</v>
      </c>
      <c r="AX458" s="29">
        <f>+S458-'[6]Приложение №1'!$S437</f>
        <v>0</v>
      </c>
      <c r="AY458" s="29">
        <f>+T458-'[6]Приложение №1'!$T437</f>
        <v>0</v>
      </c>
    </row>
    <row r="459" spans="1:51" x14ac:dyDescent="0.25">
      <c r="A459" s="135">
        <f t="shared" si="182"/>
        <v>442</v>
      </c>
      <c r="B459" s="134">
        <f t="shared" si="182"/>
        <v>254</v>
      </c>
      <c r="C459" s="77" t="s">
        <v>260</v>
      </c>
      <c r="D459" s="77" t="s">
        <v>443</v>
      </c>
      <c r="E459" s="78">
        <v>1974</v>
      </c>
      <c r="F459" s="78">
        <v>1980</v>
      </c>
      <c r="G459" s="78" t="s">
        <v>44</v>
      </c>
      <c r="H459" s="78">
        <v>4</v>
      </c>
      <c r="I459" s="78">
        <v>4</v>
      </c>
      <c r="J459" s="44">
        <v>3718.5</v>
      </c>
      <c r="K459" s="44">
        <v>2628.2</v>
      </c>
      <c r="L459" s="44">
        <v>61.4</v>
      </c>
      <c r="M459" s="79">
        <v>99</v>
      </c>
      <c r="N459" s="72">
        <f t="shared" si="166"/>
        <v>28484598.610168263</v>
      </c>
      <c r="O459" s="44"/>
      <c r="P459" s="68">
        <v>6153125.9248689683</v>
      </c>
      <c r="Q459" s="68"/>
      <c r="R459" s="68">
        <f t="shared" si="180"/>
        <v>1380937.2</v>
      </c>
      <c r="S459" s="68">
        <f>+AS459</f>
        <v>9903600</v>
      </c>
      <c r="T459" s="68">
        <f>+'Приложение №2'!E459-'Приложение №1'!P459-'Приложение №1'!R459-'Приложение №1'!S459</f>
        <v>11046935.485299297</v>
      </c>
      <c r="U459" s="44">
        <f t="shared" ref="U459:V479" si="183">$N459/($K459+$L459)</f>
        <v>10590.644932394507</v>
      </c>
      <c r="V459" s="44">
        <f t="shared" si="183"/>
        <v>10590.644932394507</v>
      </c>
      <c r="W459" s="80">
        <v>2023</v>
      </c>
      <c r="X459" s="29" t="e">
        <f>+#REF!-'[1]Приложение №1'!$P1269</f>
        <v>#REF!</v>
      </c>
      <c r="Z459" s="31">
        <f t="shared" si="181"/>
        <v>14517653.369999999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/>
      <c r="AG459" s="27">
        <v>0</v>
      </c>
      <c r="AH459" s="27">
        <v>0</v>
      </c>
      <c r="AI459" s="27">
        <v>12786278.0290938</v>
      </c>
      <c r="AJ459" s="27">
        <v>0</v>
      </c>
      <c r="AK459" s="27">
        <v>0</v>
      </c>
      <c r="AL459" s="27">
        <v>0</v>
      </c>
      <c r="AM459" s="27">
        <v>1306588.8032999998</v>
      </c>
      <c r="AN459" s="32">
        <v>145176.5337</v>
      </c>
      <c r="AO459" s="33">
        <v>279610.0039062</v>
      </c>
      <c r="AP459" s="84">
        <f>+N459-'Приложение №2'!E459</f>
        <v>0</v>
      </c>
      <c r="AQ459" s="1">
        <v>1100335.2</v>
      </c>
      <c r="AR459" s="1">
        <f t="shared" si="179"/>
        <v>280602</v>
      </c>
      <c r="AS459" s="1">
        <f>+(K459*10+L459*20)*12*30</f>
        <v>9903600</v>
      </c>
      <c r="AT459" s="29">
        <f t="shared" si="171"/>
        <v>0</v>
      </c>
      <c r="AU459" s="29">
        <f>+P459-'[6]Приложение №1'!$P438</f>
        <v>0</v>
      </c>
      <c r="AV459" s="29">
        <f>+Q459-'[6]Приложение №1'!$Q438</f>
        <v>0</v>
      </c>
      <c r="AW459" s="29">
        <f>+R459-'[6]Приложение №1'!$R438</f>
        <v>0</v>
      </c>
      <c r="AX459" s="29">
        <f>+S459-'[6]Приложение №1'!$S438</f>
        <v>0</v>
      </c>
      <c r="AY459" s="29">
        <f>+T459-'[6]Приложение №1'!$T438</f>
        <v>0</v>
      </c>
    </row>
    <row r="460" spans="1:51" x14ac:dyDescent="0.25">
      <c r="A460" s="135">
        <f t="shared" si="182"/>
        <v>443</v>
      </c>
      <c r="B460" s="134">
        <f t="shared" si="182"/>
        <v>255</v>
      </c>
      <c r="C460" s="77" t="s">
        <v>260</v>
      </c>
      <c r="D460" s="77" t="s">
        <v>444</v>
      </c>
      <c r="E460" s="78">
        <v>1986</v>
      </c>
      <c r="F460" s="78">
        <v>1986</v>
      </c>
      <c r="G460" s="78" t="s">
        <v>44</v>
      </c>
      <c r="H460" s="78">
        <v>4</v>
      </c>
      <c r="I460" s="78">
        <v>4</v>
      </c>
      <c r="J460" s="44">
        <v>3420.4</v>
      </c>
      <c r="K460" s="44">
        <v>2641.9</v>
      </c>
      <c r="L460" s="44">
        <v>0</v>
      </c>
      <c r="M460" s="79">
        <v>102</v>
      </c>
      <c r="N460" s="72">
        <f t="shared" si="166"/>
        <v>7852669.346012</v>
      </c>
      <c r="O460" s="44"/>
      <c r="P460" s="68">
        <f>+'Приложение №2'!E460-'Приложение №1'!R460-'Приложение №1'!S460</f>
        <v>0</v>
      </c>
      <c r="Q460" s="68"/>
      <c r="R460" s="68">
        <f t="shared" si="180"/>
        <v>1454282.82</v>
      </c>
      <c r="S460" s="68">
        <f>+'Приложение №2'!E460-'Приложение №1'!R460</f>
        <v>6398386.5260119997</v>
      </c>
      <c r="T460" s="68">
        <f>+'Приложение №2'!E460-'Приложение №1'!P460-'Приложение №1'!Q460-'Приложение №1'!R460-'Приложение №1'!S460</f>
        <v>0</v>
      </c>
      <c r="U460" s="44">
        <f t="shared" si="183"/>
        <v>2972.3567682395246</v>
      </c>
      <c r="V460" s="44">
        <f t="shared" si="183"/>
        <v>2972.3567682395246</v>
      </c>
      <c r="W460" s="80">
        <v>2023</v>
      </c>
      <c r="X460" s="29" t="e">
        <f>+#REF!-'[1]Приложение №1'!$P1270</f>
        <v>#REF!</v>
      </c>
      <c r="Z460" s="31">
        <f t="shared" si="181"/>
        <v>21968812.859999999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/>
      <c r="AG460" s="27">
        <v>0</v>
      </c>
      <c r="AH460" s="27">
        <v>0</v>
      </c>
      <c r="AI460" s="27">
        <v>12571294.6707264</v>
      </c>
      <c r="AJ460" s="27">
        <v>0</v>
      </c>
      <c r="AK460" s="27">
        <v>0</v>
      </c>
      <c r="AL460" s="27">
        <v>6702211.8168390002</v>
      </c>
      <c r="AM460" s="27">
        <v>2054145.6924000001</v>
      </c>
      <c r="AN460" s="32">
        <v>219688.1286</v>
      </c>
      <c r="AO460" s="33">
        <v>421472.55143459997</v>
      </c>
      <c r="AP460" s="84">
        <f>+N460-'Приложение №2'!E460</f>
        <v>0</v>
      </c>
      <c r="AQ460" s="1">
        <v>1184809.02</v>
      </c>
      <c r="AR460" s="1">
        <f t="shared" si="179"/>
        <v>269473.8</v>
      </c>
      <c r="AS460" s="1">
        <f>+(K460*10+L460*20)*12*30</f>
        <v>9510840</v>
      </c>
      <c r="AT460" s="29">
        <f t="shared" si="171"/>
        <v>-3112453.4739880003</v>
      </c>
      <c r="AU460" s="29">
        <f>+P460-'[6]Приложение №1'!$P439</f>
        <v>0</v>
      </c>
      <c r="AV460" s="29">
        <f>+Q460-'[6]Приложение №1'!$Q439</f>
        <v>0</v>
      </c>
      <c r="AW460" s="29">
        <f>+R460-'[6]Приложение №1'!$R439</f>
        <v>0</v>
      </c>
      <c r="AX460" s="29">
        <f>+S460-'[6]Приложение №1'!$S439</f>
        <v>0</v>
      </c>
      <c r="AY460" s="29">
        <f>+T460-'[6]Приложение №1'!$T439</f>
        <v>0</v>
      </c>
    </row>
    <row r="461" spans="1:51" x14ac:dyDescent="0.25">
      <c r="A461" s="135">
        <f t="shared" si="182"/>
        <v>444</v>
      </c>
      <c r="B461" s="134">
        <f t="shared" si="182"/>
        <v>256</v>
      </c>
      <c r="C461" s="77" t="s">
        <v>106</v>
      </c>
      <c r="D461" s="77" t="s">
        <v>526</v>
      </c>
      <c r="E461" s="78">
        <v>1980</v>
      </c>
      <c r="F461" s="78">
        <v>2013</v>
      </c>
      <c r="G461" s="78" t="s">
        <v>52</v>
      </c>
      <c r="H461" s="78">
        <v>1</v>
      </c>
      <c r="I461" s="78">
        <v>2</v>
      </c>
      <c r="J461" s="44">
        <v>418.7</v>
      </c>
      <c r="K461" s="44">
        <v>397.3</v>
      </c>
      <c r="L461" s="44">
        <v>0</v>
      </c>
      <c r="M461" s="79">
        <v>19</v>
      </c>
      <c r="N461" s="72">
        <f t="shared" ref="N461:N479" si="184">+P461+Q461+R461+S461+T461</f>
        <v>2792199.2437518002</v>
      </c>
      <c r="O461" s="44"/>
      <c r="P461" s="68">
        <v>854862.32758393337</v>
      </c>
      <c r="Q461" s="68"/>
      <c r="R461" s="68">
        <f t="shared" si="180"/>
        <v>179774.24599999998</v>
      </c>
      <c r="S461" s="68">
        <f t="shared" ref="S461:S468" si="185">+AS461</f>
        <v>338499.6</v>
      </c>
      <c r="T461" s="68">
        <f>+'Приложение №2'!E461-'Приложение №1'!P461-'Приложение №1'!Q461-'Приложение №1'!R461-'Приложение №1'!S461</f>
        <v>1419063.070167867</v>
      </c>
      <c r="U461" s="44">
        <f t="shared" si="183"/>
        <v>7027.9366819828847</v>
      </c>
      <c r="V461" s="44">
        <f t="shared" si="183"/>
        <v>7027.9366819828847</v>
      </c>
      <c r="W461" s="80">
        <v>2023</v>
      </c>
      <c r="X461" s="29" t="e">
        <f>+#REF!-'[1]Приложение №1'!$P1719</f>
        <v>#REF!</v>
      </c>
      <c r="Z461" s="31">
        <f t="shared" si="181"/>
        <v>6552939.6500000004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/>
      <c r="AG461" s="27">
        <v>0</v>
      </c>
      <c r="AH461" s="27">
        <v>0</v>
      </c>
      <c r="AI461" s="27">
        <v>2736680.7350400002</v>
      </c>
      <c r="AJ461" s="27">
        <v>0</v>
      </c>
      <c r="AK461" s="27">
        <v>0</v>
      </c>
      <c r="AL461" s="27">
        <v>3525835.391022</v>
      </c>
      <c r="AM461" s="27">
        <v>108678.99</v>
      </c>
      <c r="AN461" s="32">
        <v>44795.99</v>
      </c>
      <c r="AO461" s="33">
        <v>136948.54393799999</v>
      </c>
      <c r="AP461" s="84">
        <f>+N461-'Приложение №2'!E461</f>
        <v>0</v>
      </c>
      <c r="AQ461" s="1">
        <v>151001.78</v>
      </c>
      <c r="AR461" s="1">
        <f t="shared" ref="AR461:AR466" si="186">+(K461*7.1+L461*19.5)*12*0.85</f>
        <v>28772.465999999997</v>
      </c>
      <c r="AS461" s="1">
        <f t="shared" ref="AS461:AS466" si="187">+(K461*7.1+L461*19.5)*12*10</f>
        <v>338499.6</v>
      </c>
      <c r="AT461" s="29">
        <f t="shared" si="171"/>
        <v>0</v>
      </c>
      <c r="AU461" s="29">
        <f>+P461-'[6]Приложение №1'!$P440</f>
        <v>0</v>
      </c>
      <c r="AV461" s="29">
        <f>+Q461-'[6]Приложение №1'!$Q440</f>
        <v>0</v>
      </c>
      <c r="AW461" s="29">
        <f>+R461-'[6]Приложение №1'!$R440</f>
        <v>0</v>
      </c>
      <c r="AX461" s="29">
        <f>+S461-'[6]Приложение №1'!$S440</f>
        <v>0</v>
      </c>
      <c r="AY461" s="29">
        <f>+T461-'[6]Приложение №1'!$T440</f>
        <v>0</v>
      </c>
    </row>
    <row r="462" spans="1:51" x14ac:dyDescent="0.25">
      <c r="A462" s="135">
        <f t="shared" si="182"/>
        <v>445</v>
      </c>
      <c r="B462" s="134">
        <f t="shared" si="182"/>
        <v>257</v>
      </c>
      <c r="C462" s="77" t="s">
        <v>106</v>
      </c>
      <c r="D462" s="77" t="s">
        <v>107</v>
      </c>
      <c r="E462" s="78">
        <v>1975</v>
      </c>
      <c r="F462" s="78">
        <v>2009</v>
      </c>
      <c r="G462" s="78" t="s">
        <v>52</v>
      </c>
      <c r="H462" s="78">
        <v>2</v>
      </c>
      <c r="I462" s="78">
        <v>3</v>
      </c>
      <c r="J462" s="44">
        <v>588.92999999999995</v>
      </c>
      <c r="K462" s="44">
        <v>526.89</v>
      </c>
      <c r="L462" s="44">
        <v>0</v>
      </c>
      <c r="M462" s="79">
        <v>25</v>
      </c>
      <c r="N462" s="72">
        <f t="shared" si="184"/>
        <v>6636678.46</v>
      </c>
      <c r="O462" s="44"/>
      <c r="P462" s="68">
        <v>2042518.3920666666</v>
      </c>
      <c r="Q462" s="68"/>
      <c r="R462" s="68">
        <f t="shared" si="180"/>
        <v>216869.5638</v>
      </c>
      <c r="S462" s="68">
        <f t="shared" si="185"/>
        <v>448910.27999999997</v>
      </c>
      <c r="T462" s="68">
        <f>+'Приложение №2'!E462-'Приложение №1'!P462-'Приложение №1'!Q462-'Приложение №1'!R462-'Приложение №1'!S462</f>
        <v>3928380.2241333337</v>
      </c>
      <c r="U462" s="44">
        <f t="shared" si="183"/>
        <v>12595.946895936533</v>
      </c>
      <c r="V462" s="44">
        <f t="shared" si="183"/>
        <v>12595.946895936533</v>
      </c>
      <c r="W462" s="80">
        <v>2023</v>
      </c>
      <c r="X462" s="29" t="e">
        <f>+#REF!-'[1]Приложение №1'!$P538</f>
        <v>#REF!</v>
      </c>
      <c r="Z462" s="31">
        <f t="shared" si="181"/>
        <v>6793335.0199999996</v>
      </c>
      <c r="AA462" s="27">
        <v>1320658.3173839999</v>
      </c>
      <c r="AB462" s="27">
        <v>0</v>
      </c>
      <c r="AC462" s="27">
        <v>0</v>
      </c>
      <c r="AD462" s="27">
        <v>737257.57992599998</v>
      </c>
      <c r="AE462" s="27">
        <v>0</v>
      </c>
      <c r="AF462" s="27"/>
      <c r="AG462" s="27">
        <v>0</v>
      </c>
      <c r="AH462" s="27">
        <v>0</v>
      </c>
      <c r="AI462" s="27">
        <v>1613252.1332339998</v>
      </c>
      <c r="AJ462" s="27">
        <v>0</v>
      </c>
      <c r="AK462" s="27">
        <v>2823485.5104120001</v>
      </c>
      <c r="AL462" s="27">
        <v>0</v>
      </c>
      <c r="AM462" s="27">
        <v>126656.56</v>
      </c>
      <c r="AN462" s="32">
        <v>30000</v>
      </c>
      <c r="AO462" s="33">
        <v>142024.91904400001</v>
      </c>
      <c r="AP462" s="84">
        <f>+N462-'Приложение №2'!E462</f>
        <v>0</v>
      </c>
      <c r="AQ462" s="1">
        <v>178712.19</v>
      </c>
      <c r="AR462" s="1">
        <f t="shared" si="186"/>
        <v>38157.373800000001</v>
      </c>
      <c r="AS462" s="1">
        <f t="shared" si="187"/>
        <v>448910.27999999997</v>
      </c>
      <c r="AT462" s="29">
        <f t="shared" si="171"/>
        <v>0</v>
      </c>
      <c r="AU462" s="29">
        <f>+P462-'[6]Приложение №1'!$P441</f>
        <v>0</v>
      </c>
      <c r="AV462" s="29">
        <f>+Q462-'[6]Приложение №1'!$Q441</f>
        <v>0</v>
      </c>
      <c r="AW462" s="29">
        <f>+R462-'[6]Приложение №1'!$R441</f>
        <v>0</v>
      </c>
      <c r="AX462" s="29">
        <f>+S462-'[6]Приложение №1'!$S441</f>
        <v>0</v>
      </c>
      <c r="AY462" s="29">
        <f>+T462-'[6]Приложение №1'!$T441</f>
        <v>0</v>
      </c>
    </row>
    <row r="463" spans="1:51" x14ac:dyDescent="0.25">
      <c r="A463" s="135">
        <f t="shared" si="182"/>
        <v>446</v>
      </c>
      <c r="B463" s="134">
        <f t="shared" si="182"/>
        <v>258</v>
      </c>
      <c r="C463" s="77" t="s">
        <v>106</v>
      </c>
      <c r="D463" s="77" t="s">
        <v>448</v>
      </c>
      <c r="E463" s="78">
        <v>1975</v>
      </c>
      <c r="F463" s="78">
        <v>1975</v>
      </c>
      <c r="G463" s="78" t="s">
        <v>52</v>
      </c>
      <c r="H463" s="78">
        <v>2</v>
      </c>
      <c r="I463" s="78">
        <v>2</v>
      </c>
      <c r="J463" s="44">
        <v>404.7</v>
      </c>
      <c r="K463" s="44">
        <v>359</v>
      </c>
      <c r="L463" s="44">
        <v>0</v>
      </c>
      <c r="M463" s="79">
        <v>19</v>
      </c>
      <c r="N463" s="72">
        <f t="shared" si="184"/>
        <v>1958541.8158535203</v>
      </c>
      <c r="O463" s="44"/>
      <c r="P463" s="68">
        <v>572522.35835117346</v>
      </c>
      <c r="Q463" s="68"/>
      <c r="R463" s="68">
        <f t="shared" si="180"/>
        <v>153563.35</v>
      </c>
      <c r="S463" s="68">
        <f t="shared" si="185"/>
        <v>305868</v>
      </c>
      <c r="T463" s="68">
        <f>+'Приложение №2'!E463-'Приложение №1'!P463-'Приложение №1'!Q463-'Приложение №1'!R463-'Приложение №1'!S463</f>
        <v>926588.10750234686</v>
      </c>
      <c r="U463" s="44">
        <f t="shared" si="183"/>
        <v>5455.5482335752658</v>
      </c>
      <c r="V463" s="44">
        <f t="shared" si="183"/>
        <v>5455.5482335752658</v>
      </c>
      <c r="W463" s="80">
        <v>2023</v>
      </c>
      <c r="X463" s="29" t="e">
        <f>+#REF!-'[1]Приложение №1'!$P1275</f>
        <v>#REF!</v>
      </c>
      <c r="Z463" s="31">
        <f t="shared" si="181"/>
        <v>2159719.7000000002</v>
      </c>
      <c r="AA463" s="27">
        <v>0</v>
      </c>
      <c r="AB463" s="27">
        <v>0</v>
      </c>
      <c r="AC463" s="27">
        <v>105075.60923999998</v>
      </c>
      <c r="AD463" s="27">
        <v>0</v>
      </c>
      <c r="AE463" s="27">
        <v>0</v>
      </c>
      <c r="AF463" s="27"/>
      <c r="AG463" s="27">
        <v>0</v>
      </c>
      <c r="AH463" s="27">
        <v>0</v>
      </c>
      <c r="AI463" s="27">
        <v>0</v>
      </c>
      <c r="AJ463" s="27">
        <v>0</v>
      </c>
      <c r="AK463" s="27">
        <v>1919964.7690860003</v>
      </c>
      <c r="AL463" s="27">
        <v>0</v>
      </c>
      <c r="AM463" s="27">
        <v>60395.79</v>
      </c>
      <c r="AN463" s="32">
        <v>30000</v>
      </c>
      <c r="AO463" s="33">
        <v>44283.531674000005</v>
      </c>
      <c r="AP463" s="84">
        <f>+N463-'Приложение №2'!E463</f>
        <v>0</v>
      </c>
      <c r="AQ463" s="1">
        <v>127564.57</v>
      </c>
      <c r="AR463" s="1">
        <f t="shared" si="186"/>
        <v>25998.780000000002</v>
      </c>
      <c r="AS463" s="1">
        <f t="shared" si="187"/>
        <v>305868</v>
      </c>
      <c r="AT463" s="29">
        <f t="shared" si="171"/>
        <v>0</v>
      </c>
      <c r="AU463" s="29">
        <f>+P463-'[6]Приложение №1'!$P442</f>
        <v>0</v>
      </c>
      <c r="AV463" s="29">
        <f>+Q463-'[6]Приложение №1'!$Q442</f>
        <v>0</v>
      </c>
      <c r="AW463" s="29">
        <f>+R463-'[6]Приложение №1'!$R442</f>
        <v>0</v>
      </c>
      <c r="AX463" s="29">
        <f>+S463-'[6]Приложение №1'!$S442</f>
        <v>0</v>
      </c>
      <c r="AY463" s="29">
        <f>+T463-'[6]Приложение №1'!$T442</f>
        <v>0</v>
      </c>
    </row>
    <row r="464" spans="1:51" x14ac:dyDescent="0.25">
      <c r="A464" s="135">
        <f t="shared" si="182"/>
        <v>447</v>
      </c>
      <c r="B464" s="134">
        <f t="shared" si="182"/>
        <v>259</v>
      </c>
      <c r="C464" s="77" t="s">
        <v>106</v>
      </c>
      <c r="D464" s="77" t="s">
        <v>527</v>
      </c>
      <c r="E464" s="78">
        <v>1982</v>
      </c>
      <c r="F464" s="78">
        <v>1982</v>
      </c>
      <c r="G464" s="78" t="s">
        <v>52</v>
      </c>
      <c r="H464" s="78">
        <v>2</v>
      </c>
      <c r="I464" s="78">
        <v>3</v>
      </c>
      <c r="J464" s="44">
        <v>1277.5</v>
      </c>
      <c r="K464" s="44">
        <v>1102.3</v>
      </c>
      <c r="L464" s="44">
        <v>0</v>
      </c>
      <c r="M464" s="79">
        <v>34</v>
      </c>
      <c r="N464" s="72">
        <f t="shared" si="184"/>
        <v>14630973.174031259</v>
      </c>
      <c r="O464" s="44"/>
      <c r="P464" s="68">
        <v>4932346.6957104206</v>
      </c>
      <c r="Q464" s="68"/>
      <c r="R464" s="68">
        <f t="shared" si="180"/>
        <v>426341.73599999998</v>
      </c>
      <c r="S464" s="68">
        <f t="shared" si="185"/>
        <v>939159.59999999986</v>
      </c>
      <c r="T464" s="68">
        <f>+'Приложение №2'!E464-'Приложение №1'!P464-'Приложение №1'!Q464-'Приложение №1'!R464-'Приложение №1'!S464</f>
        <v>8333125.1423208397</v>
      </c>
      <c r="U464" s="44">
        <f t="shared" si="183"/>
        <v>13273.131791736605</v>
      </c>
      <c r="V464" s="44">
        <f t="shared" si="183"/>
        <v>13273.131791736605</v>
      </c>
      <c r="W464" s="80">
        <v>2023</v>
      </c>
      <c r="X464" s="29" t="e">
        <f>+#REF!-'[1]Приложение №1'!$P1720</f>
        <v>#REF!</v>
      </c>
      <c r="Z464" s="31">
        <f t="shared" si="181"/>
        <v>20938342.830000006</v>
      </c>
      <c r="AA464" s="27">
        <v>2788532.6780639999</v>
      </c>
      <c r="AB464" s="27">
        <v>0</v>
      </c>
      <c r="AC464" s="27">
        <v>377369.21947199997</v>
      </c>
      <c r="AD464" s="27">
        <v>1566144.8148779999</v>
      </c>
      <c r="AE464" s="27">
        <v>0</v>
      </c>
      <c r="AF464" s="27"/>
      <c r="AG464" s="27">
        <v>616763.67752999999</v>
      </c>
      <c r="AH464" s="27">
        <v>0</v>
      </c>
      <c r="AI464" s="27">
        <v>3422622.3707340001</v>
      </c>
      <c r="AJ464" s="27">
        <v>0</v>
      </c>
      <c r="AK464" s="27">
        <v>5952055.6381440004</v>
      </c>
      <c r="AL464" s="27">
        <v>5507536.2469260003</v>
      </c>
      <c r="AM464" s="27">
        <v>219906.35</v>
      </c>
      <c r="AN464" s="32">
        <v>45000.3</v>
      </c>
      <c r="AO464" s="33">
        <v>442411.53425199992</v>
      </c>
      <c r="AP464" s="84">
        <f>+N464-'Приложение №2'!E464</f>
        <v>0</v>
      </c>
      <c r="AQ464" s="1">
        <v>346513.17</v>
      </c>
      <c r="AR464" s="1">
        <f t="shared" si="186"/>
        <v>79828.565999999992</v>
      </c>
      <c r="AS464" s="1">
        <f t="shared" si="187"/>
        <v>939159.59999999986</v>
      </c>
      <c r="AT464" s="29">
        <f t="shared" si="171"/>
        <v>0</v>
      </c>
      <c r="AU464" s="29">
        <f>+P464-'[6]Приложение №1'!$P443</f>
        <v>0</v>
      </c>
      <c r="AV464" s="29">
        <f>+Q464-'[6]Приложение №1'!$Q443</f>
        <v>0</v>
      </c>
      <c r="AW464" s="29">
        <f>+R464-'[6]Приложение №1'!$R443</f>
        <v>0</v>
      </c>
      <c r="AX464" s="29">
        <f>+S464-'[6]Приложение №1'!$S443</f>
        <v>0</v>
      </c>
      <c r="AY464" s="29">
        <f>+T464-'[6]Приложение №1'!$T443</f>
        <v>0</v>
      </c>
    </row>
    <row r="465" spans="1:51" x14ac:dyDescent="0.25">
      <c r="A465" s="135">
        <f t="shared" si="182"/>
        <v>448</v>
      </c>
      <c r="B465" s="134">
        <f t="shared" si="182"/>
        <v>260</v>
      </c>
      <c r="C465" s="77" t="s">
        <v>106</v>
      </c>
      <c r="D465" s="77" t="s">
        <v>108</v>
      </c>
      <c r="E465" s="78">
        <v>1977</v>
      </c>
      <c r="F465" s="78">
        <v>2009</v>
      </c>
      <c r="G465" s="78" t="s">
        <v>52</v>
      </c>
      <c r="H465" s="78">
        <v>2</v>
      </c>
      <c r="I465" s="78">
        <v>2</v>
      </c>
      <c r="J465" s="44">
        <v>513.5</v>
      </c>
      <c r="K465" s="44">
        <v>482.7</v>
      </c>
      <c r="L465" s="44">
        <v>0</v>
      </c>
      <c r="M465" s="79">
        <v>23</v>
      </c>
      <c r="N465" s="72">
        <f t="shared" si="184"/>
        <v>6038708.3828797396</v>
      </c>
      <c r="O465" s="44"/>
      <c r="P465" s="68">
        <v>2036554.7715932464</v>
      </c>
      <c r="Q465" s="68"/>
      <c r="R465" s="68">
        <f t="shared" si="180"/>
        <v>182941.56399999998</v>
      </c>
      <c r="S465" s="68">
        <f t="shared" si="185"/>
        <v>411260.39999999991</v>
      </c>
      <c r="T465" s="68">
        <f>+'Приложение №2'!E465-'Приложение №1'!P465-'Приложение №1'!Q465-'Приложение №1'!R465-'Приложение №1'!S465</f>
        <v>3407951.6472864933</v>
      </c>
      <c r="U465" s="44">
        <f t="shared" si="183"/>
        <v>12510.272183301719</v>
      </c>
      <c r="V465" s="44">
        <f t="shared" si="183"/>
        <v>12510.272183301719</v>
      </c>
      <c r="W465" s="80">
        <v>2023</v>
      </c>
      <c r="X465" s="29" t="e">
        <f>+#REF!-'[1]Приложение №1'!$P539</f>
        <v>#REF!</v>
      </c>
      <c r="Z465" s="31">
        <f t="shared" si="181"/>
        <v>8714786.4700000007</v>
      </c>
      <c r="AA465" s="27">
        <v>1207621.7677859999</v>
      </c>
      <c r="AB465" s="27">
        <v>0</v>
      </c>
      <c r="AC465" s="27">
        <v>0</v>
      </c>
      <c r="AD465" s="27">
        <v>674481.81868200004</v>
      </c>
      <c r="AE465" s="27">
        <v>0</v>
      </c>
      <c r="AF465" s="27"/>
      <c r="AG465" s="27">
        <v>0</v>
      </c>
      <c r="AH465" s="27">
        <v>0</v>
      </c>
      <c r="AI465" s="27">
        <v>1465015.4884260001</v>
      </c>
      <c r="AJ465" s="27">
        <v>0</v>
      </c>
      <c r="AK465" s="27">
        <v>2572639.0445699999</v>
      </c>
      <c r="AL465" s="27">
        <v>2380773.3781019999</v>
      </c>
      <c r="AM465" s="27">
        <v>188635.93</v>
      </c>
      <c r="AN465" s="32">
        <v>44103.229999999996</v>
      </c>
      <c r="AO465" s="33">
        <v>181515.81243399999</v>
      </c>
      <c r="AP465" s="84">
        <f>+N465-'Приложение №2'!E465</f>
        <v>0</v>
      </c>
      <c r="AQ465" s="1">
        <v>147984.43</v>
      </c>
      <c r="AR465" s="1">
        <f t="shared" si="186"/>
        <v>34957.133999999991</v>
      </c>
      <c r="AS465" s="1">
        <f t="shared" si="187"/>
        <v>411260.39999999991</v>
      </c>
      <c r="AT465" s="29">
        <f t="shared" si="171"/>
        <v>0</v>
      </c>
      <c r="AU465" s="29">
        <f>+P465-'[6]Приложение №1'!$P444</f>
        <v>0</v>
      </c>
      <c r="AV465" s="29">
        <f>+Q465-'[6]Приложение №1'!$Q444</f>
        <v>0</v>
      </c>
      <c r="AW465" s="29">
        <f>+R465-'[6]Приложение №1'!$R444</f>
        <v>0</v>
      </c>
      <c r="AX465" s="29">
        <f>+S465-'[6]Приложение №1'!$S444</f>
        <v>0</v>
      </c>
      <c r="AY465" s="29">
        <f>+T465-'[6]Приложение №1'!$T444</f>
        <v>0</v>
      </c>
    </row>
    <row r="466" spans="1:51" x14ac:dyDescent="0.25">
      <c r="A466" s="135">
        <f t="shared" si="182"/>
        <v>449</v>
      </c>
      <c r="B466" s="134">
        <f t="shared" si="182"/>
        <v>261</v>
      </c>
      <c r="C466" s="77" t="s">
        <v>106</v>
      </c>
      <c r="D466" s="77" t="s">
        <v>528</v>
      </c>
      <c r="E466" s="78">
        <v>1980</v>
      </c>
      <c r="F466" s="78">
        <v>2009</v>
      </c>
      <c r="G466" s="78" t="s">
        <v>52</v>
      </c>
      <c r="H466" s="78">
        <v>2</v>
      </c>
      <c r="I466" s="78">
        <v>2</v>
      </c>
      <c r="J466" s="44">
        <v>672.9</v>
      </c>
      <c r="K466" s="44">
        <v>611.1</v>
      </c>
      <c r="L466" s="44">
        <v>0</v>
      </c>
      <c r="M466" s="79">
        <v>29</v>
      </c>
      <c r="N466" s="72">
        <f t="shared" si="184"/>
        <v>7180288.0364000006</v>
      </c>
      <c r="O466" s="44"/>
      <c r="P466" s="68">
        <v>2190719.200666667</v>
      </c>
      <c r="Q466" s="68"/>
      <c r="R466" s="68">
        <f t="shared" si="180"/>
        <v>229660.23199999999</v>
      </c>
      <c r="S466" s="68">
        <f t="shared" si="185"/>
        <v>520657.19999999995</v>
      </c>
      <c r="T466" s="68">
        <f>+'Приложение №2'!E466-'Приложение №1'!P466-'Приложение №1'!Q466-'Приложение №1'!R466-'Приложение №1'!S466</f>
        <v>4239251.4037333336</v>
      </c>
      <c r="U466" s="44">
        <f t="shared" si="183"/>
        <v>11749.775873670431</v>
      </c>
      <c r="V466" s="44">
        <f t="shared" si="183"/>
        <v>11749.775873670431</v>
      </c>
      <c r="W466" s="80">
        <v>2023</v>
      </c>
      <c r="X466" s="29" t="e">
        <f>+#REF!-'[1]Приложение №1'!$P1721</f>
        <v>#REF!</v>
      </c>
      <c r="Z466" s="31">
        <f t="shared" si="181"/>
        <v>11378629.49</v>
      </c>
      <c r="AA466" s="27">
        <v>1424337.5088524399</v>
      </c>
      <c r="AB466" s="27">
        <v>0</v>
      </c>
      <c r="AC466" s="27">
        <v>0</v>
      </c>
      <c r="AD466" s="27">
        <v>760379.17506936006</v>
      </c>
      <c r="AE466" s="27">
        <v>0</v>
      </c>
      <c r="AF466" s="27"/>
      <c r="AG466" s="27">
        <v>334977.14468904003</v>
      </c>
      <c r="AH466" s="27">
        <v>0</v>
      </c>
      <c r="AI466" s="27">
        <v>1736316.6240672001</v>
      </c>
      <c r="AJ466" s="27">
        <v>0</v>
      </c>
      <c r="AK466" s="27">
        <v>2963106.3528674999</v>
      </c>
      <c r="AL466" s="27">
        <v>2745980.9435167201</v>
      </c>
      <c r="AM466" s="27">
        <v>1081828.9410000001</v>
      </c>
      <c r="AN466" s="32">
        <v>113786.29490000001</v>
      </c>
      <c r="AO466" s="33">
        <v>217916.50503774002</v>
      </c>
      <c r="AP466" s="84">
        <f>+N466-'Приложение №2'!E466</f>
        <v>0</v>
      </c>
      <c r="AQ466" s="1">
        <v>185404.37</v>
      </c>
      <c r="AR466" s="1">
        <f t="shared" si="186"/>
        <v>44255.861999999994</v>
      </c>
      <c r="AS466" s="1">
        <f t="shared" si="187"/>
        <v>520657.19999999995</v>
      </c>
      <c r="AT466" s="29">
        <f t="shared" si="171"/>
        <v>0</v>
      </c>
      <c r="AU466" s="29">
        <f>+P466-'[6]Приложение №1'!$P445</f>
        <v>0</v>
      </c>
      <c r="AV466" s="29">
        <f>+Q466-'[6]Приложение №1'!$Q445</f>
        <v>0</v>
      </c>
      <c r="AW466" s="29">
        <f>+R466-'[6]Приложение №1'!$R445</f>
        <v>0</v>
      </c>
      <c r="AX466" s="29">
        <f>+S466-'[6]Приложение №1'!$S445</f>
        <v>0</v>
      </c>
      <c r="AY466" s="29">
        <f>+T466-'[6]Приложение №1'!$T445</f>
        <v>0</v>
      </c>
    </row>
    <row r="467" spans="1:51" x14ac:dyDescent="0.25">
      <c r="A467" s="135">
        <f t="shared" si="182"/>
        <v>450</v>
      </c>
      <c r="B467" s="134">
        <f t="shared" si="182"/>
        <v>262</v>
      </c>
      <c r="C467" s="77" t="s">
        <v>446</v>
      </c>
      <c r="D467" s="77" t="s">
        <v>447</v>
      </c>
      <c r="E467" s="78">
        <v>1978</v>
      </c>
      <c r="F467" s="78">
        <v>2012</v>
      </c>
      <c r="G467" s="78" t="s">
        <v>44</v>
      </c>
      <c r="H467" s="78">
        <v>2</v>
      </c>
      <c r="I467" s="78">
        <v>2</v>
      </c>
      <c r="J467" s="44">
        <v>490.77</v>
      </c>
      <c r="K467" s="44">
        <v>162.07</v>
      </c>
      <c r="L467" s="44">
        <v>0</v>
      </c>
      <c r="M467" s="79">
        <v>12</v>
      </c>
      <c r="N467" s="72">
        <f t="shared" si="184"/>
        <v>16858412.73</v>
      </c>
      <c r="O467" s="44"/>
      <c r="P467" s="68">
        <v>4726214.1316666668</v>
      </c>
      <c r="Q467" s="68">
        <v>809042.81499999994</v>
      </c>
      <c r="R467" s="68">
        <f t="shared" si="180"/>
        <v>199998.12</v>
      </c>
      <c r="S467" s="68">
        <f t="shared" si="185"/>
        <v>583451.99999999988</v>
      </c>
      <c r="T467" s="68">
        <f>+'Приложение №2'!E467-'Приложение №1'!P467-'Приложение №1'!Q467-'Приложение №1'!R467-'Приложение №1'!S467</f>
        <v>10539705.663333334</v>
      </c>
      <c r="U467" s="44">
        <f t="shared" si="183"/>
        <v>104019.3294872586</v>
      </c>
      <c r="V467" s="44">
        <f t="shared" si="183"/>
        <v>104019.3294872586</v>
      </c>
      <c r="W467" s="80">
        <v>2023</v>
      </c>
      <c r="X467" s="29" t="e">
        <f>+#REF!-'[1]Приложение №1'!$P1273</f>
        <v>#REF!</v>
      </c>
      <c r="Z467" s="31">
        <f t="shared" si="181"/>
        <v>16858412.73</v>
      </c>
      <c r="AA467" s="27">
        <v>1683565.8969639998</v>
      </c>
      <c r="AB467" s="27">
        <v>1040219.4703179998</v>
      </c>
      <c r="AC467" s="27">
        <v>488517.72999399999</v>
      </c>
      <c r="AD467" s="27">
        <v>423331.30508199998</v>
      </c>
      <c r="AE467" s="27">
        <v>0</v>
      </c>
      <c r="AF467" s="27"/>
      <c r="AG467" s="27">
        <v>147640.393614</v>
      </c>
      <c r="AH467" s="27">
        <v>0</v>
      </c>
      <c r="AI467" s="27">
        <v>4805741.3532099994</v>
      </c>
      <c r="AJ467" s="27">
        <v>0</v>
      </c>
      <c r="AK467" s="27">
        <v>4013795.9746779995</v>
      </c>
      <c r="AL467" s="27">
        <v>3549227.0136119998</v>
      </c>
      <c r="AM467" s="27">
        <v>314486.54000000004</v>
      </c>
      <c r="AN467" s="27">
        <v>38674.67</v>
      </c>
      <c r="AO467" s="33">
        <v>353212.38252800005</v>
      </c>
      <c r="AP467" s="84">
        <f>+N467-'Приложение №2'!E467</f>
        <v>0</v>
      </c>
      <c r="AQ467" s="1">
        <v>183466.98</v>
      </c>
      <c r="AR467" s="1">
        <f>+(K467*10+L467*20)*12*0.85</f>
        <v>16531.14</v>
      </c>
      <c r="AS467" s="1">
        <f>+(K467*10+L467*20)*12*30</f>
        <v>583451.99999999988</v>
      </c>
      <c r="AT467" s="29">
        <f t="shared" si="171"/>
        <v>0</v>
      </c>
      <c r="AU467" s="29">
        <f>+P467-'[6]Приложение №1'!$P446</f>
        <v>0</v>
      </c>
      <c r="AV467" s="29">
        <f>+Q467-'[6]Приложение №1'!$Q446</f>
        <v>0</v>
      </c>
      <c r="AW467" s="29">
        <f>+R467-'[6]Приложение №1'!$R446</f>
        <v>0</v>
      </c>
      <c r="AX467" s="29">
        <f>+S467-'[6]Приложение №1'!$S446</f>
        <v>0</v>
      </c>
      <c r="AY467" s="29">
        <f>+T467-'[6]Приложение №1'!$T446</f>
        <v>0</v>
      </c>
    </row>
    <row r="468" spans="1:51" x14ac:dyDescent="0.25">
      <c r="A468" s="135">
        <f t="shared" si="182"/>
        <v>451</v>
      </c>
      <c r="B468" s="134">
        <f t="shared" si="182"/>
        <v>263</v>
      </c>
      <c r="C468" s="77" t="s">
        <v>262</v>
      </c>
      <c r="D468" s="77" t="s">
        <v>263</v>
      </c>
      <c r="E468" s="78">
        <v>1981</v>
      </c>
      <c r="F468" s="78">
        <v>2012</v>
      </c>
      <c r="G468" s="78" t="s">
        <v>52</v>
      </c>
      <c r="H468" s="78">
        <v>2</v>
      </c>
      <c r="I468" s="78">
        <v>2</v>
      </c>
      <c r="J468" s="44">
        <v>1102.5</v>
      </c>
      <c r="K468" s="44">
        <v>944.54</v>
      </c>
      <c r="L468" s="44">
        <v>0</v>
      </c>
      <c r="M468" s="79">
        <v>51</v>
      </c>
      <c r="N468" s="72">
        <f t="shared" si="184"/>
        <v>5471090.385000119</v>
      </c>
      <c r="O468" s="44"/>
      <c r="P468" s="68">
        <v>1550168.3224000398</v>
      </c>
      <c r="Q468" s="68">
        <v>210000</v>
      </c>
      <c r="R468" s="68">
        <f t="shared" si="180"/>
        <v>340980.2868</v>
      </c>
      <c r="S468" s="68">
        <f t="shared" si="185"/>
        <v>804748.07999999984</v>
      </c>
      <c r="T468" s="68">
        <f>+'Приложение №2'!E468-'Приложение №1'!P468-'Приложение №1'!Q468-'Приложение №1'!R468-'Приложение №1'!S468</f>
        <v>2565193.695800079</v>
      </c>
      <c r="U468" s="44">
        <f t="shared" si="183"/>
        <v>5792.3331833486345</v>
      </c>
      <c r="V468" s="44">
        <f t="shared" si="183"/>
        <v>5792.3331833486345</v>
      </c>
      <c r="W468" s="80">
        <v>2023</v>
      </c>
      <c r="X468" s="29" t="e">
        <f>+#REF!-'[1]Приложение №1'!$P1276</f>
        <v>#REF!</v>
      </c>
      <c r="Z468" s="31">
        <f t="shared" si="181"/>
        <v>7994669.5200000005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/>
      <c r="AG468" s="27">
        <v>0</v>
      </c>
      <c r="AH468" s="27">
        <v>0</v>
      </c>
      <c r="AI468" s="27">
        <v>2946332.8479479998</v>
      </c>
      <c r="AJ468" s="27">
        <v>0</v>
      </c>
      <c r="AK468" s="27">
        <v>0</v>
      </c>
      <c r="AL468" s="27">
        <v>4750816.3680600002</v>
      </c>
      <c r="AM468" s="27">
        <v>105837.82</v>
      </c>
      <c r="AN468" s="32">
        <v>23361.42</v>
      </c>
      <c r="AO468" s="33">
        <v>168321.06399200001</v>
      </c>
      <c r="AP468" s="84">
        <f>+N468-'Приложение №2'!E468</f>
        <v>0</v>
      </c>
      <c r="AQ468" s="34">
        <v>272576.7</v>
      </c>
      <c r="AR468" s="1">
        <f>+(K468*7.1+L468*19.5)*12*0.85</f>
        <v>68403.58679999999</v>
      </c>
      <c r="AS468" s="1">
        <f>+(K468*7.1+L468*19.5)*12*10</f>
        <v>804748.07999999984</v>
      </c>
      <c r="AT468" s="29">
        <f t="shared" si="171"/>
        <v>0</v>
      </c>
      <c r="AU468" s="29">
        <f>+P468-'[6]Приложение №1'!$P447</f>
        <v>0</v>
      </c>
      <c r="AV468" s="29">
        <f>+Q468-'[6]Приложение №1'!$Q447</f>
        <v>0</v>
      </c>
      <c r="AW468" s="29">
        <f>+R468-'[6]Приложение №1'!$R447</f>
        <v>0</v>
      </c>
      <c r="AX468" s="29">
        <f>+S468-'[6]Приложение №1'!$S447</f>
        <v>0</v>
      </c>
      <c r="AY468" s="29">
        <f>+T468-'[6]Приложение №1'!$T447</f>
        <v>0</v>
      </c>
    </row>
    <row r="469" spans="1:51" x14ac:dyDescent="0.25">
      <c r="A469" s="135">
        <f t="shared" si="182"/>
        <v>452</v>
      </c>
      <c r="B469" s="134">
        <f t="shared" si="182"/>
        <v>264</v>
      </c>
      <c r="C469" s="77" t="s">
        <v>109</v>
      </c>
      <c r="D469" s="77" t="s">
        <v>529</v>
      </c>
      <c r="E469" s="78">
        <v>1978</v>
      </c>
      <c r="F469" s="78">
        <v>2011</v>
      </c>
      <c r="G469" s="78" t="s">
        <v>44</v>
      </c>
      <c r="H469" s="78">
        <v>4</v>
      </c>
      <c r="I469" s="78">
        <v>4</v>
      </c>
      <c r="J469" s="44">
        <v>3928.1</v>
      </c>
      <c r="K469" s="44">
        <v>3427.4</v>
      </c>
      <c r="L469" s="44">
        <v>412.7</v>
      </c>
      <c r="M469" s="79">
        <v>110</v>
      </c>
      <c r="N469" s="72">
        <f t="shared" si="184"/>
        <v>6209439.0055262595</v>
      </c>
      <c r="O469" s="44"/>
      <c r="P469" s="68"/>
      <c r="Q469" s="68"/>
      <c r="R469" s="68">
        <f t="shared" si="180"/>
        <v>2262800.4500000002</v>
      </c>
      <c r="S469" s="68">
        <f>+'Приложение №2'!E469-'Приложение №1'!R469</f>
        <v>3946638.5555262594</v>
      </c>
      <c r="T469" s="68">
        <f>+'Приложение №2'!E469-'Приложение №1'!P469-'Приложение №1'!Q469-'Приложение №1'!R469-'Приложение №1'!S469</f>
        <v>0</v>
      </c>
      <c r="U469" s="44">
        <f t="shared" si="183"/>
        <v>1616.9992983324028</v>
      </c>
      <c r="V469" s="44">
        <f t="shared" si="183"/>
        <v>1616.9992983324028</v>
      </c>
      <c r="W469" s="80">
        <v>2023</v>
      </c>
      <c r="X469" s="29" t="e">
        <f>+#REF!-'[1]Приложение №1'!$P1988</f>
        <v>#REF!</v>
      </c>
      <c r="Z469" s="31">
        <f t="shared" si="181"/>
        <v>8909057.3100000005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/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7759379.1003737403</v>
      </c>
      <c r="AM469" s="27">
        <v>890905.73100000015</v>
      </c>
      <c r="AN469" s="32">
        <v>89090.573100000009</v>
      </c>
      <c r="AO469" s="33">
        <v>169681.90552626003</v>
      </c>
      <c r="AP469" s="84">
        <f>+N469-'Приложение №2'!E469</f>
        <v>0</v>
      </c>
      <c r="AQ469" s="1">
        <v>1829014.85</v>
      </c>
      <c r="AR469" s="1">
        <f t="shared" ref="AR469:AR479" si="188">+(K469*10+L469*20)*12*0.85</f>
        <v>433785.59999999998</v>
      </c>
      <c r="AS469" s="1">
        <f>+(K469*10+L469*20)*12*30</f>
        <v>15310080</v>
      </c>
      <c r="AT469" s="29">
        <f t="shared" si="171"/>
        <v>-11363441.44447374</v>
      </c>
      <c r="AU469" s="29">
        <f>+P469-'[6]Приложение №1'!$P448</f>
        <v>0</v>
      </c>
      <c r="AV469" s="29">
        <f>+Q469-'[6]Приложение №1'!$Q448</f>
        <v>0</v>
      </c>
      <c r="AW469" s="29">
        <f>+R469-'[6]Приложение №1'!$R448</f>
        <v>0</v>
      </c>
      <c r="AX469" s="29">
        <f>+S469-'[6]Приложение №1'!$S448</f>
        <v>0</v>
      </c>
      <c r="AY469" s="29">
        <f>+T469-'[6]Приложение №1'!$T448</f>
        <v>0</v>
      </c>
    </row>
    <row r="470" spans="1:51" x14ac:dyDescent="0.25">
      <c r="A470" s="135">
        <f t="shared" si="182"/>
        <v>453</v>
      </c>
      <c r="B470" s="134">
        <f t="shared" si="182"/>
        <v>265</v>
      </c>
      <c r="C470" s="77" t="s">
        <v>109</v>
      </c>
      <c r="D470" s="77" t="s">
        <v>265</v>
      </c>
      <c r="E470" s="78">
        <v>1997</v>
      </c>
      <c r="F470" s="78">
        <v>2012</v>
      </c>
      <c r="G470" s="78" t="s">
        <v>44</v>
      </c>
      <c r="H470" s="78">
        <v>5</v>
      </c>
      <c r="I470" s="78">
        <v>4</v>
      </c>
      <c r="J470" s="44">
        <v>3981.21</v>
      </c>
      <c r="K470" s="44">
        <v>3474.7</v>
      </c>
      <c r="L470" s="44">
        <v>88.61</v>
      </c>
      <c r="M470" s="79">
        <v>114</v>
      </c>
      <c r="N470" s="72">
        <f t="shared" si="184"/>
        <v>1050228.8737864401</v>
      </c>
      <c r="O470" s="44"/>
      <c r="P470" s="68"/>
      <c r="Q470" s="68"/>
      <c r="R470" s="68">
        <f>+'Приложение №2'!E470</f>
        <v>1050228.8737864401</v>
      </c>
      <c r="S470" s="68">
        <f>+'Приложение №2'!E470-'Приложение №1'!R470</f>
        <v>0</v>
      </c>
      <c r="T470" s="68">
        <f>+'Приложение №2'!E470-'Приложение №1'!P470-'Приложение №1'!Q470-'Приложение №1'!R470-'Приложение №1'!S470</f>
        <v>0</v>
      </c>
      <c r="U470" s="44">
        <f t="shared" si="183"/>
        <v>294.73407415757822</v>
      </c>
      <c r="V470" s="44">
        <f t="shared" si="183"/>
        <v>294.73407415757822</v>
      </c>
      <c r="W470" s="80">
        <v>2023</v>
      </c>
      <c r="X470" s="29" t="e">
        <f>+#REF!-'[1]Приложение №1'!$P1142</f>
        <v>#REF!</v>
      </c>
      <c r="Z470" s="31">
        <f t="shared" si="181"/>
        <v>1574001.34</v>
      </c>
      <c r="AA470" s="27">
        <v>0</v>
      </c>
      <c r="AB470" s="27">
        <v>0</v>
      </c>
      <c r="AC470" s="27">
        <v>0</v>
      </c>
      <c r="AD470" s="27">
        <v>0</v>
      </c>
      <c r="AE470" s="27">
        <v>1062819.2208135601</v>
      </c>
      <c r="AF470" s="27"/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472200.402</v>
      </c>
      <c r="AN470" s="32">
        <v>15740.013400000002</v>
      </c>
      <c r="AO470" s="33">
        <v>23241.703786440004</v>
      </c>
      <c r="AP470" s="84">
        <f>+N470-'Приложение №2'!E470</f>
        <v>0</v>
      </c>
      <c r="AQ470" s="1">
        <v>1742724.96</v>
      </c>
      <c r="AR470" s="1">
        <f t="shared" si="188"/>
        <v>372495.83999999997</v>
      </c>
      <c r="AS470" s="1">
        <f>+(K470*10+L470*20)*12*30</f>
        <v>13146911.999999998</v>
      </c>
      <c r="AT470" s="29">
        <f t="shared" si="171"/>
        <v>-13146911.999999998</v>
      </c>
      <c r="AU470" s="29">
        <f>+P470-'[6]Приложение №1'!$P449</f>
        <v>0</v>
      </c>
      <c r="AV470" s="29">
        <f>+Q470-'[6]Приложение №1'!$Q449</f>
        <v>0</v>
      </c>
      <c r="AW470" s="29">
        <f>+R470-'[6]Приложение №1'!$R449</f>
        <v>0</v>
      </c>
      <c r="AX470" s="29">
        <f>+S470-'[6]Приложение №1'!$S449</f>
        <v>0</v>
      </c>
      <c r="AY470" s="29">
        <f>+T470-'[6]Приложение №1'!$T449</f>
        <v>0</v>
      </c>
    </row>
    <row r="471" spans="1:51" x14ac:dyDescent="0.25">
      <c r="A471" s="135">
        <f t="shared" ref="A471:B471" si="189">+A470+1</f>
        <v>454</v>
      </c>
      <c r="B471" s="134">
        <f t="shared" si="189"/>
        <v>266</v>
      </c>
      <c r="C471" s="77" t="s">
        <v>109</v>
      </c>
      <c r="D471" s="77" t="s">
        <v>266</v>
      </c>
      <c r="E471" s="78">
        <v>1992</v>
      </c>
      <c r="F471" s="78">
        <v>2010</v>
      </c>
      <c r="G471" s="78" t="s">
        <v>44</v>
      </c>
      <c r="H471" s="78">
        <v>2</v>
      </c>
      <c r="I471" s="78">
        <v>2</v>
      </c>
      <c r="J471" s="44">
        <v>1132.5999999999999</v>
      </c>
      <c r="K471" s="44">
        <v>869.3</v>
      </c>
      <c r="L471" s="44">
        <v>263.3</v>
      </c>
      <c r="M471" s="79">
        <v>31</v>
      </c>
      <c r="N471" s="72">
        <f t="shared" si="184"/>
        <v>293473.29564598005</v>
      </c>
      <c r="O471" s="44"/>
      <c r="P471" s="68"/>
      <c r="Q471" s="68"/>
      <c r="R471" s="68">
        <f>+'Приложение №2'!E471</f>
        <v>293473.29564598005</v>
      </c>
      <c r="S471" s="68">
        <f>+'Приложение №2'!E471-'Приложение №1'!R471</f>
        <v>0</v>
      </c>
      <c r="T471" s="68">
        <f>+'Приложение №2'!E471-'Приложение №1'!P471-'Приложение №1'!Q471-'Приложение №1'!R471-'Приложение №1'!S471</f>
        <v>0</v>
      </c>
      <c r="U471" s="44">
        <f t="shared" si="183"/>
        <v>259.11468801516872</v>
      </c>
      <c r="V471" s="44">
        <f t="shared" si="183"/>
        <v>259.11468801516872</v>
      </c>
      <c r="W471" s="80">
        <v>2023</v>
      </c>
      <c r="X471" s="29" t="e">
        <f>+#REF!-'[1]Приложение №1'!$P1143</f>
        <v>#REF!</v>
      </c>
      <c r="Z471" s="31">
        <f t="shared" si="181"/>
        <v>458770.53</v>
      </c>
      <c r="AA471" s="27">
        <v>0</v>
      </c>
      <c r="AB471" s="27">
        <v>0</v>
      </c>
      <c r="AC471" s="27">
        <v>0</v>
      </c>
      <c r="AD471" s="27">
        <v>0</v>
      </c>
      <c r="AE471" s="27">
        <v>309777.46005402005</v>
      </c>
      <c r="AF471" s="27"/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137631.15900000001</v>
      </c>
      <c r="AN471" s="32">
        <v>4587.7053000000005</v>
      </c>
      <c r="AO471" s="33">
        <v>6774.2056459800015</v>
      </c>
      <c r="AP471" s="84">
        <f>+N471-'Приложение №2'!E471</f>
        <v>0</v>
      </c>
      <c r="AQ471" s="1">
        <f>467298.54-180991.88</f>
        <v>286306.65999999997</v>
      </c>
      <c r="AR471" s="1">
        <f t="shared" si="188"/>
        <v>142381.79999999999</v>
      </c>
      <c r="AS471" s="1">
        <f>+(K471*10+L471*20)*12*30-1001.27</f>
        <v>5024238.7300000004</v>
      </c>
      <c r="AT471" s="29">
        <f t="shared" si="171"/>
        <v>-5024238.7300000004</v>
      </c>
      <c r="AU471" s="29">
        <f>+P471-'[6]Приложение №1'!$P450</f>
        <v>0</v>
      </c>
      <c r="AV471" s="29">
        <f>+Q471-'[6]Приложение №1'!$Q450</f>
        <v>0</v>
      </c>
      <c r="AW471" s="29">
        <f>+R471-'[6]Приложение №1'!$R450</f>
        <v>0</v>
      </c>
      <c r="AX471" s="29">
        <f>+S471-'[6]Приложение №1'!$S450</f>
        <v>0</v>
      </c>
      <c r="AY471" s="29">
        <f>+T471-'[6]Приложение №1'!$T450</f>
        <v>0</v>
      </c>
    </row>
    <row r="472" spans="1:51" x14ac:dyDescent="0.25">
      <c r="A472" s="135">
        <f t="shared" ref="A472:B472" si="190">+A471+1</f>
        <v>455</v>
      </c>
      <c r="B472" s="134">
        <f t="shared" si="190"/>
        <v>267</v>
      </c>
      <c r="C472" s="77" t="s">
        <v>109</v>
      </c>
      <c r="D472" s="77" t="s">
        <v>267</v>
      </c>
      <c r="E472" s="78">
        <v>1993</v>
      </c>
      <c r="F472" s="78">
        <v>2009</v>
      </c>
      <c r="G472" s="78" t="s">
        <v>44</v>
      </c>
      <c r="H472" s="78">
        <v>2</v>
      </c>
      <c r="I472" s="78">
        <v>2</v>
      </c>
      <c r="J472" s="44">
        <v>1119.8</v>
      </c>
      <c r="K472" s="44">
        <v>862.9</v>
      </c>
      <c r="L472" s="44">
        <v>256.89999999999998</v>
      </c>
      <c r="M472" s="79">
        <v>33</v>
      </c>
      <c r="N472" s="72">
        <f t="shared" si="184"/>
        <v>321001.14</v>
      </c>
      <c r="O472" s="44"/>
      <c r="P472" s="68"/>
      <c r="Q472" s="68"/>
      <c r="R472" s="68">
        <f>+'Приложение №2'!E472</f>
        <v>321001.14</v>
      </c>
      <c r="S472" s="68">
        <f>+'Приложение №2'!E472-'Приложение №1'!R472</f>
        <v>0</v>
      </c>
      <c r="T472" s="68">
        <f>+'Приложение №2'!E472-'Приложение №1'!P472-'Приложение №1'!Q472-'Приложение №1'!R472-'Приложение №1'!S472</f>
        <v>0</v>
      </c>
      <c r="U472" s="44">
        <f t="shared" si="183"/>
        <v>286.65934988390785</v>
      </c>
      <c r="V472" s="44">
        <f t="shared" si="183"/>
        <v>286.65934988390785</v>
      </c>
      <c r="W472" s="80">
        <v>2023</v>
      </c>
      <c r="X472" s="29" t="e">
        <f>+#REF!-'[1]Приложение №1'!$P1144</f>
        <v>#REF!</v>
      </c>
      <c r="Z472" s="31">
        <f t="shared" si="181"/>
        <v>404572.72000000003</v>
      </c>
      <c r="AA472" s="27">
        <v>0</v>
      </c>
      <c r="AB472" s="27">
        <v>0</v>
      </c>
      <c r="AC472" s="27">
        <v>0</v>
      </c>
      <c r="AD472" s="27">
        <v>0</v>
      </c>
      <c r="AE472" s="27">
        <v>318383.06</v>
      </c>
      <c r="AF472" s="27"/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80238.25</v>
      </c>
      <c r="AN472" s="32">
        <v>3333.33</v>
      </c>
      <c r="AO472" s="33">
        <v>2618.08</v>
      </c>
      <c r="AP472" s="84">
        <f>+N472-'Приложение №2'!E472</f>
        <v>0</v>
      </c>
      <c r="AQ472" s="1">
        <f>384509.89-236084.3854</f>
        <v>148425.50460000001</v>
      </c>
      <c r="AR472" s="1">
        <f t="shared" si="188"/>
        <v>140423.4</v>
      </c>
      <c r="AS472" s="1">
        <f>+(K472*10+L472*20)*12*30-325085.89</f>
        <v>4631034.1100000003</v>
      </c>
      <c r="AT472" s="29">
        <f t="shared" ref="AT472:AT536" si="191">+S472-AS472</f>
        <v>-4631034.1100000003</v>
      </c>
      <c r="AU472" s="29">
        <f>+P472-'[6]Приложение №1'!$P451</f>
        <v>0</v>
      </c>
      <c r="AV472" s="29">
        <f>+Q472-'[6]Приложение №1'!$Q451</f>
        <v>0</v>
      </c>
      <c r="AW472" s="29">
        <f>+R472-'[6]Приложение №1'!$R451</f>
        <v>0</v>
      </c>
      <c r="AX472" s="29">
        <f>+S472-'[6]Приложение №1'!$S451</f>
        <v>0</v>
      </c>
      <c r="AY472" s="29">
        <f>+T472-'[6]Приложение №1'!$T451</f>
        <v>0</v>
      </c>
    </row>
    <row r="473" spans="1:51" x14ac:dyDescent="0.25">
      <c r="A473" s="135">
        <f t="shared" ref="A473:B473" si="192">+A472+1</f>
        <v>456</v>
      </c>
      <c r="B473" s="134">
        <f t="shared" si="192"/>
        <v>268</v>
      </c>
      <c r="C473" s="77" t="s">
        <v>110</v>
      </c>
      <c r="D473" s="77" t="s">
        <v>270</v>
      </c>
      <c r="E473" s="78">
        <v>1991</v>
      </c>
      <c r="F473" s="78">
        <v>2011</v>
      </c>
      <c r="G473" s="78" t="s">
        <v>44</v>
      </c>
      <c r="H473" s="78">
        <v>5</v>
      </c>
      <c r="I473" s="78">
        <v>5</v>
      </c>
      <c r="J473" s="44">
        <v>4770.3999999999996</v>
      </c>
      <c r="K473" s="44">
        <v>4318</v>
      </c>
      <c r="L473" s="44">
        <v>0</v>
      </c>
      <c r="M473" s="79">
        <v>178</v>
      </c>
      <c r="N473" s="72">
        <f t="shared" si="184"/>
        <v>1873270.93</v>
      </c>
      <c r="O473" s="44"/>
      <c r="P473" s="68"/>
      <c r="Q473" s="68"/>
      <c r="R473" s="68">
        <f>+'Приложение №2'!E473</f>
        <v>1873270.93</v>
      </c>
      <c r="S473" s="68">
        <f>+'Приложение №2'!E473-'Приложение №1'!R473</f>
        <v>0</v>
      </c>
      <c r="T473" s="68">
        <f>+'Приложение №2'!E473-'Приложение №1'!P473-'Приложение №1'!Q473-'Приложение №1'!R473-'Приложение №1'!S473</f>
        <v>0</v>
      </c>
      <c r="U473" s="44">
        <f t="shared" si="183"/>
        <v>433.82837656322369</v>
      </c>
      <c r="V473" s="44">
        <f t="shared" si="183"/>
        <v>433.82837656322369</v>
      </c>
      <c r="W473" s="80">
        <v>2023</v>
      </c>
      <c r="X473" s="29" t="e">
        <f>+#REF!-'[1]Приложение №1'!$P1151</f>
        <v>#REF!</v>
      </c>
      <c r="Z473" s="31">
        <f t="shared" si="181"/>
        <v>2117492.21</v>
      </c>
      <c r="AA473" s="27">
        <v>0</v>
      </c>
      <c r="AB473" s="27">
        <v>0</v>
      </c>
      <c r="AC473" s="27">
        <v>0</v>
      </c>
      <c r="AD473" s="27">
        <v>0</v>
      </c>
      <c r="AE473" s="27">
        <v>1859152.43</v>
      </c>
      <c r="AF473" s="27"/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240887.95</v>
      </c>
      <c r="AN473" s="32">
        <v>3333.33</v>
      </c>
      <c r="AO473" s="33">
        <v>14118.5</v>
      </c>
      <c r="AP473" s="84">
        <f>+N473-'Приложение №2'!E473</f>
        <v>0</v>
      </c>
      <c r="AQ473" s="1">
        <v>1919885.11</v>
      </c>
      <c r="AR473" s="1">
        <f t="shared" si="188"/>
        <v>440436</v>
      </c>
      <c r="AS473" s="1">
        <f>+(K473*10+L473*20)*12*30</f>
        <v>15544800</v>
      </c>
      <c r="AT473" s="29">
        <f t="shared" si="191"/>
        <v>-15544800</v>
      </c>
      <c r="AU473" s="29">
        <f>+P473-'[6]Приложение №1'!$P452</f>
        <v>0</v>
      </c>
      <c r="AV473" s="29">
        <f>+Q473-'[6]Приложение №1'!$Q452</f>
        <v>0</v>
      </c>
      <c r="AW473" s="29">
        <f>+R473-'[6]Приложение №1'!$R452</f>
        <v>0</v>
      </c>
      <c r="AX473" s="29">
        <f>+S473-'[6]Приложение №1'!$S452</f>
        <v>0</v>
      </c>
      <c r="AY473" s="29">
        <f>+T473-'[6]Приложение №1'!$T452</f>
        <v>0</v>
      </c>
    </row>
    <row r="474" spans="1:51" x14ac:dyDescent="0.25">
      <c r="A474" s="135">
        <f t="shared" ref="A474:B474" si="193">+A473+1</f>
        <v>457</v>
      </c>
      <c r="B474" s="134">
        <f t="shared" si="193"/>
        <v>269</v>
      </c>
      <c r="C474" s="77" t="s">
        <v>110</v>
      </c>
      <c r="D474" s="77" t="s">
        <v>451</v>
      </c>
      <c r="E474" s="78">
        <v>1971</v>
      </c>
      <c r="F474" s="78">
        <v>2011</v>
      </c>
      <c r="G474" s="78" t="s">
        <v>44</v>
      </c>
      <c r="H474" s="78">
        <v>5</v>
      </c>
      <c r="I474" s="78">
        <v>4</v>
      </c>
      <c r="J474" s="44">
        <v>3534.8</v>
      </c>
      <c r="K474" s="44">
        <v>2494.1</v>
      </c>
      <c r="L474" s="44">
        <v>875.9</v>
      </c>
      <c r="M474" s="79">
        <v>129</v>
      </c>
      <c r="N474" s="72">
        <f t="shared" si="184"/>
        <v>2251948.8353626798</v>
      </c>
      <c r="O474" s="44"/>
      <c r="P474" s="68"/>
      <c r="Q474" s="68"/>
      <c r="R474" s="68">
        <f>+AQ474+AR474</f>
        <v>1393368.6</v>
      </c>
      <c r="S474" s="68">
        <f>+'Приложение №2'!E474-'Приложение №1'!R474</f>
        <v>858580.2353626797</v>
      </c>
      <c r="T474" s="68">
        <f>+'Приложение №2'!E474-'Приложение №1'!P474-'Приложение №1'!Q474-'Приложение №1'!R474-'Приложение №1'!S474</f>
        <v>0</v>
      </c>
      <c r="U474" s="44">
        <f t="shared" si="183"/>
        <v>668.23407577527587</v>
      </c>
      <c r="V474" s="44">
        <f t="shared" si="183"/>
        <v>668.23407577527587</v>
      </c>
      <c r="W474" s="80">
        <v>2023</v>
      </c>
      <c r="X474" s="29" t="e">
        <f>+#REF!-'[1]Приложение №1'!$P1546</f>
        <v>#REF!</v>
      </c>
      <c r="Z474" s="31">
        <f t="shared" si="181"/>
        <v>10838098.81182522</v>
      </c>
      <c r="AA474" s="27"/>
      <c r="AB474" s="27">
        <v>0</v>
      </c>
      <c r="AC474" s="27">
        <v>0</v>
      </c>
      <c r="AD474" s="27">
        <v>0</v>
      </c>
      <c r="AE474" s="27">
        <v>1101213.72829692</v>
      </c>
      <c r="AF474" s="27"/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7387688.3326625396</v>
      </c>
      <c r="AM474" s="27">
        <v>1867251.8873999999</v>
      </c>
      <c r="AN474" s="32">
        <v>167352.03419999999</v>
      </c>
      <c r="AO474" s="33">
        <v>314592.82926576003</v>
      </c>
      <c r="AP474" s="84">
        <f>+N474-'Приложение №2'!E474</f>
        <v>0</v>
      </c>
      <c r="AQ474" s="1">
        <f>1768332.06-808045.26</f>
        <v>960286.8</v>
      </c>
      <c r="AR474" s="1">
        <f t="shared" si="188"/>
        <v>433081.8</v>
      </c>
      <c r="AS474" s="1">
        <f>+(K474*10+L474*20)*12*30-2725603.24</f>
        <v>12559636.76</v>
      </c>
      <c r="AT474" s="29">
        <f t="shared" si="191"/>
        <v>-11701056.524637319</v>
      </c>
      <c r="AU474" s="29">
        <f>+P474-'[6]Приложение №1'!$P453</f>
        <v>0</v>
      </c>
      <c r="AV474" s="29">
        <f>+Q474-'[6]Приложение №1'!$Q453</f>
        <v>0</v>
      </c>
      <c r="AW474" s="29">
        <f>+R474-'[6]Приложение №1'!$R453</f>
        <v>0</v>
      </c>
      <c r="AX474" s="29">
        <f>+S474-'[6]Приложение №1'!$S453</f>
        <v>0</v>
      </c>
      <c r="AY474" s="29">
        <f>+T474-'[6]Приложение №1'!$T453</f>
        <v>0</v>
      </c>
    </row>
    <row r="475" spans="1:51" x14ac:dyDescent="0.25">
      <c r="A475" s="135">
        <f t="shared" ref="A475:B475" si="194">+A474+1</f>
        <v>458</v>
      </c>
      <c r="B475" s="134">
        <f t="shared" si="194"/>
        <v>270</v>
      </c>
      <c r="C475" s="77" t="s">
        <v>110</v>
      </c>
      <c r="D475" s="77" t="s">
        <v>115</v>
      </c>
      <c r="E475" s="78">
        <v>1974</v>
      </c>
      <c r="F475" s="78">
        <v>2011</v>
      </c>
      <c r="G475" s="78" t="s">
        <v>44</v>
      </c>
      <c r="H475" s="78">
        <v>5</v>
      </c>
      <c r="I475" s="78">
        <v>4</v>
      </c>
      <c r="J475" s="44">
        <v>3194.1</v>
      </c>
      <c r="K475" s="44">
        <v>1856.9</v>
      </c>
      <c r="L475" s="44">
        <v>1224.7</v>
      </c>
      <c r="M475" s="79">
        <v>88</v>
      </c>
      <c r="N475" s="72">
        <f t="shared" si="184"/>
        <v>2442223.62128712</v>
      </c>
      <c r="O475" s="44"/>
      <c r="P475" s="68"/>
      <c r="Q475" s="68"/>
      <c r="R475" s="68">
        <f>+AQ475+AR475</f>
        <v>1363004.8699999999</v>
      </c>
      <c r="S475" s="68">
        <f>+'Приложение №2'!E475-'Приложение №1'!R475</f>
        <v>1079218.7512871202</v>
      </c>
      <c r="T475" s="68">
        <f>+'Приложение №2'!E475-'Приложение №1'!P475-'Приложение №1'!Q475-'Приложение №1'!R475-'Приложение №1'!S475</f>
        <v>0</v>
      </c>
      <c r="U475" s="44">
        <f t="shared" si="183"/>
        <v>792.51804948309962</v>
      </c>
      <c r="V475" s="44">
        <f t="shared" si="183"/>
        <v>792.51804948309962</v>
      </c>
      <c r="W475" s="80">
        <v>2023</v>
      </c>
      <c r="X475" s="29" t="e">
        <f>+#REF!-'[1]Приложение №1'!$P1547</f>
        <v>#REF!</v>
      </c>
      <c r="Z475" s="31">
        <f t="shared" si="181"/>
        <v>9392640.5899999999</v>
      </c>
      <c r="AA475" s="27">
        <v>0</v>
      </c>
      <c r="AB475" s="27">
        <v>0</v>
      </c>
      <c r="AC475" s="27">
        <v>0</v>
      </c>
      <c r="AD475" s="27">
        <v>0</v>
      </c>
      <c r="AE475" s="27">
        <v>1022757.2702335803</v>
      </c>
      <c r="AF475" s="27"/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6861349.2395128794</v>
      </c>
      <c r="AM475" s="27">
        <v>1242198.233</v>
      </c>
      <c r="AN475" s="32">
        <v>93926.405899999998</v>
      </c>
      <c r="AO475" s="33">
        <v>172409.44135354002</v>
      </c>
      <c r="AP475" s="84">
        <f>+N475-'Приложение №2'!E475</f>
        <v>0</v>
      </c>
      <c r="AQ475" s="1">
        <f>1878287.66-954525.39</f>
        <v>923762.2699999999</v>
      </c>
      <c r="AR475" s="1">
        <f t="shared" si="188"/>
        <v>439242.6</v>
      </c>
      <c r="AS475" s="1">
        <f>+(K475*10+L475*20)*12*30-119920.72-2599968.3</f>
        <v>12782790.98</v>
      </c>
      <c r="AT475" s="29">
        <f t="shared" si="191"/>
        <v>-11703572.228712881</v>
      </c>
      <c r="AU475" s="29">
        <f>+P475-'[6]Приложение №1'!$P454</f>
        <v>0</v>
      </c>
      <c r="AV475" s="29">
        <f>+Q475-'[6]Приложение №1'!$Q454</f>
        <v>0</v>
      </c>
      <c r="AW475" s="29">
        <f>+R475-'[6]Приложение №1'!$R454</f>
        <v>0</v>
      </c>
      <c r="AX475" s="29">
        <f>+S475-'[6]Приложение №1'!$S454</f>
        <v>0</v>
      </c>
      <c r="AY475" s="29">
        <f>+T475-'[6]Приложение №1'!$T454</f>
        <v>0</v>
      </c>
    </row>
    <row r="476" spans="1:51" x14ac:dyDescent="0.25">
      <c r="A476" s="135">
        <f t="shared" ref="A476:B476" si="195">+A475+1</f>
        <v>459</v>
      </c>
      <c r="B476" s="134">
        <f t="shared" si="195"/>
        <v>271</v>
      </c>
      <c r="C476" s="77" t="s">
        <v>110</v>
      </c>
      <c r="D476" s="77" t="s">
        <v>532</v>
      </c>
      <c r="E476" s="78">
        <v>1969</v>
      </c>
      <c r="F476" s="78">
        <v>2009</v>
      </c>
      <c r="G476" s="78" t="s">
        <v>44</v>
      </c>
      <c r="H476" s="78">
        <v>4</v>
      </c>
      <c r="I476" s="78">
        <v>4</v>
      </c>
      <c r="J476" s="44">
        <v>2719.1</v>
      </c>
      <c r="K476" s="44">
        <v>2454</v>
      </c>
      <c r="L476" s="44">
        <v>66.5</v>
      </c>
      <c r="M476" s="79">
        <v>120</v>
      </c>
      <c r="N476" s="129">
        <f t="shared" si="184"/>
        <v>6432710.1713439999</v>
      </c>
      <c r="O476" s="44"/>
      <c r="P476" s="68">
        <v>671332.45</v>
      </c>
      <c r="Q476" s="68"/>
      <c r="R476" s="68">
        <v>0</v>
      </c>
      <c r="S476" s="68">
        <f>+'Приложение №2'!E476-'Приложение №1'!R476-P476</f>
        <v>5761377.7213439997</v>
      </c>
      <c r="T476" s="44">
        <f>+'Приложение №2'!E476-'Приложение №1'!P476-'Приложение №1'!Q476-'Приложение №1'!R476-'Приложение №1'!S476</f>
        <v>0</v>
      </c>
      <c r="U476" s="68">
        <f t="shared" si="183"/>
        <v>2552.1563861709978</v>
      </c>
      <c r="V476" s="68">
        <f t="shared" si="183"/>
        <v>2552.1563861709978</v>
      </c>
      <c r="W476" s="80">
        <v>2023</v>
      </c>
      <c r="X476" s="29" t="e">
        <f>+#REF!-'[1]Приложение №1'!$P2022</f>
        <v>#REF!</v>
      </c>
      <c r="Z476" s="31">
        <f t="shared" si="181"/>
        <v>14067048.463401999</v>
      </c>
      <c r="AA476" s="27">
        <v>0</v>
      </c>
      <c r="AB476" s="27">
        <v>0</v>
      </c>
      <c r="AC476" s="27">
        <v>0</v>
      </c>
      <c r="AD476" s="27">
        <v>0</v>
      </c>
      <c r="AE476" s="27">
        <v>850099.92968124012</v>
      </c>
      <c r="AF476" s="27"/>
      <c r="AG476" s="27">
        <v>0</v>
      </c>
      <c r="AH476" s="27">
        <v>0</v>
      </c>
      <c r="AI476" s="27">
        <v>0</v>
      </c>
      <c r="AJ476" s="27">
        <v>0</v>
      </c>
      <c r="AK476" s="27">
        <v>6122487.8099999996</v>
      </c>
      <c r="AL476" s="27">
        <v>6280344.04</v>
      </c>
      <c r="AM476" s="27">
        <v>592071.17800000007</v>
      </c>
      <c r="AN476" s="32">
        <v>53956.358600000007</v>
      </c>
      <c r="AO476" s="33">
        <v>168089.14712076</v>
      </c>
      <c r="AP476" s="84">
        <f>+N476-'Приложение №2'!E476</f>
        <v>0</v>
      </c>
      <c r="AQ476" s="29">
        <f>882910.83-R199</f>
        <v>-280632.59999999998</v>
      </c>
      <c r="AR476" s="1">
        <f t="shared" si="188"/>
        <v>263874</v>
      </c>
      <c r="AS476" s="1">
        <f>+(K476*10+L476*20)*12*30-S199</f>
        <v>4210775.4186559999</v>
      </c>
      <c r="AT476" s="29">
        <f t="shared" si="191"/>
        <v>1550602.3026879998</v>
      </c>
    </row>
    <row r="477" spans="1:51" x14ac:dyDescent="0.25">
      <c r="A477" s="135">
        <f t="shared" ref="A477:B477" si="196">+A476+1</f>
        <v>460</v>
      </c>
      <c r="B477" s="134">
        <f t="shared" si="196"/>
        <v>272</v>
      </c>
      <c r="C477" s="77" t="s">
        <v>110</v>
      </c>
      <c r="D477" s="77" t="s">
        <v>118</v>
      </c>
      <c r="E477" s="78">
        <v>1973</v>
      </c>
      <c r="F477" s="78">
        <v>2010</v>
      </c>
      <c r="G477" s="78" t="s">
        <v>44</v>
      </c>
      <c r="H477" s="78">
        <v>5</v>
      </c>
      <c r="I477" s="78">
        <v>4</v>
      </c>
      <c r="J477" s="44">
        <v>3449.3</v>
      </c>
      <c r="K477" s="44">
        <v>3117.4</v>
      </c>
      <c r="L477" s="44">
        <v>171.7</v>
      </c>
      <c r="M477" s="79">
        <v>147</v>
      </c>
      <c r="N477" s="72">
        <f t="shared" si="184"/>
        <v>6210065.9474952389</v>
      </c>
      <c r="O477" s="44"/>
      <c r="P477" s="68">
        <v>2605661.0315339789</v>
      </c>
      <c r="Q477" s="68"/>
      <c r="R477" s="68">
        <f>+AQ477+AR477</f>
        <v>621865.63000000012</v>
      </c>
      <c r="S477" s="68">
        <f>+'Приложение №2'!E477-'Приложение №1'!P477-'Приложение №1'!Q477-'Приложение №1'!R477</f>
        <v>2982539.2859612601</v>
      </c>
      <c r="T477" s="68">
        <f>+'Приложение №2'!E477-'Приложение №1'!P477-'Приложение №1'!Q477-'Приложение №1'!R477-'Приложение №1'!S477</f>
        <v>0</v>
      </c>
      <c r="U477" s="44">
        <f t="shared" si="183"/>
        <v>1888.0745333055361</v>
      </c>
      <c r="V477" s="44">
        <f t="shared" si="183"/>
        <v>1888.0745333055361</v>
      </c>
      <c r="W477" s="80">
        <v>2023</v>
      </c>
      <c r="X477" s="29" t="e">
        <f>+#REF!-'[1]Приложение №1'!$P1584</f>
        <v>#REF!</v>
      </c>
      <c r="Z477" s="31">
        <f t="shared" si="181"/>
        <v>17920574.470533662</v>
      </c>
      <c r="AA477" s="27"/>
      <c r="AB477" s="27">
        <v>0</v>
      </c>
      <c r="AC477" s="27">
        <v>0</v>
      </c>
      <c r="AD477" s="27">
        <v>0</v>
      </c>
      <c r="AE477" s="27">
        <v>1035545.4729408602</v>
      </c>
      <c r="AF477" s="27"/>
      <c r="AG477" s="27">
        <v>0</v>
      </c>
      <c r="AH477" s="27">
        <v>0</v>
      </c>
      <c r="AI477" s="27">
        <v>0</v>
      </c>
      <c r="AJ477" s="27">
        <v>0</v>
      </c>
      <c r="AK477" s="27">
        <v>6731411.6906387396</v>
      </c>
      <c r="AL477" s="27">
        <v>6947141.1784660202</v>
      </c>
      <c r="AM477" s="27">
        <v>2528780.7582</v>
      </c>
      <c r="AN477" s="32">
        <v>234660.19320000001</v>
      </c>
      <c r="AO477" s="33">
        <v>443035.17708804004</v>
      </c>
      <c r="AP477" s="84">
        <f>+N477-'Приложение №2'!E477</f>
        <v>0</v>
      </c>
      <c r="AQ477" s="1">
        <f>1240910.11-689425.44-282620.64</f>
        <v>268864.03000000014</v>
      </c>
      <c r="AR477" s="1">
        <f t="shared" si="188"/>
        <v>353001.6</v>
      </c>
      <c r="AS477" s="1">
        <f>+(K477*10+L477*20)*12*30-3027646.57-12468.88</f>
        <v>9418764.5499999989</v>
      </c>
      <c r="AT477" s="29">
        <f t="shared" si="191"/>
        <v>-6436225.2640387388</v>
      </c>
      <c r="AU477" s="29">
        <f>+P477-'[6]Приложение №1'!$P455</f>
        <v>0</v>
      </c>
      <c r="AV477" s="29">
        <f>+Q477-'[6]Приложение №1'!$Q455</f>
        <v>0</v>
      </c>
      <c r="AW477" s="29">
        <f>+R477-'[6]Приложение №1'!$R455</f>
        <v>0</v>
      </c>
      <c r="AX477" s="29">
        <f>+S477-'[6]Приложение №1'!$S455</f>
        <v>0</v>
      </c>
      <c r="AY477" s="29">
        <f>+T477-'[6]Приложение №1'!$T455</f>
        <v>0</v>
      </c>
    </row>
    <row r="478" spans="1:51" x14ac:dyDescent="0.25">
      <c r="A478" s="135">
        <f t="shared" ref="A478:B478" si="197">+A477+1</f>
        <v>461</v>
      </c>
      <c r="B478" s="134">
        <f t="shared" si="197"/>
        <v>273</v>
      </c>
      <c r="C478" s="77" t="s">
        <v>110</v>
      </c>
      <c r="D478" s="77" t="s">
        <v>274</v>
      </c>
      <c r="E478" s="78">
        <v>1985</v>
      </c>
      <c r="F478" s="78">
        <v>2011</v>
      </c>
      <c r="G478" s="78" t="s">
        <v>44</v>
      </c>
      <c r="H478" s="78">
        <v>5</v>
      </c>
      <c r="I478" s="78">
        <v>2</v>
      </c>
      <c r="J478" s="44">
        <v>1696.6</v>
      </c>
      <c r="K478" s="44">
        <v>1532.2</v>
      </c>
      <c r="L478" s="44">
        <v>54.4</v>
      </c>
      <c r="M478" s="79">
        <v>58</v>
      </c>
      <c r="N478" s="72">
        <f t="shared" si="184"/>
        <v>340500.39751072001</v>
      </c>
      <c r="O478" s="44"/>
      <c r="P478" s="68">
        <v>0</v>
      </c>
      <c r="Q478" s="68"/>
      <c r="R478" s="68">
        <f>+AQ478+AR478</f>
        <v>0</v>
      </c>
      <c r="S478" s="68">
        <f>+'Приложение №2'!E478-'Приложение №1'!R478</f>
        <v>340500.39751072001</v>
      </c>
      <c r="T478" s="44">
        <f>+'Приложение №2'!E478-'Приложение №1'!P478-'Приложение №1'!Q478-'Приложение №1'!R478-'Приложение №1'!S478</f>
        <v>0</v>
      </c>
      <c r="U478" s="68">
        <f t="shared" si="183"/>
        <v>214.61010809953359</v>
      </c>
      <c r="V478" s="68">
        <f t="shared" si="183"/>
        <v>214.61010809953359</v>
      </c>
      <c r="W478" s="80">
        <v>2023</v>
      </c>
      <c r="X478" s="29" t="e">
        <f>+#REF!-'[1]Приложение №1'!$P1177</f>
        <v>#REF!</v>
      </c>
      <c r="Z478" s="31">
        <f t="shared" si="181"/>
        <v>6417929.1893379986</v>
      </c>
      <c r="AA478" s="27">
        <v>2736613.7104324196</v>
      </c>
      <c r="AB478" s="27">
        <v>0</v>
      </c>
      <c r="AC478" s="27">
        <v>1280803.3788694199</v>
      </c>
      <c r="AD478" s="27">
        <v>849765.59</v>
      </c>
      <c r="AE478" s="27">
        <v>511029.86662728002</v>
      </c>
      <c r="AF478" s="27"/>
      <c r="AG478" s="27">
        <v>140523.24640871998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731735.25000000012</v>
      </c>
      <c r="AN478" s="32">
        <v>56969.515600000006</v>
      </c>
      <c r="AO478" s="33">
        <v>110488.63140016003</v>
      </c>
      <c r="AP478" s="84">
        <f>+N478-'Приложение №2'!E478</f>
        <v>0</v>
      </c>
      <c r="AQ478" s="29">
        <f>660207.23-R197</f>
        <v>-167382</v>
      </c>
      <c r="AR478" s="1">
        <f t="shared" si="188"/>
        <v>167382</v>
      </c>
      <c r="AS478" s="1">
        <f>+(K478*10+L478*20)*12*30-S197</f>
        <v>5556218.7424892802</v>
      </c>
      <c r="AT478" s="29">
        <f t="shared" si="191"/>
        <v>-5215718.3449785598</v>
      </c>
      <c r="AU478" s="29">
        <f>+P478-'[6]Приложение №1'!$P456</f>
        <v>0</v>
      </c>
      <c r="AV478" s="29">
        <f>+Q478-'[6]Приложение №1'!$Q456</f>
        <v>0</v>
      </c>
      <c r="AW478" s="29">
        <f>+R478-'[6]Приложение №1'!$R456</f>
        <v>0</v>
      </c>
      <c r="AX478" s="29">
        <f>+S478-'[6]Приложение №1'!$S456</f>
        <v>0</v>
      </c>
      <c r="AY478" s="29">
        <f>+T478-'[6]Приложение №1'!$T456</f>
        <v>0</v>
      </c>
    </row>
    <row r="479" spans="1:51" x14ac:dyDescent="0.25">
      <c r="A479" s="135">
        <f t="shared" ref="A479:B479" si="198">+A478+1</f>
        <v>462</v>
      </c>
      <c r="B479" s="134">
        <f t="shared" si="198"/>
        <v>274</v>
      </c>
      <c r="C479" s="77" t="s">
        <v>110</v>
      </c>
      <c r="D479" s="77" t="s">
        <v>119</v>
      </c>
      <c r="E479" s="78">
        <v>1970</v>
      </c>
      <c r="F479" s="78">
        <v>2010</v>
      </c>
      <c r="G479" s="78" t="s">
        <v>44</v>
      </c>
      <c r="H479" s="78">
        <v>5</v>
      </c>
      <c r="I479" s="78">
        <v>4</v>
      </c>
      <c r="J479" s="44">
        <v>3258</v>
      </c>
      <c r="K479" s="44">
        <v>3018.9</v>
      </c>
      <c r="L479" s="44">
        <v>0</v>
      </c>
      <c r="M479" s="79">
        <v>132</v>
      </c>
      <c r="N479" s="72">
        <f t="shared" si="184"/>
        <v>13274787.34</v>
      </c>
      <c r="O479" s="44"/>
      <c r="P479" s="68">
        <v>2067746.9300000002</v>
      </c>
      <c r="Q479" s="68"/>
      <c r="R479" s="68">
        <f>+AQ479+AR479</f>
        <v>652968.09999999986</v>
      </c>
      <c r="S479" s="68">
        <f>+'Приложение №2'!E479-'Приложение №1'!P479-'Приложение №1'!Q479-'Приложение №1'!R479</f>
        <v>10554072.310000001</v>
      </c>
      <c r="T479" s="44">
        <f>+'Приложение №2'!E479-'Приложение №1'!P479-'Приложение №1'!Q479-'Приложение №1'!R479-'Приложение №1'!S479</f>
        <v>0</v>
      </c>
      <c r="U479" s="68">
        <f t="shared" si="183"/>
        <v>4397.2265858425253</v>
      </c>
      <c r="V479" s="68">
        <f t="shared" si="183"/>
        <v>4397.2265858425253</v>
      </c>
      <c r="W479" s="80">
        <v>2023</v>
      </c>
      <c r="X479" s="29" t="e">
        <f>+#REF!-'[1]Приложение №1'!$P1583</f>
        <v>#REF!</v>
      </c>
      <c r="Z479" s="31">
        <f t="shared" si="181"/>
        <v>13575281.439999999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/>
      <c r="AG479" s="27">
        <v>0</v>
      </c>
      <c r="AH479" s="27">
        <v>0</v>
      </c>
      <c r="AI479" s="27">
        <v>0</v>
      </c>
      <c r="AJ479" s="27">
        <v>0</v>
      </c>
      <c r="AK479" s="27">
        <v>7231455.4199999999</v>
      </c>
      <c r="AL479" s="27">
        <v>5881945.1900000004</v>
      </c>
      <c r="AM479" s="27">
        <f>139621.27+118844.77</f>
        <v>258466.03999999998</v>
      </c>
      <c r="AN479" s="32">
        <f>5000+37028.06</f>
        <v>42028.06</v>
      </c>
      <c r="AO479" s="33">
        <f>88997.58+72389.15</f>
        <v>161386.72999999998</v>
      </c>
      <c r="AP479" s="84">
        <f>+N479-'Приложение №2'!E479</f>
        <v>0</v>
      </c>
      <c r="AQ479" s="1">
        <f>1025494.69-680454.39</f>
        <v>345040.29999999993</v>
      </c>
      <c r="AR479" s="1">
        <f t="shared" si="188"/>
        <v>307927.8</v>
      </c>
      <c r="AS479" s="1">
        <f>+(K479*10+L479*20)*12*30-16805.39</f>
        <v>10851234.609999999</v>
      </c>
      <c r="AT479" s="29">
        <f t="shared" si="191"/>
        <v>-297162.29999999888</v>
      </c>
      <c r="AU479" s="29">
        <f>+P479-'[6]Приложение №1'!$P457</f>
        <v>0</v>
      </c>
      <c r="AV479" s="29">
        <f>+Q479-'[6]Приложение №1'!$Q457</f>
        <v>0</v>
      </c>
      <c r="AW479" s="29">
        <f>+R479-'[6]Приложение №1'!$R457</f>
        <v>0</v>
      </c>
      <c r="AX479" s="29">
        <f>+S479-'[6]Приложение №1'!$S457</f>
        <v>0</v>
      </c>
      <c r="AY479" s="29">
        <f>+T479-'[6]Приложение №1'!$T457</f>
        <v>0</v>
      </c>
    </row>
    <row r="480" spans="1:51" s="55" customFormat="1" x14ac:dyDescent="0.25">
      <c r="D480" s="56">
        <v>2024</v>
      </c>
      <c r="E480" s="60"/>
      <c r="F480" s="60"/>
      <c r="G480" s="60"/>
      <c r="H480" s="60"/>
      <c r="I480" s="60"/>
      <c r="J480" s="61">
        <f>SUM(J481:J751)</f>
        <v>1081668.6000000008</v>
      </c>
      <c r="K480" s="61">
        <f>SUM(K481:K751)</f>
        <v>888464.30999999994</v>
      </c>
      <c r="L480" s="61">
        <f>SUM(L481:L751)</f>
        <v>45652.950000000004</v>
      </c>
      <c r="M480" s="61">
        <f>SUM(M481:M751)</f>
        <v>37782</v>
      </c>
      <c r="N480" s="61">
        <f t="shared" ref="N480:N494" si="199">SUM(O480:T480)</f>
        <v>3798960476.5512509</v>
      </c>
      <c r="O480" s="61">
        <f t="shared" ref="O480:T480" si="200">SUM(O481:O751)</f>
        <v>0</v>
      </c>
      <c r="P480" s="61">
        <f t="shared" si="200"/>
        <v>449210200.0036813</v>
      </c>
      <c r="Q480" s="61">
        <f t="shared" si="200"/>
        <v>0</v>
      </c>
      <c r="R480" s="61">
        <f t="shared" si="200"/>
        <v>449752555.38989753</v>
      </c>
      <c r="S480" s="61">
        <f t="shared" si="200"/>
        <v>1706602907.7592986</v>
      </c>
      <c r="T480" s="61">
        <f t="shared" si="200"/>
        <v>1193394813.3983736</v>
      </c>
      <c r="U480" s="67"/>
      <c r="V480" s="67"/>
      <c r="W480" s="63"/>
      <c r="AP480" s="84">
        <f>+N480-'Приложение №2'!E480</f>
        <v>0</v>
      </c>
      <c r="AT480" s="29">
        <f t="shared" si="191"/>
        <v>1706602907.7592986</v>
      </c>
    </row>
    <row r="481" spans="1:51" s="35" customFormat="1" x14ac:dyDescent="0.25">
      <c r="A481" s="135">
        <f>+A479+1</f>
        <v>463</v>
      </c>
      <c r="B481" s="134">
        <f t="shared" ref="B481:B544" si="201">+B480+1</f>
        <v>1</v>
      </c>
      <c r="C481" s="77" t="s">
        <v>54</v>
      </c>
      <c r="D481" s="77" t="s">
        <v>691</v>
      </c>
      <c r="E481" s="78" t="s">
        <v>618</v>
      </c>
      <c r="F481" s="78"/>
      <c r="G481" s="78" t="s">
        <v>573</v>
      </c>
      <c r="H481" s="78" t="s">
        <v>571</v>
      </c>
      <c r="I481" s="78" t="s">
        <v>575</v>
      </c>
      <c r="J481" s="44">
        <v>11221.5</v>
      </c>
      <c r="K481" s="44">
        <v>7503.7</v>
      </c>
      <c r="L481" s="44">
        <v>56.5</v>
      </c>
      <c r="M481" s="79">
        <v>285</v>
      </c>
      <c r="N481" s="129">
        <f t="shared" si="199"/>
        <v>10774080</v>
      </c>
      <c r="O481" s="44">
        <v>0</v>
      </c>
      <c r="P481" s="68"/>
      <c r="Q481" s="68">
        <v>0</v>
      </c>
      <c r="R481" s="68">
        <f>+AQ481+AR481</f>
        <v>5412177.9005999994</v>
      </c>
      <c r="S481" s="68">
        <f>+'Приложение №2'!E481-'Приложение №1'!R481</f>
        <v>5361902.0994000006</v>
      </c>
      <c r="T481" s="68">
        <v>0</v>
      </c>
      <c r="U481" s="68">
        <f t="shared" ref="U481:U494" si="202">N481/K481</f>
        <v>1435.8356544104909</v>
      </c>
      <c r="V481" s="68">
        <v>1172.2830200640003</v>
      </c>
      <c r="W481" s="80">
        <v>2024</v>
      </c>
      <c r="X481" s="35">
        <v>3494459.14</v>
      </c>
      <c r="Y481" s="35">
        <f>+(K481*12.08+L481*20.47)*12</f>
        <v>1101615.0119999999</v>
      </c>
      <c r="AA481" s="36">
        <f>+N481-'[5]Приложение № 2'!E422</f>
        <v>-8105802.6000000015</v>
      </c>
      <c r="AD481" s="36">
        <f>+N481-'[5]Приложение № 2'!E422</f>
        <v>-8105802.6000000015</v>
      </c>
      <c r="AP481" s="84">
        <f>+N481-'Приложение №2'!E481</f>
        <v>0</v>
      </c>
      <c r="AQ481" s="35">
        <v>4382013.0599999996</v>
      </c>
      <c r="AR481" s="1">
        <f>+(K481*13.29+L481*22.52)*12*0.85</f>
        <v>1030164.8405999999</v>
      </c>
      <c r="AS481" s="1">
        <f>+(K481*13.29+L481*22.52)*12*30</f>
        <v>36358759.079999998</v>
      </c>
      <c r="AT481" s="29">
        <f t="shared" si="191"/>
        <v>-30996856.980599999</v>
      </c>
      <c r="AU481" s="29">
        <f>+P481-'[6]Приложение №1'!$P459</f>
        <v>0</v>
      </c>
      <c r="AV481" s="29">
        <f>+Q481-'[6]Приложение №1'!$Q459</f>
        <v>0</v>
      </c>
      <c r="AW481" s="29">
        <f>+R481-'[6]Приложение №1'!$R459</f>
        <v>0</v>
      </c>
      <c r="AX481" s="29">
        <f>+S481-'[6]Приложение №1'!$S459</f>
        <v>0</v>
      </c>
      <c r="AY481" s="29">
        <f>+T481-'[6]Приложение №1'!$T459</f>
        <v>0</v>
      </c>
    </row>
    <row r="482" spans="1:51" x14ac:dyDescent="0.25">
      <c r="A482" s="133">
        <f t="shared" ref="A482:B545" si="203">+A481+1</f>
        <v>464</v>
      </c>
      <c r="B482" s="132">
        <f t="shared" si="201"/>
        <v>2</v>
      </c>
      <c r="C482" s="134" t="s">
        <v>54</v>
      </c>
      <c r="D482" s="77" t="s">
        <v>638</v>
      </c>
      <c r="E482" s="78">
        <v>1995</v>
      </c>
      <c r="F482" s="78">
        <v>2013</v>
      </c>
      <c r="G482" s="78" t="s">
        <v>51</v>
      </c>
      <c r="H482" s="78">
        <v>9</v>
      </c>
      <c r="I482" s="78">
        <v>4</v>
      </c>
      <c r="J482" s="44">
        <v>9107.2000000000007</v>
      </c>
      <c r="K482" s="44">
        <v>6625.8</v>
      </c>
      <c r="L482" s="44">
        <v>93</v>
      </c>
      <c r="M482" s="79">
        <v>270</v>
      </c>
      <c r="N482" s="129">
        <f t="shared" si="199"/>
        <v>3109557.33</v>
      </c>
      <c r="O482" s="44"/>
      <c r="P482" s="68"/>
      <c r="Q482" s="68"/>
      <c r="R482" s="68">
        <f>+'Приложение №2'!E482</f>
        <v>3109557.33</v>
      </c>
      <c r="S482" s="68">
        <f>+'Приложение №2'!E482-'Приложение №1'!R482</f>
        <v>0</v>
      </c>
      <c r="T482" s="68">
        <v>0</v>
      </c>
      <c r="U482" s="68">
        <f t="shared" si="202"/>
        <v>469.3104726976365</v>
      </c>
      <c r="V482" s="68">
        <v>1173.2830200640001</v>
      </c>
      <c r="W482" s="80">
        <v>2024</v>
      </c>
      <c r="Z482" s="31">
        <f>SUM(AA482:AO482)</f>
        <v>3109557.33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</v>
      </c>
      <c r="AG482" s="32"/>
      <c r="AH482" s="32">
        <v>3010386.5700000003</v>
      </c>
      <c r="AI482" s="32">
        <v>0</v>
      </c>
      <c r="AJ482" s="32">
        <v>0</v>
      </c>
      <c r="AK482" s="32">
        <v>0</v>
      </c>
      <c r="AL482" s="32">
        <v>0</v>
      </c>
      <c r="AM482" s="27">
        <v>55593.51</v>
      </c>
      <c r="AN482" s="27">
        <v>43577.25</v>
      </c>
      <c r="AO482" s="30"/>
      <c r="AP482" s="84">
        <f>+N482-'Приложение №2'!E482</f>
        <v>0</v>
      </c>
      <c r="AQ482" s="1">
        <v>4177595.39</v>
      </c>
      <c r="AR482" s="1">
        <f>+(K482*13.29+L482*22.52)*12*0.85</f>
        <v>919542.66840000008</v>
      </c>
      <c r="AS482" s="1">
        <f>+(K482*13.29+L482*22.52)*12*30</f>
        <v>32454447.120000005</v>
      </c>
      <c r="AT482" s="29">
        <f t="shared" si="191"/>
        <v>-32454447.120000005</v>
      </c>
      <c r="AU482" s="29">
        <f>+P482-'[6]Приложение №1'!$P460</f>
        <v>0</v>
      </c>
      <c r="AV482" s="29">
        <f>+Q482-'[6]Приложение №1'!$Q460</f>
        <v>0</v>
      </c>
      <c r="AW482" s="29">
        <f>+R482-'[6]Приложение №1'!$R460</f>
        <v>0</v>
      </c>
      <c r="AX482" s="29">
        <f>+S482-'[6]Приложение №1'!$S460</f>
        <v>0</v>
      </c>
      <c r="AY482" s="29">
        <f>+T482-'[6]Приложение №1'!$T460</f>
        <v>0</v>
      </c>
    </row>
    <row r="483" spans="1:51" s="38" customFormat="1" x14ac:dyDescent="0.25">
      <c r="A483" s="133">
        <f t="shared" si="203"/>
        <v>465</v>
      </c>
      <c r="B483" s="132">
        <f t="shared" si="201"/>
        <v>3</v>
      </c>
      <c r="C483" s="77" t="s">
        <v>54</v>
      </c>
      <c r="D483" s="77" t="s">
        <v>55</v>
      </c>
      <c r="E483" s="78">
        <v>1993</v>
      </c>
      <c r="F483" s="78">
        <v>2013</v>
      </c>
      <c r="G483" s="78" t="s">
        <v>51</v>
      </c>
      <c r="H483" s="78">
        <v>9</v>
      </c>
      <c r="I483" s="78">
        <v>1</v>
      </c>
      <c r="J483" s="44">
        <v>4027.7</v>
      </c>
      <c r="K483" s="44">
        <v>2671.9</v>
      </c>
      <c r="L483" s="44">
        <v>0</v>
      </c>
      <c r="M483" s="79">
        <v>88</v>
      </c>
      <c r="N483" s="129">
        <f t="shared" si="199"/>
        <v>4612352.454245952</v>
      </c>
      <c r="O483" s="44"/>
      <c r="P483" s="68"/>
      <c r="Q483" s="68"/>
      <c r="R483" s="68">
        <f t="shared" ref="R483:R491" si="204">+AQ483+AR483</f>
        <v>1171287.6801999998</v>
      </c>
      <c r="S483" s="68">
        <f>+'Приложение №2'!E483-'Приложение №1'!R483</f>
        <v>3441064.7740459521</v>
      </c>
      <c r="T483" s="68">
        <v>0</v>
      </c>
      <c r="U483" s="68">
        <f t="shared" si="202"/>
        <v>1726.2444156764668</v>
      </c>
      <c r="V483" s="68">
        <v>1174.2830200640001</v>
      </c>
      <c r="W483" s="80">
        <v>2024</v>
      </c>
      <c r="X483" s="29" t="e">
        <f>+#REF!-'[1]Приложение №1'!$P358</f>
        <v>#REF!</v>
      </c>
      <c r="Z483" s="31">
        <f>SUM(AA483:AO483)</f>
        <v>5182418.4879168002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/>
      <c r="AG483" s="27">
        <v>0</v>
      </c>
      <c r="AH483" s="27">
        <v>0</v>
      </c>
      <c r="AI483" s="27">
        <v>0</v>
      </c>
      <c r="AJ483" s="27">
        <v>4513648.1117250882</v>
      </c>
      <c r="AK483" s="27">
        <v>0</v>
      </c>
      <c r="AL483" s="27">
        <v>0</v>
      </c>
      <c r="AM483" s="27">
        <v>518241.84879168007</v>
      </c>
      <c r="AN483" s="32">
        <v>51824.184879168002</v>
      </c>
      <c r="AO483" s="33">
        <v>98704.342520863371</v>
      </c>
      <c r="AP483" s="84">
        <f>+N483-'Приложение №2'!E483</f>
        <v>0</v>
      </c>
      <c r="AQ483" s="38">
        <f>1639601.14-830510.88</f>
        <v>809090.25999999989</v>
      </c>
      <c r="AR483" s="1">
        <f>+(K483*13.29+L483*22.52)*12*0.85</f>
        <v>362197.42019999993</v>
      </c>
      <c r="AS483" s="1">
        <f>+(K483*13.29+L483*22.52)*12*30-2624808.09</f>
        <v>10158630.27</v>
      </c>
      <c r="AT483" s="29">
        <f t="shared" si="191"/>
        <v>-6717565.4959540479</v>
      </c>
      <c r="AU483" s="29">
        <f>+P483-'[6]Приложение №1'!$P461</f>
        <v>0</v>
      </c>
      <c r="AV483" s="29">
        <f>+Q483-'[6]Приложение №1'!$Q461</f>
        <v>0</v>
      </c>
      <c r="AW483" s="29">
        <f>+R483-'[6]Приложение №1'!$R461</f>
        <v>0</v>
      </c>
      <c r="AX483" s="29">
        <f>+S483-'[6]Приложение №1'!$S461</f>
        <v>0</v>
      </c>
      <c r="AY483" s="29">
        <f>+T483-'[6]Приложение №1'!$T461</f>
        <v>0</v>
      </c>
    </row>
    <row r="484" spans="1:51" s="38" customFormat="1" x14ac:dyDescent="0.25">
      <c r="A484" s="133">
        <f t="shared" si="203"/>
        <v>466</v>
      </c>
      <c r="B484" s="132">
        <f t="shared" si="201"/>
        <v>4</v>
      </c>
      <c r="C484" s="77" t="s">
        <v>54</v>
      </c>
      <c r="D484" s="77" t="s">
        <v>56</v>
      </c>
      <c r="E484" s="78">
        <v>1993</v>
      </c>
      <c r="F484" s="78">
        <v>2013</v>
      </c>
      <c r="G484" s="78" t="s">
        <v>51</v>
      </c>
      <c r="H484" s="78">
        <v>9</v>
      </c>
      <c r="I484" s="78">
        <v>1</v>
      </c>
      <c r="J484" s="44">
        <v>4065.2</v>
      </c>
      <c r="K484" s="44">
        <v>2714.9</v>
      </c>
      <c r="L484" s="44">
        <v>0</v>
      </c>
      <c r="M484" s="79">
        <v>97</v>
      </c>
      <c r="N484" s="129">
        <f t="shared" si="199"/>
        <v>4989316.109734958</v>
      </c>
      <c r="O484" s="44"/>
      <c r="P484" s="68"/>
      <c r="Q484" s="68"/>
      <c r="R484" s="68">
        <f t="shared" si="204"/>
        <v>589325.33340000012</v>
      </c>
      <c r="S484" s="68">
        <f>+'Приложение №2'!E484-'Приложение №1'!R484</f>
        <v>4399990.7763349582</v>
      </c>
      <c r="T484" s="68">
        <v>0</v>
      </c>
      <c r="U484" s="68">
        <f t="shared" si="202"/>
        <v>1837.7531804983453</v>
      </c>
      <c r="V484" s="68">
        <v>1175.2830200640001</v>
      </c>
      <c r="W484" s="80">
        <v>2024</v>
      </c>
      <c r="X484" s="29" t="e">
        <f>+#REF!-'[1]Приложение №1'!$P359</f>
        <v>#REF!</v>
      </c>
      <c r="Z484" s="31">
        <f>SUM(AA484:AO484)</f>
        <v>7671098.7621156182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/>
      <c r="AG484" s="27">
        <v>0</v>
      </c>
      <c r="AH484" s="27">
        <v>0</v>
      </c>
      <c r="AI484" s="27">
        <v>0</v>
      </c>
      <c r="AJ484" s="27">
        <v>4524977.6333963946</v>
      </c>
      <c r="AK484" s="27"/>
      <c r="AL484" s="27">
        <v>0</v>
      </c>
      <c r="AM484" s="27">
        <v>2437984.2294369629</v>
      </c>
      <c r="AN484" s="32">
        <v>243798.42294369626</v>
      </c>
      <c r="AO484" s="33">
        <v>464338.47633856395</v>
      </c>
      <c r="AP484" s="84">
        <f>+N484-'Приложение №2'!E484</f>
        <v>0</v>
      </c>
      <c r="AQ484" s="38">
        <f>1655027.12-955818.8-238954.7-238954.7008</f>
        <v>221298.91920000006</v>
      </c>
      <c r="AR484" s="1">
        <f>+(K484*13.29+L484*22.52)*12*0.85</f>
        <v>368026.4142</v>
      </c>
      <c r="AS484" s="1">
        <f>+(K484*13.29+L484*22.52)*12*30-785411.714-946514.09-915077.42</f>
        <v>10342164.335999999</v>
      </c>
      <c r="AT484" s="29">
        <f t="shared" si="191"/>
        <v>-5942173.559665041</v>
      </c>
      <c r="AU484" s="29">
        <f>+P484-'[6]Приложение №1'!$P462</f>
        <v>0</v>
      </c>
      <c r="AV484" s="29">
        <f>+Q484-'[6]Приложение №1'!$Q462</f>
        <v>0</v>
      </c>
      <c r="AW484" s="29">
        <f>+R484-'[6]Приложение №1'!$R462</f>
        <v>0</v>
      </c>
      <c r="AX484" s="29">
        <f>+S484-'[6]Приложение №1'!$S462</f>
        <v>0</v>
      </c>
      <c r="AY484" s="29">
        <f>+T484-'[6]Приложение №1'!$T462</f>
        <v>0</v>
      </c>
    </row>
    <row r="485" spans="1:51" s="39" customFormat="1" x14ac:dyDescent="0.25">
      <c r="A485" s="133">
        <f t="shared" si="203"/>
        <v>467</v>
      </c>
      <c r="B485" s="132">
        <f t="shared" si="201"/>
        <v>5</v>
      </c>
      <c r="C485" s="77" t="s">
        <v>54</v>
      </c>
      <c r="D485" s="77" t="s">
        <v>57</v>
      </c>
      <c r="E485" s="78">
        <v>1991</v>
      </c>
      <c r="F485" s="78">
        <v>2015</v>
      </c>
      <c r="G485" s="78" t="s">
        <v>51</v>
      </c>
      <c r="H485" s="78">
        <v>5</v>
      </c>
      <c r="I485" s="78">
        <v>5</v>
      </c>
      <c r="J485" s="44">
        <v>11474.2</v>
      </c>
      <c r="K485" s="44">
        <v>7084.2</v>
      </c>
      <c r="L485" s="44">
        <v>82.6</v>
      </c>
      <c r="M485" s="79">
        <v>178</v>
      </c>
      <c r="N485" s="129">
        <f t="shared" si="199"/>
        <v>10975249.203776</v>
      </c>
      <c r="O485" s="44"/>
      <c r="P485" s="68"/>
      <c r="Q485" s="68"/>
      <c r="R485" s="68">
        <f t="shared" si="204"/>
        <v>4370409.08</v>
      </c>
      <c r="S485" s="68">
        <f>+'Приложение №2'!E485-'Приложение №1'!R485</f>
        <v>6604840.123776</v>
      </c>
      <c r="T485" s="68">
        <v>0</v>
      </c>
      <c r="U485" s="68">
        <f t="shared" si="202"/>
        <v>1549.257390217103</v>
      </c>
      <c r="V485" s="68">
        <v>1176.2830200640001</v>
      </c>
      <c r="W485" s="80">
        <v>2024</v>
      </c>
      <c r="X485" s="29" t="e">
        <f>+#REF!-'[1]Приложение №1'!$P360</f>
        <v>#REF!</v>
      </c>
      <c r="Z485" s="31">
        <f>SUM(AA485:AO485)</f>
        <v>12331740.678400001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/>
      <c r="AG485" s="27">
        <v>0</v>
      </c>
      <c r="AH485" s="27">
        <v>0</v>
      </c>
      <c r="AI485" s="27">
        <v>0</v>
      </c>
      <c r="AJ485" s="27">
        <v>10740378.870815193</v>
      </c>
      <c r="AK485" s="27">
        <v>0</v>
      </c>
      <c r="AL485" s="27">
        <v>0</v>
      </c>
      <c r="AM485" s="27">
        <v>1233174.0678400001</v>
      </c>
      <c r="AN485" s="32">
        <v>123317.40678400001</v>
      </c>
      <c r="AO485" s="33">
        <v>234870.33296080641</v>
      </c>
      <c r="AP485" s="84">
        <f>+N485-'Приложение №2'!E485</f>
        <v>0</v>
      </c>
      <c r="AQ485" s="39">
        <v>3630970.28</v>
      </c>
      <c r="AR485" s="1">
        <f>+(K485*10+L485*20)*12*0.85</f>
        <v>739438.79999999993</v>
      </c>
      <c r="AS485" s="1">
        <f>+(K485*10+L485*20)*12*30</f>
        <v>26097840</v>
      </c>
      <c r="AT485" s="29">
        <f t="shared" si="191"/>
        <v>-19492999.876224</v>
      </c>
      <c r="AU485" s="29">
        <f>+P485-'[6]Приложение №1'!$P463</f>
        <v>0</v>
      </c>
      <c r="AV485" s="29">
        <f>+Q485-'[6]Приложение №1'!$Q463</f>
        <v>0</v>
      </c>
      <c r="AW485" s="29">
        <f>+R485-'[6]Приложение №1'!$R463</f>
        <v>0</v>
      </c>
      <c r="AX485" s="29">
        <f>+S485-'[6]Приложение №1'!$S463</f>
        <v>0</v>
      </c>
      <c r="AY485" s="29">
        <f>+T485-'[6]Приложение №1'!$T463</f>
        <v>0</v>
      </c>
    </row>
    <row r="486" spans="1:51" s="39" customFormat="1" x14ac:dyDescent="0.25">
      <c r="A486" s="133">
        <f t="shared" si="203"/>
        <v>468</v>
      </c>
      <c r="B486" s="132">
        <f t="shared" si="201"/>
        <v>6</v>
      </c>
      <c r="C486" s="77" t="s">
        <v>54</v>
      </c>
      <c r="D486" s="77" t="s">
        <v>58</v>
      </c>
      <c r="E486" s="78">
        <v>1993</v>
      </c>
      <c r="F486" s="78">
        <v>2013</v>
      </c>
      <c r="G486" s="78" t="s">
        <v>51</v>
      </c>
      <c r="H486" s="78">
        <v>9</v>
      </c>
      <c r="I486" s="78">
        <v>5</v>
      </c>
      <c r="J486" s="44">
        <v>19441.7</v>
      </c>
      <c r="K486" s="44">
        <v>13182.1</v>
      </c>
      <c r="L486" s="44">
        <v>0</v>
      </c>
      <c r="M486" s="79">
        <v>478</v>
      </c>
      <c r="N486" s="129">
        <f t="shared" si="199"/>
        <v>31948678.933052547</v>
      </c>
      <c r="O486" s="44"/>
      <c r="P486" s="68"/>
      <c r="Q486" s="68"/>
      <c r="R486" s="68">
        <f t="shared" si="204"/>
        <v>3475803.7290000003</v>
      </c>
      <c r="S486" s="68">
        <f>+'Приложение №2'!E486-'Приложение №1'!R486</f>
        <v>28472875.204052545</v>
      </c>
      <c r="T486" s="68">
        <v>0</v>
      </c>
      <c r="U486" s="68">
        <f t="shared" si="202"/>
        <v>2423.6410688018259</v>
      </c>
      <c r="V486" s="68">
        <v>1177.2830200640001</v>
      </c>
      <c r="W486" s="80">
        <v>2024</v>
      </c>
      <c r="X486" s="29" t="e">
        <f>+#REF!-'[1]Приложение №1'!$P361</f>
        <v>#REF!</v>
      </c>
      <c r="Z486" s="31">
        <f>SUM(AA486:AO486)</f>
        <v>35897392.059609599</v>
      </c>
      <c r="AA486" s="27">
        <v>0</v>
      </c>
      <c r="AB486" s="27">
        <v>0</v>
      </c>
      <c r="AC486" s="27">
        <v>9324692.0449531022</v>
      </c>
      <c r="AD486" s="27">
        <v>0</v>
      </c>
      <c r="AE486" s="27">
        <v>0</v>
      </c>
      <c r="AF486" s="27"/>
      <c r="AG486" s="27">
        <v>0</v>
      </c>
      <c r="AH486" s="27">
        <v>0</v>
      </c>
      <c r="AI486" s="27">
        <v>0</v>
      </c>
      <c r="AJ486" s="27">
        <v>21940285.15893212</v>
      </c>
      <c r="AK486" s="27">
        <v>0</v>
      </c>
      <c r="AL486" s="27">
        <v>0</v>
      </c>
      <c r="AM486" s="27">
        <v>3589739.2059609606</v>
      </c>
      <c r="AN486" s="32">
        <v>358973.92059609608</v>
      </c>
      <c r="AO486" s="33">
        <v>683701.72916732461</v>
      </c>
      <c r="AP486" s="84">
        <f>+N486-'Приложение №2'!E486</f>
        <v>0</v>
      </c>
      <c r="AQ486" s="39">
        <f>8212024.3-4892369.7628-1630789.92</f>
        <v>1688864.6172000002</v>
      </c>
      <c r="AR486" s="1">
        <f>+(K486*13.29+L486*22.52)*12*0.85</f>
        <v>1786939.1118000001</v>
      </c>
      <c r="AS486" s="1">
        <f>+(K486*13.29+L486*22.52)*12*30-2885417.2772-5487600.1</f>
        <v>54695421.86280001</v>
      </c>
      <c r="AT486" s="29">
        <f t="shared" si="191"/>
        <v>-26222546.658747464</v>
      </c>
      <c r="AU486" s="29">
        <f>+P486-'[6]Приложение №1'!$P464</f>
        <v>0</v>
      </c>
      <c r="AV486" s="29">
        <f>+Q486-'[6]Приложение №1'!$Q464</f>
        <v>0</v>
      </c>
      <c r="AW486" s="29">
        <f>+R486-'[6]Приложение №1'!$R464</f>
        <v>0</v>
      </c>
      <c r="AX486" s="29">
        <f>+S486-'[6]Приложение №1'!$S464</f>
        <v>0</v>
      </c>
      <c r="AY486" s="29">
        <f>+T486-'[6]Приложение №1'!$T464</f>
        <v>0</v>
      </c>
    </row>
    <row r="487" spans="1:51" s="35" customFormat="1" x14ac:dyDescent="0.25">
      <c r="A487" s="133">
        <f t="shared" si="203"/>
        <v>469</v>
      </c>
      <c r="B487" s="132">
        <f t="shared" si="201"/>
        <v>7</v>
      </c>
      <c r="C487" s="77" t="s">
        <v>54</v>
      </c>
      <c r="D487" s="77" t="s">
        <v>692</v>
      </c>
      <c r="E487" s="78" t="s">
        <v>619</v>
      </c>
      <c r="F487" s="78"/>
      <c r="G487" s="78" t="s">
        <v>570</v>
      </c>
      <c r="H487" s="78" t="s">
        <v>579</v>
      </c>
      <c r="I487" s="78" t="s">
        <v>579</v>
      </c>
      <c r="J487" s="44">
        <v>4119.1000000000004</v>
      </c>
      <c r="K487" s="44">
        <v>2443.1</v>
      </c>
      <c r="L487" s="44">
        <v>0</v>
      </c>
      <c r="M487" s="79">
        <v>95</v>
      </c>
      <c r="N487" s="129">
        <f t="shared" si="199"/>
        <v>28543137.430465601</v>
      </c>
      <c r="O487" s="44">
        <v>0</v>
      </c>
      <c r="P487" s="68">
        <v>3678482.7385679903</v>
      </c>
      <c r="Q487" s="68">
        <v>0</v>
      </c>
      <c r="R487" s="68">
        <f t="shared" si="204"/>
        <v>1358690.65</v>
      </c>
      <c r="S487" s="68">
        <f>+AS487</f>
        <v>8795160</v>
      </c>
      <c r="T487" s="68">
        <f>+'Приложение №2'!E487-'Приложение №1'!P487-'Приложение №1'!R487-'Приложение №1'!S487</f>
        <v>14710804.04189761</v>
      </c>
      <c r="U487" s="68">
        <f t="shared" si="202"/>
        <v>11683.163779814826</v>
      </c>
      <c r="V487" s="68">
        <v>1178.2830200640001</v>
      </c>
      <c r="W487" s="80">
        <v>2024</v>
      </c>
      <c r="X487" s="35">
        <v>889128.05</v>
      </c>
      <c r="Y487" s="35">
        <f>+(K487*9.1+L487*18.19)*12</f>
        <v>266786.52</v>
      </c>
      <c r="AA487" s="36">
        <f>+N487-'[5]Приложение № 2'!E427</f>
        <v>2588597.3046640009</v>
      </c>
      <c r="AD487" s="36">
        <f>+N487-'[5]Приложение № 2'!E427</f>
        <v>2588597.3046640009</v>
      </c>
      <c r="AP487" s="84">
        <f>+N487-'Приложение №2'!E487</f>
        <v>0</v>
      </c>
      <c r="AQ487" s="35">
        <v>1109494.45</v>
      </c>
      <c r="AR487" s="1">
        <f t="shared" ref="AR487:AR494" si="205">+(K487*10+L487*20)*12*0.85</f>
        <v>249196.19999999998</v>
      </c>
      <c r="AS487" s="1">
        <f>+(K487*10+L487*20)*12*30</f>
        <v>8795160</v>
      </c>
      <c r="AT487" s="29">
        <f t="shared" si="191"/>
        <v>0</v>
      </c>
      <c r="AU487" s="29">
        <f>+P487-'[6]Приложение №1'!$P465</f>
        <v>0</v>
      </c>
      <c r="AV487" s="29">
        <f>+Q487-'[6]Приложение №1'!$Q465</f>
        <v>0</v>
      </c>
      <c r="AW487" s="29">
        <f>+R487-'[6]Приложение №1'!$R465</f>
        <v>0</v>
      </c>
      <c r="AX487" s="29">
        <f>+S487-'[6]Приложение №1'!$S465</f>
        <v>0</v>
      </c>
      <c r="AY487" s="29">
        <f>+T487-'[6]Приложение №1'!$T465</f>
        <v>0</v>
      </c>
    </row>
    <row r="488" spans="1:51" s="35" customFormat="1" x14ac:dyDescent="0.25">
      <c r="A488" s="133">
        <f t="shared" si="203"/>
        <v>470</v>
      </c>
      <c r="B488" s="132">
        <f t="shared" si="201"/>
        <v>8</v>
      </c>
      <c r="C488" s="77" t="s">
        <v>54</v>
      </c>
      <c r="D488" s="77" t="s">
        <v>693</v>
      </c>
      <c r="E488" s="78" t="s">
        <v>584</v>
      </c>
      <c r="F488" s="78"/>
      <c r="G488" s="78" t="s">
        <v>570</v>
      </c>
      <c r="H488" s="78" t="s">
        <v>579</v>
      </c>
      <c r="I488" s="78" t="s">
        <v>579</v>
      </c>
      <c r="J488" s="44">
        <v>4123.1000000000004</v>
      </c>
      <c r="K488" s="44">
        <v>2363</v>
      </c>
      <c r="L488" s="44">
        <v>91.8</v>
      </c>
      <c r="M488" s="79">
        <v>100</v>
      </c>
      <c r="N488" s="129">
        <f t="shared" si="199"/>
        <v>23900645.508189511</v>
      </c>
      <c r="O488" s="44">
        <v>0</v>
      </c>
      <c r="P488" s="68">
        <v>3283800.1961900308</v>
      </c>
      <c r="Q488" s="68">
        <v>0</v>
      </c>
      <c r="R488" s="68">
        <f t="shared" si="204"/>
        <v>1402191.16</v>
      </c>
      <c r="S488" s="68">
        <f>+AS488</f>
        <v>9167760</v>
      </c>
      <c r="T488" s="68">
        <f>+'Приложение №2'!E488-'Приложение №1'!P488-'Приложение №1'!R488-'Приложение №1'!S488</f>
        <v>10046894.151999481</v>
      </c>
      <c r="U488" s="68">
        <f t="shared" si="202"/>
        <v>10114.53470511617</v>
      </c>
      <c r="V488" s="68">
        <v>1179.2830200640001</v>
      </c>
      <c r="W488" s="80">
        <v>2024</v>
      </c>
      <c r="X488" s="35">
        <v>889790.81</v>
      </c>
      <c r="Y488" s="35">
        <f>+(K488*9.1+L488*18.19)*12</f>
        <v>278077.70400000003</v>
      </c>
      <c r="AA488" s="36">
        <f>+N488-'[5]Приложение № 2'!E428</f>
        <v>-2053894.61761209</v>
      </c>
      <c r="AD488" s="36">
        <f>+N488-'[5]Приложение № 2'!E428</f>
        <v>-2053894.61761209</v>
      </c>
      <c r="AP488" s="84">
        <f>+N488-'Приложение №2'!E488</f>
        <v>0</v>
      </c>
      <c r="AQ488" s="35">
        <v>1142437.96</v>
      </c>
      <c r="AR488" s="1">
        <f t="shared" si="205"/>
        <v>259753.19999999998</v>
      </c>
      <c r="AS488" s="1">
        <f>+(K488*10+L488*20)*12*30</f>
        <v>9167760</v>
      </c>
      <c r="AT488" s="29">
        <f t="shared" si="191"/>
        <v>0</v>
      </c>
      <c r="AU488" s="29">
        <f>+P488-'[6]Приложение №1'!$P466</f>
        <v>0</v>
      </c>
      <c r="AV488" s="29">
        <f>+Q488-'[6]Приложение №1'!$Q466</f>
        <v>0</v>
      </c>
      <c r="AW488" s="29">
        <f>+R488-'[6]Приложение №1'!$R466</f>
        <v>0</v>
      </c>
      <c r="AX488" s="29">
        <f>+S488-'[6]Приложение №1'!$S466</f>
        <v>0</v>
      </c>
      <c r="AY488" s="29">
        <f>+T488-'[6]Приложение №1'!$T466</f>
        <v>0</v>
      </c>
    </row>
    <row r="489" spans="1:51" x14ac:dyDescent="0.25">
      <c r="A489" s="133">
        <f t="shared" si="203"/>
        <v>471</v>
      </c>
      <c r="B489" s="132">
        <f t="shared" si="201"/>
        <v>9</v>
      </c>
      <c r="C489" s="77" t="s">
        <v>60</v>
      </c>
      <c r="D489" s="77" t="s">
        <v>123</v>
      </c>
      <c r="E489" s="78">
        <v>1998</v>
      </c>
      <c r="F489" s="78">
        <v>1998</v>
      </c>
      <c r="G489" s="78" t="s">
        <v>44</v>
      </c>
      <c r="H489" s="78">
        <v>5</v>
      </c>
      <c r="I489" s="78">
        <v>4</v>
      </c>
      <c r="J489" s="44">
        <v>4979.8</v>
      </c>
      <c r="K489" s="44">
        <v>4317.2</v>
      </c>
      <c r="L489" s="44">
        <v>0</v>
      </c>
      <c r="M489" s="79">
        <v>170</v>
      </c>
      <c r="N489" s="129">
        <f t="shared" si="199"/>
        <v>24874814.57459522</v>
      </c>
      <c r="O489" s="44"/>
      <c r="P489" s="68">
        <f>2734503.06343422+6339.1</f>
        <v>2740842.16343422</v>
      </c>
      <c r="Q489" s="68"/>
      <c r="R489" s="68">
        <f t="shared" si="204"/>
        <v>1218909.47</v>
      </c>
      <c r="S489" s="68">
        <f>+AS489</f>
        <v>15541920</v>
      </c>
      <c r="T489" s="68">
        <f>+'Приложение №2'!E489-'Приложение №1'!P489-'Приложение №1'!R489-'Приложение №1'!S489</f>
        <v>5373142.9411609992</v>
      </c>
      <c r="U489" s="68">
        <f t="shared" si="202"/>
        <v>5761.7934250429034</v>
      </c>
      <c r="V489" s="68">
        <v>1180.2830200640001</v>
      </c>
      <c r="W489" s="80">
        <v>2024</v>
      </c>
      <c r="X489" s="29" t="e">
        <f>+#REF!-'[1]Приложение №1'!$P1316</f>
        <v>#REF!</v>
      </c>
      <c r="Z489" s="31">
        <f t="shared" ref="Z489:Z497" si="206">SUM(AA489:AO489)</f>
        <v>27698101.323736895</v>
      </c>
      <c r="AA489" s="27">
        <v>12131968.210906873</v>
      </c>
      <c r="AB489" s="27">
        <v>5844352.9357768334</v>
      </c>
      <c r="AC489" s="27">
        <v>3569164.9191403314</v>
      </c>
      <c r="AD489" s="27">
        <v>2405162.5578562059</v>
      </c>
      <c r="AE489" s="27">
        <v>0</v>
      </c>
      <c r="AF489" s="27"/>
      <c r="AG489" s="27">
        <v>391844.91901863407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2546305.7359043118</v>
      </c>
      <c r="AN489" s="32">
        <v>276981.01323736901</v>
      </c>
      <c r="AO489" s="33">
        <v>532321.03189633763</v>
      </c>
      <c r="AP489" s="84">
        <f>+N489-'Приложение №2'!E489</f>
        <v>0</v>
      </c>
      <c r="AQ489" s="1">
        <f>2097119.29-1318564.22</f>
        <v>778555.07000000007</v>
      </c>
      <c r="AR489" s="1">
        <f t="shared" si="205"/>
        <v>440354.39999999997</v>
      </c>
      <c r="AS489" s="1">
        <f>+(K489*10+L489*20)*12*30</f>
        <v>15541920</v>
      </c>
      <c r="AT489" s="29">
        <f t="shared" si="191"/>
        <v>0</v>
      </c>
      <c r="AU489" s="29">
        <f>+P489-'[6]Приложение №1'!$P467</f>
        <v>0</v>
      </c>
      <c r="AV489" s="29">
        <f>+Q489-'[6]Приложение №1'!$Q467</f>
        <v>0</v>
      </c>
      <c r="AW489" s="29">
        <f>+R489-'[6]Приложение №1'!$R467</f>
        <v>0</v>
      </c>
      <c r="AX489" s="29">
        <f>+S489-'[6]Приложение №1'!$S467</f>
        <v>0</v>
      </c>
      <c r="AY489" s="29">
        <f>+T489-'[6]Приложение №1'!$T467</f>
        <v>0</v>
      </c>
    </row>
    <row r="490" spans="1:51" x14ac:dyDescent="0.25">
      <c r="A490" s="133">
        <f t="shared" si="203"/>
        <v>472</v>
      </c>
      <c r="B490" s="132">
        <f t="shared" si="201"/>
        <v>10</v>
      </c>
      <c r="C490" s="77" t="s">
        <v>60</v>
      </c>
      <c r="D490" s="77" t="s">
        <v>279</v>
      </c>
      <c r="E490" s="78">
        <v>1990</v>
      </c>
      <c r="F490" s="78">
        <v>1990</v>
      </c>
      <c r="G490" s="78" t="s">
        <v>44</v>
      </c>
      <c r="H490" s="78">
        <v>5</v>
      </c>
      <c r="I490" s="78">
        <v>6</v>
      </c>
      <c r="J490" s="44">
        <v>5208.7</v>
      </c>
      <c r="K490" s="44">
        <v>4621.34</v>
      </c>
      <c r="L490" s="44">
        <v>0</v>
      </c>
      <c r="M490" s="79">
        <v>157</v>
      </c>
      <c r="N490" s="129">
        <f t="shared" si="199"/>
        <v>20098294.125966769</v>
      </c>
      <c r="O490" s="44"/>
      <c r="P490" s="68">
        <v>3299198.8272420606</v>
      </c>
      <c r="Q490" s="68"/>
      <c r="R490" s="68">
        <f t="shared" si="204"/>
        <v>706496.33</v>
      </c>
      <c r="S490" s="68">
        <f>+AS490</f>
        <v>13269140.084563842</v>
      </c>
      <c r="T490" s="68">
        <f>+'Приложение №2'!E490-'Приложение №1'!P490-'Приложение №1'!Q490-'Приложение №1'!R490-'Приложение №1'!S490</f>
        <v>2823458.8841608651</v>
      </c>
      <c r="U490" s="68">
        <f t="shared" si="202"/>
        <v>4349.0187101504689</v>
      </c>
      <c r="V490" s="68">
        <v>1181.2830200640001</v>
      </c>
      <c r="W490" s="80">
        <v>2024</v>
      </c>
      <c r="X490" s="29" t="e">
        <f>+#REF!-'[1]Приложение №1'!$P912</f>
        <v>#REF!</v>
      </c>
      <c r="Z490" s="31">
        <f t="shared" si="206"/>
        <v>29603700.840000004</v>
      </c>
      <c r="AA490" s="27">
        <v>12966620.036643</v>
      </c>
      <c r="AB490" s="27">
        <v>6246443.2957088398</v>
      </c>
      <c r="AC490" s="27">
        <v>3814719.10351812</v>
      </c>
      <c r="AD490" s="27">
        <v>2570628.0509279999</v>
      </c>
      <c r="AE490" s="27">
        <v>0</v>
      </c>
      <c r="AF490" s="27"/>
      <c r="AG490" s="27">
        <v>418822.00892279996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2721487.1549999998</v>
      </c>
      <c r="AN490" s="32">
        <v>296037.00840000005</v>
      </c>
      <c r="AO490" s="33">
        <v>568944.18087924004</v>
      </c>
      <c r="AP490" s="84">
        <f>+N490-'Приложение №2'!E490</f>
        <v>0</v>
      </c>
      <c r="AQ490" s="29">
        <f>2233749.27-R24</f>
        <v>235119.64999999991</v>
      </c>
      <c r="AR490" s="1">
        <f t="shared" si="205"/>
        <v>471376.68000000005</v>
      </c>
      <c r="AS490" s="1">
        <f>+(K490*10+L490*20)*12*30-S24</f>
        <v>13269140.084563842</v>
      </c>
      <c r="AT490" s="29">
        <f t="shared" si="191"/>
        <v>0</v>
      </c>
      <c r="AU490" s="29">
        <f>+P490-'[6]Приложение №1'!$P468</f>
        <v>0</v>
      </c>
      <c r="AV490" s="29">
        <f>+Q490-'[6]Приложение №1'!$Q468</f>
        <v>0</v>
      </c>
      <c r="AW490" s="29">
        <f>+R490-'[6]Приложение №1'!$R468</f>
        <v>0</v>
      </c>
      <c r="AX490" s="29">
        <f>+S490-'[6]Приложение №1'!$S468</f>
        <v>0</v>
      </c>
      <c r="AY490" s="29">
        <f>+T490-'[6]Приложение №1'!$T468</f>
        <v>0</v>
      </c>
    </row>
    <row r="491" spans="1:51" x14ac:dyDescent="0.25">
      <c r="A491" s="133">
        <f t="shared" si="203"/>
        <v>473</v>
      </c>
      <c r="B491" s="132">
        <f t="shared" si="201"/>
        <v>11</v>
      </c>
      <c r="C491" s="77" t="s">
        <v>60</v>
      </c>
      <c r="D491" s="77" t="s">
        <v>455</v>
      </c>
      <c r="E491" s="78">
        <v>1996</v>
      </c>
      <c r="F491" s="78">
        <v>1996</v>
      </c>
      <c r="G491" s="78" t="s">
        <v>44</v>
      </c>
      <c r="H491" s="78">
        <v>5</v>
      </c>
      <c r="I491" s="78">
        <v>4</v>
      </c>
      <c r="J491" s="44">
        <v>3635.6</v>
      </c>
      <c r="K491" s="44">
        <v>3076.7</v>
      </c>
      <c r="L491" s="44">
        <v>0</v>
      </c>
      <c r="M491" s="79">
        <v>99</v>
      </c>
      <c r="N491" s="129">
        <f t="shared" si="199"/>
        <v>17775956.210939601</v>
      </c>
      <c r="O491" s="44"/>
      <c r="P491" s="68">
        <v>1728310.2671391205</v>
      </c>
      <c r="Q491" s="68"/>
      <c r="R491" s="68">
        <f t="shared" si="204"/>
        <v>1773436.21</v>
      </c>
      <c r="S491" s="68">
        <f>+AS491</f>
        <v>11076120</v>
      </c>
      <c r="T491" s="68">
        <f>+'Приложение №2'!E491-'Приложение №1'!P491-'Приложение №1'!R491-'Приложение №1'!S491</f>
        <v>3198089.7338004783</v>
      </c>
      <c r="U491" s="68">
        <f t="shared" si="202"/>
        <v>5777.6046448921252</v>
      </c>
      <c r="V491" s="68">
        <v>1182.2830200640001</v>
      </c>
      <c r="W491" s="80">
        <v>2024</v>
      </c>
      <c r="X491" s="29" t="e">
        <f>+#REF!-'[1]Приложение №1'!$P1319</f>
        <v>#REF!</v>
      </c>
      <c r="Z491" s="31">
        <f t="shared" si="206"/>
        <v>19793523.878556482</v>
      </c>
      <c r="AA491" s="27">
        <v>8669706.261442598</v>
      </c>
      <c r="AB491" s="27">
        <v>4176471.8107184474</v>
      </c>
      <c r="AC491" s="27">
        <v>2550584.6132842074</v>
      </c>
      <c r="AD491" s="27">
        <v>1718769.1663160517</v>
      </c>
      <c r="AE491" s="27">
        <v>0</v>
      </c>
      <c r="AF491" s="27"/>
      <c r="AG491" s="27">
        <v>280018.89626418491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1819632.4288313186</v>
      </c>
      <c r="AN491" s="32">
        <v>197935.23878556484</v>
      </c>
      <c r="AO491" s="33">
        <v>380405.46291410743</v>
      </c>
      <c r="AP491" s="84">
        <f>+N491-'Приложение №2'!E491</f>
        <v>0</v>
      </c>
      <c r="AQ491" s="1">
        <v>1459612.81</v>
      </c>
      <c r="AR491" s="1">
        <f t="shared" si="205"/>
        <v>313823.39999999997</v>
      </c>
      <c r="AS491" s="1">
        <f>+(K491*10+L491*20)*12*30</f>
        <v>11076120</v>
      </c>
      <c r="AT491" s="29">
        <f t="shared" si="191"/>
        <v>0</v>
      </c>
      <c r="AU491" s="29">
        <f>+P491-'[6]Приложение №1'!$P469</f>
        <v>0</v>
      </c>
      <c r="AV491" s="29">
        <f>+Q491-'[6]Приложение №1'!$Q469</f>
        <v>0</v>
      </c>
      <c r="AW491" s="29">
        <f>+R491-'[6]Приложение №1'!$R469</f>
        <v>0</v>
      </c>
      <c r="AX491" s="29">
        <f>+S491-'[6]Приложение №1'!$S469</f>
        <v>0</v>
      </c>
      <c r="AY491" s="29">
        <f>+T491-'[6]Приложение №1'!$T469</f>
        <v>0</v>
      </c>
    </row>
    <row r="492" spans="1:51" x14ac:dyDescent="0.25">
      <c r="A492" s="133">
        <f t="shared" si="203"/>
        <v>474</v>
      </c>
      <c r="B492" s="132">
        <f t="shared" si="201"/>
        <v>12</v>
      </c>
      <c r="C492" s="77" t="s">
        <v>60</v>
      </c>
      <c r="D492" s="77" t="s">
        <v>456</v>
      </c>
      <c r="E492" s="78">
        <v>1996</v>
      </c>
      <c r="F492" s="78">
        <v>1996</v>
      </c>
      <c r="G492" s="78" t="s">
        <v>44</v>
      </c>
      <c r="H492" s="78">
        <v>5</v>
      </c>
      <c r="I492" s="78">
        <v>3</v>
      </c>
      <c r="J492" s="44">
        <v>4938</v>
      </c>
      <c r="K492" s="44">
        <v>4205.3999999999996</v>
      </c>
      <c r="L492" s="44">
        <v>368.1</v>
      </c>
      <c r="M492" s="79">
        <v>156</v>
      </c>
      <c r="N492" s="129">
        <f t="shared" si="199"/>
        <v>26824385.298744269</v>
      </c>
      <c r="O492" s="44"/>
      <c r="P492" s="68">
        <v>3325117.073269573</v>
      </c>
      <c r="Q492" s="68"/>
      <c r="R492" s="68">
        <v>893007.83000000007</v>
      </c>
      <c r="S492" s="68"/>
      <c r="T492" s="68">
        <f>+'Приложение №2'!E492-'Приложение №1'!P492-'Приложение №1'!Q492-'Приложение №1'!R492-'Приложение №1'!S492</f>
        <v>22606260.395474695</v>
      </c>
      <c r="U492" s="68">
        <f t="shared" si="202"/>
        <v>6378.5574020888071</v>
      </c>
      <c r="V492" s="68">
        <v>1183.2830200640001</v>
      </c>
      <c r="W492" s="80">
        <v>2024</v>
      </c>
      <c r="X492" s="29" t="e">
        <f>+#REF!-'[1]Приложение №1'!$P1321</f>
        <v>#REF!</v>
      </c>
      <c r="Z492" s="31">
        <f t="shared" si="206"/>
        <v>50568335.216347866</v>
      </c>
      <c r="AA492" s="27">
        <v>24697562.248763699</v>
      </c>
      <c r="AB492" s="27">
        <v>11897597.152070316</v>
      </c>
      <c r="AC492" s="27">
        <v>7265900.4074313128</v>
      </c>
      <c r="AD492" s="27">
        <v>0</v>
      </c>
      <c r="AE492" s="27">
        <v>0</v>
      </c>
      <c r="AF492" s="27"/>
      <c r="AG492" s="27">
        <v>797695.3212442582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4427300.209259402</v>
      </c>
      <c r="AN492" s="32">
        <v>505683.35216347867</v>
      </c>
      <c r="AO492" s="33">
        <v>976596.5254153948</v>
      </c>
      <c r="AP492" s="84">
        <f>+N492-'Приложение №2'!E492</f>
        <v>0</v>
      </c>
      <c r="AQ492" s="1">
        <v>45757.05</v>
      </c>
      <c r="AR492" s="1">
        <f t="shared" si="205"/>
        <v>504043.2</v>
      </c>
      <c r="AS492" s="1">
        <f>+(K492*10+L492*20)*12*30</f>
        <v>17789760</v>
      </c>
      <c r="AT492" s="29">
        <f t="shared" si="191"/>
        <v>-17789760</v>
      </c>
      <c r="AU492" s="29">
        <f>+P492-'[6]Приложение №1'!$P470</f>
        <v>0</v>
      </c>
      <c r="AV492" s="29">
        <f>+Q492-'[6]Приложение №1'!$Q470</f>
        <v>0</v>
      </c>
      <c r="AW492" s="29">
        <f>+R492-'[6]Приложение №1'!$R470</f>
        <v>0</v>
      </c>
      <c r="AX492" s="29">
        <f>+S492-'[6]Приложение №1'!$S470</f>
        <v>0</v>
      </c>
      <c r="AY492" s="29">
        <f>+T492-'[6]Приложение №1'!$T470</f>
        <v>0</v>
      </c>
    </row>
    <row r="493" spans="1:51" x14ac:dyDescent="0.25">
      <c r="A493" s="133">
        <f t="shared" si="203"/>
        <v>475</v>
      </c>
      <c r="B493" s="132">
        <f t="shared" si="201"/>
        <v>13</v>
      </c>
      <c r="C493" s="77" t="s">
        <v>60</v>
      </c>
      <c r="D493" s="77" t="s">
        <v>280</v>
      </c>
      <c r="E493" s="78">
        <v>1989</v>
      </c>
      <c r="F493" s="78">
        <v>2012</v>
      </c>
      <c r="G493" s="78" t="s">
        <v>44</v>
      </c>
      <c r="H493" s="78">
        <v>5</v>
      </c>
      <c r="I493" s="78">
        <v>4</v>
      </c>
      <c r="J493" s="44">
        <v>5759.5</v>
      </c>
      <c r="K493" s="44">
        <v>4823.5</v>
      </c>
      <c r="L493" s="44">
        <v>45.7</v>
      </c>
      <c r="M493" s="79">
        <v>161</v>
      </c>
      <c r="N493" s="129">
        <f t="shared" si="199"/>
        <v>7084313.3406541934</v>
      </c>
      <c r="O493" s="44"/>
      <c r="P493" s="68"/>
      <c r="Q493" s="68"/>
      <c r="R493" s="68">
        <f>+AQ493+AR493</f>
        <v>0</v>
      </c>
      <c r="S493" s="68">
        <f>+'Приложение №2'!E493-'Приложение №1'!R493</f>
        <v>7084313.3406541934</v>
      </c>
      <c r="T493" s="68">
        <v>0</v>
      </c>
      <c r="U493" s="68">
        <f t="shared" si="202"/>
        <v>1468.7080627457642</v>
      </c>
      <c r="V493" s="68">
        <v>1184.2830200640001</v>
      </c>
      <c r="W493" s="80">
        <v>2024</v>
      </c>
      <c r="X493" s="29" t="e">
        <f>+#REF!-'[1]Приложение №1'!$P913</f>
        <v>#REF!</v>
      </c>
      <c r="Z493" s="31">
        <f t="shared" si="206"/>
        <v>7839473.0600000015</v>
      </c>
      <c r="AA493" s="27">
        <v>0</v>
      </c>
      <c r="AB493" s="27">
        <v>0</v>
      </c>
      <c r="AC493" s="27">
        <v>4022569.2098600399</v>
      </c>
      <c r="AD493" s="27">
        <v>2710692.1801008</v>
      </c>
      <c r="AE493" s="27">
        <v>0</v>
      </c>
      <c r="AF493" s="27"/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880574.14999999991</v>
      </c>
      <c r="AN493" s="32">
        <v>78394.730599999995</v>
      </c>
      <c r="AO493" s="33">
        <v>147242.78943916</v>
      </c>
      <c r="AP493" s="84">
        <f>+N493-'Приложение №2'!E493</f>
        <v>0</v>
      </c>
      <c r="AQ493" s="29">
        <f>2384141.34-R212</f>
        <v>-501319.79999999981</v>
      </c>
      <c r="AR493" s="1">
        <f t="shared" si="205"/>
        <v>501319.8</v>
      </c>
      <c r="AS493" s="1">
        <f>+(K493*10+L493*20)*12*30-S212</f>
        <v>13517904.351202622</v>
      </c>
      <c r="AT493" s="29">
        <f t="shared" si="191"/>
        <v>-6433591.0105484286</v>
      </c>
      <c r="AU493" s="29">
        <f>+P493-'[6]Приложение №1'!$P471</f>
        <v>0</v>
      </c>
      <c r="AV493" s="29">
        <f>+Q493-'[6]Приложение №1'!$Q471</f>
        <v>0</v>
      </c>
      <c r="AW493" s="29">
        <f>+R493-'[6]Приложение №1'!$R471</f>
        <v>0</v>
      </c>
      <c r="AX493" s="29">
        <f>+S493-'[6]Приложение №1'!$S471</f>
        <v>0</v>
      </c>
      <c r="AY493" s="29">
        <f>+T493-'[6]Приложение №1'!$T471</f>
        <v>0</v>
      </c>
    </row>
    <row r="494" spans="1:51" x14ac:dyDescent="0.25">
      <c r="A494" s="133">
        <f t="shared" si="203"/>
        <v>476</v>
      </c>
      <c r="B494" s="132">
        <f t="shared" si="201"/>
        <v>14</v>
      </c>
      <c r="C494" s="77" t="s">
        <v>60</v>
      </c>
      <c r="D494" s="77" t="s">
        <v>124</v>
      </c>
      <c r="E494" s="78">
        <v>1993</v>
      </c>
      <c r="F494" s="78">
        <v>2012</v>
      </c>
      <c r="G494" s="78" t="s">
        <v>44</v>
      </c>
      <c r="H494" s="78">
        <v>3</v>
      </c>
      <c r="I494" s="78">
        <v>1</v>
      </c>
      <c r="J494" s="44">
        <v>1090</v>
      </c>
      <c r="K494" s="44">
        <v>942.47</v>
      </c>
      <c r="L494" s="44">
        <v>0</v>
      </c>
      <c r="M494" s="79">
        <v>33</v>
      </c>
      <c r="N494" s="129">
        <f t="shared" si="199"/>
        <v>792318.11290502013</v>
      </c>
      <c r="O494" s="44"/>
      <c r="P494" s="68"/>
      <c r="Q494" s="68"/>
      <c r="R494" s="68">
        <f>+AQ494+AR494</f>
        <v>485055.29532301193</v>
      </c>
      <c r="S494" s="68">
        <f>+'Приложение №2'!E494-'Приложение №1'!R494</f>
        <v>307262.8175820082</v>
      </c>
      <c r="T494" s="68">
        <v>5.8207660913467407E-11</v>
      </c>
      <c r="U494" s="68">
        <f t="shared" si="202"/>
        <v>840.68258183816999</v>
      </c>
      <c r="V494" s="68">
        <v>1185.2830200640001</v>
      </c>
      <c r="W494" s="80">
        <v>2024</v>
      </c>
      <c r="X494" s="29" t="e">
        <f>+#REF!-'[1]Приложение №1'!$P1051</f>
        <v>#REF!</v>
      </c>
      <c r="Z494" s="31">
        <f t="shared" si="206"/>
        <v>1353938.3335296002</v>
      </c>
      <c r="AA494" s="27">
        <v>0</v>
      </c>
      <c r="AB494" s="27">
        <v>0</v>
      </c>
      <c r="AC494" s="27">
        <v>766834.98031195218</v>
      </c>
      <c r="AD494" s="27">
        <v>398482.47555609996</v>
      </c>
      <c r="AE494" s="27">
        <v>0</v>
      </c>
      <c r="AF494" s="27"/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149598.36173318402</v>
      </c>
      <c r="AN494" s="32">
        <v>13539.383335296003</v>
      </c>
      <c r="AO494" s="33">
        <v>25483.132593067974</v>
      </c>
      <c r="AP494" s="84">
        <f>+N494-'Приложение №2'!E494</f>
        <v>0</v>
      </c>
      <c r="AQ494" s="29">
        <f>502001.62-R23</f>
        <v>388923.35532301193</v>
      </c>
      <c r="AR494" s="1">
        <f t="shared" si="205"/>
        <v>96131.94</v>
      </c>
      <c r="AS494" s="1">
        <f>+(K494*10+L494*20)*12*30</f>
        <v>3392892.0000000005</v>
      </c>
      <c r="AT494" s="29">
        <f t="shared" si="191"/>
        <v>-3085629.1824179925</v>
      </c>
      <c r="AU494" s="29">
        <f>+P494-'[6]Приложение №1'!$P472</f>
        <v>0</v>
      </c>
      <c r="AV494" s="29">
        <f>+Q494-'[6]Приложение №1'!$Q472</f>
        <v>0</v>
      </c>
      <c r="AW494" s="29">
        <f>+R494-'[6]Приложение №1'!$R472</f>
        <v>208982.65999999997</v>
      </c>
      <c r="AX494" s="29">
        <f>+S494-'[6]Приложение №1'!$S472</f>
        <v>-208982.65999999997</v>
      </c>
      <c r="AY494" s="29">
        <f>+T494-'[6]Приложение №1'!$T472</f>
        <v>0</v>
      </c>
    </row>
    <row r="495" spans="1:51" x14ac:dyDescent="0.25">
      <c r="A495" s="133">
        <f t="shared" si="203"/>
        <v>477</v>
      </c>
      <c r="B495" s="132">
        <f t="shared" si="201"/>
        <v>15</v>
      </c>
      <c r="C495" s="77" t="s">
        <v>545</v>
      </c>
      <c r="D495" s="77" t="s">
        <v>126</v>
      </c>
      <c r="E495" s="78">
        <v>1996</v>
      </c>
      <c r="F495" s="78">
        <v>1996</v>
      </c>
      <c r="G495" s="78" t="s">
        <v>547</v>
      </c>
      <c r="H495" s="78">
        <v>9</v>
      </c>
      <c r="I495" s="78">
        <v>2</v>
      </c>
      <c r="J495" s="44">
        <v>5868.8</v>
      </c>
      <c r="K495" s="44">
        <v>4891.1000000000004</v>
      </c>
      <c r="L495" s="44">
        <v>103.4</v>
      </c>
      <c r="M495" s="79">
        <v>176</v>
      </c>
      <c r="N495" s="129">
        <f>+P495+Q495+R495+S495+T495</f>
        <v>7182720</v>
      </c>
      <c r="O495" s="44"/>
      <c r="P495" s="68">
        <v>0</v>
      </c>
      <c r="Q495" s="68"/>
      <c r="R495" s="68">
        <f>+AR495</f>
        <v>686779.12739999988</v>
      </c>
      <c r="S495" s="68">
        <f>+'Приложение №2'!E495-'Приложение №1'!R495</f>
        <v>6495940.8726000004</v>
      </c>
      <c r="T495" s="44">
        <f>+'Приложение №2'!E495-'Приложение №1'!P495-'Приложение №1'!Q495-'Приложение №1'!R495-'Приложение №1'!S495</f>
        <v>0</v>
      </c>
      <c r="U495" s="68">
        <f>$N495/($K495+$L495)</f>
        <v>1438.1259385323856</v>
      </c>
      <c r="V495" s="68">
        <f>$N495/($K495+$L495)</f>
        <v>1438.1259385323856</v>
      </c>
      <c r="W495" s="80">
        <v>2024</v>
      </c>
      <c r="X495" s="29" t="e">
        <f>+#REF!-'[1]Приложение №1'!$P1781</f>
        <v>#REF!</v>
      </c>
      <c r="Z495" s="31">
        <f t="shared" si="206"/>
        <v>26916272.679462254</v>
      </c>
      <c r="AA495" s="27">
        <v>11954408.568709729</v>
      </c>
      <c r="AB495" s="27">
        <v>4782903.5702124871</v>
      </c>
      <c r="AC495" s="27">
        <v>3532642.5089277923</v>
      </c>
      <c r="AD495" s="27">
        <v>2257520.5141524919</v>
      </c>
      <c r="AE495" s="27">
        <v>0</v>
      </c>
      <c r="AF495" s="27"/>
      <c r="AG495" s="27">
        <v>531117.68749178003</v>
      </c>
      <c r="AH495" s="27">
        <v>0</v>
      </c>
      <c r="AI495" s="27"/>
      <c r="AJ495" s="27">
        <v>0</v>
      </c>
      <c r="AK495" s="27">
        <v>0</v>
      </c>
      <c r="AL495" s="27">
        <v>0</v>
      </c>
      <c r="AM495" s="27">
        <v>2917548.1015033424</v>
      </c>
      <c r="AN495" s="32">
        <v>321479.91337035975</v>
      </c>
      <c r="AO495" s="33">
        <v>618651.81509427261</v>
      </c>
      <c r="AP495" s="84">
        <f>+N495-'Приложение №2'!E495</f>
        <v>0</v>
      </c>
      <c r="AQ495" s="29">
        <f>3041149.84-317048.16-R256</f>
        <v>2724101.6799999997</v>
      </c>
      <c r="AR495" s="1">
        <f>+(K495*13.29+L495*22.52)*12*0.85</f>
        <v>686779.12739999988</v>
      </c>
      <c r="AS495" s="1">
        <f>+(K495*13.29+L495*22.52)*12*30-2665031.47-S256</f>
        <v>17964337.604212351</v>
      </c>
      <c r="AT495" s="29">
        <f t="shared" si="191"/>
        <v>-11468396.731612351</v>
      </c>
      <c r="AU495" s="29"/>
      <c r="AV495" s="29"/>
      <c r="AW495" s="29"/>
      <c r="AX495" s="29"/>
      <c r="AY495" s="29"/>
    </row>
    <row r="496" spans="1:51" x14ac:dyDescent="0.25">
      <c r="A496" s="133">
        <f t="shared" si="203"/>
        <v>478</v>
      </c>
      <c r="B496" s="132">
        <f t="shared" si="201"/>
        <v>16</v>
      </c>
      <c r="C496" s="77" t="s">
        <v>545</v>
      </c>
      <c r="D496" s="77" t="s">
        <v>128</v>
      </c>
      <c r="E496" s="78">
        <v>1986</v>
      </c>
      <c r="F496" s="78">
        <v>2017</v>
      </c>
      <c r="G496" s="78" t="s">
        <v>547</v>
      </c>
      <c r="H496" s="78">
        <v>9</v>
      </c>
      <c r="I496" s="78">
        <v>1</v>
      </c>
      <c r="J496" s="44">
        <v>3148.9</v>
      </c>
      <c r="K496" s="44">
        <v>2686.2</v>
      </c>
      <c r="L496" s="44">
        <v>0</v>
      </c>
      <c r="M496" s="79">
        <v>112</v>
      </c>
      <c r="N496" s="129">
        <f>SUM(O496:T496)</f>
        <v>23725234.313397765</v>
      </c>
      <c r="O496" s="44"/>
      <c r="P496" s="68">
        <v>3488737.6475839727</v>
      </c>
      <c r="Q496" s="68"/>
      <c r="R496" s="68">
        <f t="shared" ref="R496:R507" si="207">+AQ496+AR496</f>
        <v>0</v>
      </c>
      <c r="S496" s="68">
        <f>+AS496</f>
        <v>12767916.109760767</v>
      </c>
      <c r="T496" s="68">
        <f>+'Приложение №2'!E496-'Приложение №1'!P496-'Приложение №1'!R496-'Приложение №1'!S496</f>
        <v>7468580.5560530256</v>
      </c>
      <c r="U496" s="68">
        <f>N496/K496</f>
        <v>8832.2665152995924</v>
      </c>
      <c r="V496" s="68">
        <v>1187.2830200640001</v>
      </c>
      <c r="W496" s="80">
        <v>2024</v>
      </c>
      <c r="X496" s="29" t="e">
        <f>+#REF!-'[1]Приложение №1'!$P1278</f>
        <v>#REF!</v>
      </c>
      <c r="Z496" s="31">
        <f t="shared" si="206"/>
        <v>9697051.4923279285</v>
      </c>
      <c r="AA496" s="27">
        <v>6428049.5552969025</v>
      </c>
      <c r="AB496" s="27">
        <v>0</v>
      </c>
      <c r="AC496" s="27">
        <v>1899550.3606906722</v>
      </c>
      <c r="AD496" s="27">
        <v>0</v>
      </c>
      <c r="AE496" s="27">
        <v>0</v>
      </c>
      <c r="AF496" s="27"/>
      <c r="AG496" s="27">
        <v>285589.26987220609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798538.78870673361</v>
      </c>
      <c r="AN496" s="32">
        <v>96970.51492327929</v>
      </c>
      <c r="AO496" s="33">
        <v>188353.00283813541</v>
      </c>
      <c r="AP496" s="84">
        <f>+N496-'Приложение №2'!E496</f>
        <v>0</v>
      </c>
      <c r="AQ496" s="29">
        <f>1493014.61-R220</f>
        <v>-364135.89959999989</v>
      </c>
      <c r="AR496" s="1">
        <f>+(K496*13.29+L496*22.52)*12*0.85</f>
        <v>364135.89959999995</v>
      </c>
      <c r="AS496" s="1">
        <f>+(K496*13.29+L496*22.52)*12*30-S220</f>
        <v>12767916.109760767</v>
      </c>
      <c r="AT496" s="29">
        <f t="shared" si="191"/>
        <v>0</v>
      </c>
      <c r="AU496" s="29">
        <f>+P496-'[6]Приложение №1'!$P473</f>
        <v>0</v>
      </c>
      <c r="AV496" s="29">
        <f>+Q496-'[6]Приложение №1'!$Q473</f>
        <v>0</v>
      </c>
      <c r="AW496" s="29">
        <f>+R496-'[6]Приложение №1'!$R473</f>
        <v>0</v>
      </c>
      <c r="AX496" s="29">
        <f>+S496-'[6]Приложение №1'!$S473</f>
        <v>0</v>
      </c>
      <c r="AY496" s="29">
        <f>+T496-'[6]Приложение №1'!$T473</f>
        <v>0</v>
      </c>
    </row>
    <row r="497" spans="1:51" x14ac:dyDescent="0.25">
      <c r="A497" s="133">
        <f t="shared" si="203"/>
        <v>479</v>
      </c>
      <c r="B497" s="132">
        <f t="shared" si="201"/>
        <v>17</v>
      </c>
      <c r="C497" s="77" t="s">
        <v>545</v>
      </c>
      <c r="D497" s="77" t="s">
        <v>130</v>
      </c>
      <c r="E497" s="78">
        <v>1980</v>
      </c>
      <c r="F497" s="78">
        <v>2010</v>
      </c>
      <c r="G497" s="78" t="s">
        <v>547</v>
      </c>
      <c r="H497" s="78">
        <v>5</v>
      </c>
      <c r="I497" s="78">
        <v>3</v>
      </c>
      <c r="J497" s="44">
        <v>5185</v>
      </c>
      <c r="K497" s="44">
        <v>4394.2</v>
      </c>
      <c r="L497" s="44">
        <v>0</v>
      </c>
      <c r="M497" s="79">
        <v>182</v>
      </c>
      <c r="N497" s="129">
        <f>SUM(O497:T497)</f>
        <v>14771521.290958852</v>
      </c>
      <c r="O497" s="44"/>
      <c r="P497" s="68"/>
      <c r="Q497" s="68"/>
      <c r="R497" s="68">
        <f t="shared" si="207"/>
        <v>2596161.39</v>
      </c>
      <c r="S497" s="68">
        <f>+'Приложение №2'!E497-'Приложение №1'!R497</f>
        <v>12175359.900958851</v>
      </c>
      <c r="T497" s="68">
        <v>9.3132257461547852E-10</v>
      </c>
      <c r="U497" s="68">
        <f>N497/K497</f>
        <v>3361.5951233350443</v>
      </c>
      <c r="V497" s="68">
        <v>1188.2830200640001</v>
      </c>
      <c r="W497" s="80">
        <v>2024</v>
      </c>
      <c r="X497" s="29" t="e">
        <f>+#REF!-'[1]Приложение №1'!$P562</f>
        <v>#REF!</v>
      </c>
      <c r="Z497" s="31">
        <f t="shared" si="206"/>
        <v>37425881.19748608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/>
      <c r="AG497" s="27">
        <v>0</v>
      </c>
      <c r="AH497" s="27">
        <v>0</v>
      </c>
      <c r="AI497" s="27">
        <v>14455410.735332333</v>
      </c>
      <c r="AJ497" s="27">
        <v>0</v>
      </c>
      <c r="AK497" s="27">
        <v>18301425.871979985</v>
      </c>
      <c r="AL497" s="27">
        <v>0</v>
      </c>
      <c r="AM497" s="27">
        <v>3578460.105404621</v>
      </c>
      <c r="AN497" s="32">
        <v>374258.81197486079</v>
      </c>
      <c r="AO497" s="33">
        <v>716325.67279428127</v>
      </c>
      <c r="AP497" s="84">
        <f>+N497-'Приложение №2'!E497</f>
        <v>0</v>
      </c>
      <c r="AQ497" s="1">
        <v>2147952.9900000002</v>
      </c>
      <c r="AR497" s="1">
        <f>+(K497*10+L497*20)*12*0.85</f>
        <v>448208.39999999997</v>
      </c>
      <c r="AS497" s="1">
        <f>+(K497*10+L497*20)*12*30</f>
        <v>15819120</v>
      </c>
      <c r="AT497" s="29">
        <f t="shared" si="191"/>
        <v>-3643760.099041149</v>
      </c>
      <c r="AU497" s="29">
        <f>+P497-'[6]Приложение №1'!$P474</f>
        <v>0</v>
      </c>
      <c r="AV497" s="29">
        <f>+Q497-'[6]Приложение №1'!$Q474</f>
        <v>0</v>
      </c>
      <c r="AW497" s="29">
        <f>+R497-'[6]Приложение №1'!$R474</f>
        <v>0</v>
      </c>
      <c r="AX497" s="29">
        <f>+S497-'[6]Приложение №1'!$S474</f>
        <v>0</v>
      </c>
      <c r="AY497" s="29">
        <f>+T497-'[6]Приложение №1'!$T474</f>
        <v>0</v>
      </c>
    </row>
    <row r="498" spans="1:51" s="81" customFormat="1" x14ac:dyDescent="0.25">
      <c r="A498" s="133">
        <f t="shared" si="203"/>
        <v>480</v>
      </c>
      <c r="B498" s="132">
        <f t="shared" si="201"/>
        <v>18</v>
      </c>
      <c r="C498" s="77" t="s">
        <v>545</v>
      </c>
      <c r="D498" s="77" t="s">
        <v>741</v>
      </c>
      <c r="E498" s="78">
        <v>1992</v>
      </c>
      <c r="F498" s="78">
        <v>2012</v>
      </c>
      <c r="G498" s="78" t="s">
        <v>547</v>
      </c>
      <c r="H498" s="78">
        <v>9</v>
      </c>
      <c r="I498" s="78">
        <v>1</v>
      </c>
      <c r="J498" s="44">
        <v>2846</v>
      </c>
      <c r="K498" s="44">
        <v>2452.1999999999998</v>
      </c>
      <c r="L498" s="44">
        <v>0</v>
      </c>
      <c r="M498" s="79">
        <v>98</v>
      </c>
      <c r="N498" s="68">
        <f t="shared" ref="N498:N504" si="208">+P498+Q498+R498+S498</f>
        <v>3591360</v>
      </c>
      <c r="O498" s="44"/>
      <c r="P498" s="68"/>
      <c r="Q498" s="68"/>
      <c r="R498" s="68">
        <f t="shared" si="207"/>
        <v>1931053.6199999999</v>
      </c>
      <c r="S498" s="68">
        <f>+'Приложение №2'!E498-'Приложение №1'!R498</f>
        <v>1660306.3800000001</v>
      </c>
      <c r="T498" s="44"/>
      <c r="U498" s="68">
        <f>$N498/($K498+$L498)</f>
        <v>1464.5461218497676</v>
      </c>
      <c r="V498" s="68">
        <f>$N498/($K498+$L498)</f>
        <v>1464.5461218497676</v>
      </c>
      <c r="W498" s="80">
        <v>2024</v>
      </c>
      <c r="X498" s="95">
        <f>+N498-'[11]Приложение №2'!E485</f>
        <v>1187580.1200000001</v>
      </c>
      <c r="AD498" s="97">
        <f>+'[11]Прил 2 оконч'!E485-'[11]Приложение №1'!N485</f>
        <v>0</v>
      </c>
      <c r="AP498" s="84">
        <f>+N498-'Приложение №2'!E498</f>
        <v>0</v>
      </c>
      <c r="AQ498" s="81">
        <v>1680929.22</v>
      </c>
      <c r="AR498" s="1">
        <f>+(K498*10+L498*20)*12*0.85</f>
        <v>250124.4</v>
      </c>
      <c r="AS498" s="1">
        <f t="shared" ref="AS498:AS504" si="209">+(K498*13.29+L498*22.52)*12*30</f>
        <v>11732305.679999998</v>
      </c>
      <c r="AT498" s="29">
        <f t="shared" si="191"/>
        <v>-10071999.299999997</v>
      </c>
      <c r="AU498" s="29"/>
      <c r="AV498" s="29"/>
      <c r="AW498" s="29"/>
      <c r="AX498" s="29"/>
      <c r="AY498" s="29"/>
    </row>
    <row r="499" spans="1:51" s="81" customFormat="1" x14ac:dyDescent="0.25">
      <c r="A499" s="133">
        <f t="shared" si="203"/>
        <v>481</v>
      </c>
      <c r="B499" s="132">
        <f t="shared" si="201"/>
        <v>19</v>
      </c>
      <c r="C499" s="77" t="s">
        <v>545</v>
      </c>
      <c r="D499" s="77" t="s">
        <v>742</v>
      </c>
      <c r="E499" s="78" t="s">
        <v>605</v>
      </c>
      <c r="F499" s="78"/>
      <c r="G499" s="78" t="s">
        <v>573</v>
      </c>
      <c r="H499" s="78" t="s">
        <v>571</v>
      </c>
      <c r="I499" s="78" t="s">
        <v>576</v>
      </c>
      <c r="J499" s="44">
        <v>2946.9</v>
      </c>
      <c r="K499" s="44">
        <v>2343.5</v>
      </c>
      <c r="L499" s="44">
        <v>393.2</v>
      </c>
      <c r="M499" s="79">
        <v>71</v>
      </c>
      <c r="N499" s="68">
        <f t="shared" si="208"/>
        <v>3591360</v>
      </c>
      <c r="O499" s="44"/>
      <c r="P499" s="68"/>
      <c r="Q499" s="68"/>
      <c r="R499" s="68">
        <f t="shared" si="207"/>
        <v>2465573.7599999998</v>
      </c>
      <c r="S499" s="68">
        <f>+'Приложение №2'!E499-'Приложение №1'!R499</f>
        <v>1125786.2400000002</v>
      </c>
      <c r="T499" s="44"/>
      <c r="U499" s="68"/>
      <c r="V499" s="68"/>
      <c r="W499" s="80">
        <v>2024</v>
      </c>
      <c r="X499" s="95"/>
      <c r="AD499" s="97"/>
      <c r="AP499" s="84">
        <f>+N499-'Приложение №2'!E499</f>
        <v>0</v>
      </c>
      <c r="AQ499" s="81">
        <v>2146323.96</v>
      </c>
      <c r="AR499" s="1">
        <f>+(K499*10+L499*20)*12*0.85</f>
        <v>319249.8</v>
      </c>
      <c r="AS499" s="1">
        <f t="shared" si="209"/>
        <v>14399992.440000001</v>
      </c>
      <c r="AT499" s="29">
        <f t="shared" si="191"/>
        <v>-13274206.200000001</v>
      </c>
      <c r="AU499" s="29"/>
      <c r="AV499" s="29"/>
      <c r="AW499" s="29"/>
      <c r="AX499" s="29"/>
      <c r="AY499" s="29"/>
    </row>
    <row r="500" spans="1:51" x14ac:dyDescent="0.25">
      <c r="A500" s="133">
        <f t="shared" si="203"/>
        <v>482</v>
      </c>
      <c r="B500" s="132">
        <f t="shared" si="201"/>
        <v>20</v>
      </c>
      <c r="C500" s="77" t="s">
        <v>545</v>
      </c>
      <c r="D500" s="77" t="s">
        <v>132</v>
      </c>
      <c r="E500" s="78">
        <v>1987</v>
      </c>
      <c r="F500" s="78">
        <v>2017</v>
      </c>
      <c r="G500" s="78" t="s">
        <v>547</v>
      </c>
      <c r="H500" s="78">
        <v>9</v>
      </c>
      <c r="I500" s="78">
        <v>5</v>
      </c>
      <c r="J500" s="44">
        <v>12250.3</v>
      </c>
      <c r="K500" s="44">
        <v>9272.2999999999993</v>
      </c>
      <c r="L500" s="44">
        <v>330.7</v>
      </c>
      <c r="M500" s="79">
        <v>376</v>
      </c>
      <c r="N500" s="68">
        <f t="shared" si="208"/>
        <v>16349155.862697218</v>
      </c>
      <c r="O500" s="44"/>
      <c r="P500" s="68"/>
      <c r="Q500" s="68"/>
      <c r="R500" s="68">
        <f t="shared" si="207"/>
        <v>7265477.3361999998</v>
      </c>
      <c r="S500" s="68">
        <f>+'Приложение №2'!E500-'Приложение №1'!R500</f>
        <v>9083678.5264972188</v>
      </c>
      <c r="T500" s="68">
        <v>0</v>
      </c>
      <c r="U500" s="68">
        <f>N500/K500</f>
        <v>1763.2255063681307</v>
      </c>
      <c r="V500" s="68">
        <v>1189.2830200640001</v>
      </c>
      <c r="W500" s="80">
        <v>2024</v>
      </c>
      <c r="X500" s="29" t="e">
        <f>+#REF!-'[1]Приложение №1'!$P565</f>
        <v>#REF!</v>
      </c>
      <c r="Z500" s="31">
        <f>SUM(AA500:AO500)</f>
        <v>18369838.047974408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/>
      <c r="AG500" s="27">
        <v>0</v>
      </c>
      <c r="AH500" s="27">
        <v>0</v>
      </c>
      <c r="AI500" s="27">
        <v>0</v>
      </c>
      <c r="AJ500" s="27">
        <v>15999283.927235499</v>
      </c>
      <c r="AK500" s="27">
        <v>0</v>
      </c>
      <c r="AL500" s="27">
        <v>0</v>
      </c>
      <c r="AM500" s="27">
        <v>1836983.8047974405</v>
      </c>
      <c r="AN500" s="32">
        <v>183698.38047974405</v>
      </c>
      <c r="AO500" s="33">
        <v>349871.93546172051</v>
      </c>
      <c r="AP500" s="84">
        <f>+N500-'Приложение №2'!E500</f>
        <v>0</v>
      </c>
      <c r="AQ500" s="1">
        <v>5932579.7800000003</v>
      </c>
      <c r="AR500" s="1">
        <f>+(K500*13.29+L500*22.52)*12*0.85</f>
        <v>1332897.5561999998</v>
      </c>
      <c r="AS500" s="1">
        <f t="shared" si="209"/>
        <v>47043443.159999996</v>
      </c>
      <c r="AT500" s="29">
        <f t="shared" si="191"/>
        <v>-37959764.633502781</v>
      </c>
      <c r="AU500" s="29">
        <f>+P500-'[6]Приложение №1'!$P475</f>
        <v>0</v>
      </c>
      <c r="AV500" s="29">
        <f>+Q500-'[6]Приложение №1'!$Q475</f>
        <v>0</v>
      </c>
      <c r="AW500" s="29">
        <f>+R500-'[6]Приложение №1'!$R475</f>
        <v>0</v>
      </c>
      <c r="AX500" s="29">
        <f>+S500-'[6]Приложение №1'!$S475</f>
        <v>0</v>
      </c>
      <c r="AY500" s="29">
        <f>+T500-'[6]Приложение №1'!$T475</f>
        <v>0</v>
      </c>
    </row>
    <row r="501" spans="1:51" x14ac:dyDescent="0.25">
      <c r="A501" s="133">
        <f t="shared" si="203"/>
        <v>483</v>
      </c>
      <c r="B501" s="132">
        <f t="shared" si="201"/>
        <v>21</v>
      </c>
      <c r="C501" s="77" t="s">
        <v>545</v>
      </c>
      <c r="D501" s="77" t="s">
        <v>743</v>
      </c>
      <c r="E501" s="78" t="s">
        <v>605</v>
      </c>
      <c r="F501" s="78"/>
      <c r="G501" s="78" t="s">
        <v>573</v>
      </c>
      <c r="H501" s="78" t="s">
        <v>571</v>
      </c>
      <c r="I501" s="78" t="s">
        <v>572</v>
      </c>
      <c r="J501" s="44">
        <v>5832.9</v>
      </c>
      <c r="K501" s="44">
        <v>4738.3999999999996</v>
      </c>
      <c r="L501" s="44">
        <v>801.3</v>
      </c>
      <c r="M501" s="79">
        <v>154</v>
      </c>
      <c r="N501" s="68">
        <f t="shared" si="208"/>
        <v>7182720</v>
      </c>
      <c r="O501" s="44"/>
      <c r="P501" s="68"/>
      <c r="Q501" s="68"/>
      <c r="R501" s="68">
        <f t="shared" si="207"/>
        <v>4304303.4624000005</v>
      </c>
      <c r="S501" s="68">
        <f>+'Приложение №2'!E501-'Приложение №1'!R501</f>
        <v>2878416.5375999995</v>
      </c>
      <c r="T501" s="68"/>
      <c r="U501" s="68"/>
      <c r="V501" s="68"/>
      <c r="W501" s="80">
        <v>2024</v>
      </c>
      <c r="X501" s="29"/>
      <c r="Z501" s="31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32"/>
      <c r="AO501" s="33"/>
      <c r="AP501" s="84">
        <f>+N501-'Приложение №2'!E501</f>
        <v>0</v>
      </c>
      <c r="AQ501" s="1">
        <v>3477913.62</v>
      </c>
      <c r="AR501" s="1">
        <f>+(K501*13.29+L501*22.52)*12*0.85</f>
        <v>826389.84239999996</v>
      </c>
      <c r="AS501" s="1">
        <f t="shared" si="209"/>
        <v>29166700.319999997</v>
      </c>
      <c r="AT501" s="29">
        <f t="shared" si="191"/>
        <v>-26288283.782399997</v>
      </c>
      <c r="AU501" s="29"/>
      <c r="AV501" s="29"/>
      <c r="AW501" s="29"/>
      <c r="AX501" s="29"/>
      <c r="AY501" s="29"/>
    </row>
    <row r="502" spans="1:51" x14ac:dyDescent="0.25">
      <c r="A502" s="133">
        <f t="shared" si="203"/>
        <v>484</v>
      </c>
      <c r="B502" s="132">
        <f t="shared" si="201"/>
        <v>22</v>
      </c>
      <c r="C502" s="77" t="s">
        <v>545</v>
      </c>
      <c r="D502" s="77" t="s">
        <v>744</v>
      </c>
      <c r="E502" s="78" t="s">
        <v>618</v>
      </c>
      <c r="F502" s="78"/>
      <c r="G502" s="78" t="s">
        <v>573</v>
      </c>
      <c r="H502" s="78" t="s">
        <v>571</v>
      </c>
      <c r="I502" s="78" t="s">
        <v>576</v>
      </c>
      <c r="J502" s="44">
        <v>3327.1</v>
      </c>
      <c r="K502" s="44">
        <v>2700.2</v>
      </c>
      <c r="L502" s="44">
        <v>127.1</v>
      </c>
      <c r="M502" s="79">
        <v>93</v>
      </c>
      <c r="N502" s="68">
        <f t="shared" si="208"/>
        <v>3591360</v>
      </c>
      <c r="O502" s="44"/>
      <c r="P502" s="68"/>
      <c r="Q502" s="68"/>
      <c r="R502" s="68">
        <f t="shared" si="207"/>
        <v>2441977.39</v>
      </c>
      <c r="S502" s="68">
        <f>+'Приложение №2'!E502-'Приложение №1'!R502</f>
        <v>1149382.6099999999</v>
      </c>
      <c r="T502" s="68"/>
      <c r="U502" s="68"/>
      <c r="V502" s="68"/>
      <c r="W502" s="80">
        <v>2024</v>
      </c>
      <c r="X502" s="29"/>
      <c r="Z502" s="31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32"/>
      <c r="AO502" s="33"/>
      <c r="AP502" s="84">
        <f>+N502-'Приложение №2'!E502</f>
        <v>0</v>
      </c>
      <c r="AQ502" s="1">
        <v>2046748.3</v>
      </c>
      <c r="AR502" s="1">
        <f>+(K502*13.29+L502*22.52)*12*0.85</f>
        <v>395229.08999999997</v>
      </c>
      <c r="AS502" s="1">
        <f t="shared" si="209"/>
        <v>13949261.999999998</v>
      </c>
      <c r="AT502" s="29">
        <f t="shared" si="191"/>
        <v>-12799879.389999999</v>
      </c>
      <c r="AU502" s="29"/>
      <c r="AV502" s="29"/>
      <c r="AW502" s="29"/>
      <c r="AX502" s="29"/>
      <c r="AY502" s="29"/>
    </row>
    <row r="503" spans="1:51" x14ac:dyDescent="0.25">
      <c r="A503" s="133">
        <f t="shared" si="203"/>
        <v>485</v>
      </c>
      <c r="B503" s="132">
        <f t="shared" si="201"/>
        <v>23</v>
      </c>
      <c r="C503" s="77" t="s">
        <v>545</v>
      </c>
      <c r="D503" s="77" t="s">
        <v>694</v>
      </c>
      <c r="E503" s="78">
        <v>1985</v>
      </c>
      <c r="F503" s="78">
        <v>2011</v>
      </c>
      <c r="G503" s="78" t="s">
        <v>547</v>
      </c>
      <c r="H503" s="78">
        <v>9</v>
      </c>
      <c r="I503" s="78">
        <v>3</v>
      </c>
      <c r="J503" s="44">
        <v>8800.5</v>
      </c>
      <c r="K503" s="44">
        <v>6909.1</v>
      </c>
      <c r="L503" s="44">
        <v>362.5</v>
      </c>
      <c r="M503" s="79">
        <v>269</v>
      </c>
      <c r="N503" s="68">
        <f t="shared" si="208"/>
        <v>10774080</v>
      </c>
      <c r="O503" s="44"/>
      <c r="P503" s="68"/>
      <c r="Q503" s="68"/>
      <c r="R503" s="68">
        <f t="shared" si="207"/>
        <v>5227881.9578</v>
      </c>
      <c r="S503" s="68">
        <f>+'Приложение №2'!E503-'Приложение №1'!R503</f>
        <v>5546198.0422</v>
      </c>
      <c r="T503" s="68">
        <v>0</v>
      </c>
      <c r="U503" s="68">
        <f>N503/K503</f>
        <v>1559.4042639417578</v>
      </c>
      <c r="V503" s="68">
        <v>1190.2830200640001</v>
      </c>
      <c r="W503" s="80">
        <v>2024</v>
      </c>
      <c r="X503" s="29"/>
      <c r="Z503" s="31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32"/>
      <c r="AO503" s="33"/>
      <c r="AP503" s="84">
        <f>+N503-'Приложение №2'!E503</f>
        <v>0</v>
      </c>
      <c r="AQ503" s="1">
        <v>4208030.4800000004</v>
      </c>
      <c r="AR503" s="1">
        <f>+(K503*13.29+L503*22.52)*12*0.85</f>
        <v>1019851.4777999999</v>
      </c>
      <c r="AS503" s="1">
        <f t="shared" si="209"/>
        <v>35994758.039999999</v>
      </c>
      <c r="AT503" s="29">
        <f t="shared" si="191"/>
        <v>-30448559.9978</v>
      </c>
      <c r="AU503" s="29">
        <f>+P503-'[6]Приложение №1'!$P476</f>
        <v>0</v>
      </c>
      <c r="AV503" s="29">
        <f>+Q503-'[6]Приложение №1'!$Q476</f>
        <v>0</v>
      </c>
      <c r="AW503" s="29">
        <f>+R503-'[6]Приложение №1'!$R476</f>
        <v>0</v>
      </c>
      <c r="AX503" s="29">
        <f>+S503-'[6]Приложение №1'!$S476</f>
        <v>0</v>
      </c>
      <c r="AY503" s="29">
        <f>+T503-'[6]Приложение №1'!$T476</f>
        <v>0</v>
      </c>
    </row>
    <row r="504" spans="1:51" x14ac:dyDescent="0.25">
      <c r="A504" s="133">
        <f t="shared" si="203"/>
        <v>486</v>
      </c>
      <c r="B504" s="132">
        <f t="shared" si="201"/>
        <v>24</v>
      </c>
      <c r="C504" s="77" t="s">
        <v>545</v>
      </c>
      <c r="D504" s="77" t="s">
        <v>745</v>
      </c>
      <c r="E504" s="78" t="s">
        <v>618</v>
      </c>
      <c r="F504" s="78"/>
      <c r="G504" s="78" t="s">
        <v>573</v>
      </c>
      <c r="H504" s="78" t="s">
        <v>571</v>
      </c>
      <c r="I504" s="78" t="s">
        <v>576</v>
      </c>
      <c r="J504" s="44">
        <v>3391</v>
      </c>
      <c r="K504" s="44">
        <v>2799.1</v>
      </c>
      <c r="L504" s="44">
        <v>0</v>
      </c>
      <c r="M504" s="79">
        <v>93</v>
      </c>
      <c r="N504" s="68">
        <f t="shared" si="208"/>
        <v>3591360</v>
      </c>
      <c r="O504" s="44"/>
      <c r="P504" s="68"/>
      <c r="Q504" s="68"/>
      <c r="R504" s="68">
        <f t="shared" si="207"/>
        <v>2345030.1677999999</v>
      </c>
      <c r="S504" s="68">
        <f>+'Приложение №2'!E504-'Приложение №1'!R504</f>
        <v>1246329.8322000001</v>
      </c>
      <c r="T504" s="68"/>
      <c r="U504" s="68"/>
      <c r="V504" s="68"/>
      <c r="W504" s="80">
        <v>2024</v>
      </c>
      <c r="X504" s="29"/>
      <c r="Z504" s="31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32"/>
      <c r="AO504" s="33"/>
      <c r="AP504" s="84">
        <f>+N504-'Приложение №2'!E504</f>
        <v>0</v>
      </c>
      <c r="AQ504" s="1">
        <v>1965589.77</v>
      </c>
      <c r="AR504" s="1">
        <f>+(K504*13.29+L504*22.52)*12*0.85</f>
        <v>379440.39779999998</v>
      </c>
      <c r="AS504" s="1">
        <f t="shared" si="209"/>
        <v>13392014.039999999</v>
      </c>
      <c r="AT504" s="29">
        <f t="shared" si="191"/>
        <v>-12145684.207799999</v>
      </c>
      <c r="AU504" s="29"/>
      <c r="AV504" s="29"/>
      <c r="AW504" s="29"/>
      <c r="AX504" s="29"/>
      <c r="AY504" s="29"/>
    </row>
    <row r="505" spans="1:51" x14ac:dyDescent="0.25">
      <c r="A505" s="133">
        <f t="shared" si="203"/>
        <v>487</v>
      </c>
      <c r="B505" s="132">
        <f t="shared" si="201"/>
        <v>25</v>
      </c>
      <c r="C505" s="77" t="s">
        <v>545</v>
      </c>
      <c r="D505" s="77" t="s">
        <v>283</v>
      </c>
      <c r="E505" s="78">
        <v>1986</v>
      </c>
      <c r="F505" s="78">
        <v>2017</v>
      </c>
      <c r="G505" s="78" t="s">
        <v>547</v>
      </c>
      <c r="H505" s="78">
        <v>5</v>
      </c>
      <c r="I505" s="78">
        <v>4</v>
      </c>
      <c r="J505" s="44">
        <v>5725</v>
      </c>
      <c r="K505" s="44">
        <v>4812.8</v>
      </c>
      <c r="L505" s="44">
        <v>0</v>
      </c>
      <c r="M505" s="79">
        <v>190</v>
      </c>
      <c r="N505" s="129">
        <f t="shared" ref="N505:N534" si="210">SUM(O505:T505)</f>
        <v>13650330.635379208</v>
      </c>
      <c r="O505" s="44"/>
      <c r="P505" s="68"/>
      <c r="Q505" s="68"/>
      <c r="R505" s="68">
        <f t="shared" si="207"/>
        <v>2921980.0100000002</v>
      </c>
      <c r="S505" s="68">
        <f>+'Приложение №2'!E505-'Приложение №1'!R505</f>
        <v>10728350.625379208</v>
      </c>
      <c r="T505" s="68">
        <v>0</v>
      </c>
      <c r="U505" s="68">
        <f t="shared" ref="U505:U533" si="211">N505/K505</f>
        <v>2836.2555342792571</v>
      </c>
      <c r="V505" s="68">
        <v>1191.2830200640001</v>
      </c>
      <c r="W505" s="80">
        <v>2024</v>
      </c>
      <c r="X505" s="29" t="e">
        <f>+#REF!-'[1]Приложение №1'!$P925</f>
        <v>#REF!</v>
      </c>
      <c r="Z505" s="31">
        <f>SUM(AA505:AO505)</f>
        <v>15251119.821010942</v>
      </c>
      <c r="AA505" s="27">
        <v>9517364.6367539484</v>
      </c>
      <c r="AB505" s="27">
        <v>0</v>
      </c>
      <c r="AC505" s="27">
        <v>0</v>
      </c>
      <c r="AD505" s="27">
        <v>3840848.923028145</v>
      </c>
      <c r="AE505" s="27">
        <v>0</v>
      </c>
      <c r="AF505" s="27"/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1448277.9874216244</v>
      </c>
      <c r="AN505" s="32">
        <v>152511.19821010943</v>
      </c>
      <c r="AO505" s="33">
        <v>292117.07559711509</v>
      </c>
      <c r="AP505" s="84">
        <f>+N505-'Приложение №2'!E505</f>
        <v>0</v>
      </c>
      <c r="AQ505" s="1">
        <v>2431074.41</v>
      </c>
      <c r="AR505" s="1">
        <f>+(K505*10+L505*20)*12*0.85</f>
        <v>490905.59999999998</v>
      </c>
      <c r="AS505" s="1">
        <f>+(K505*10+L505*20)*12*30</f>
        <v>17326080</v>
      </c>
      <c r="AT505" s="29">
        <f t="shared" si="191"/>
        <v>-6597729.3746207915</v>
      </c>
      <c r="AU505" s="29">
        <f>+P505-'[6]Приложение №1'!$P477</f>
        <v>0</v>
      </c>
      <c r="AV505" s="29">
        <f>+Q505-'[6]Приложение №1'!$Q477</f>
        <v>0</v>
      </c>
      <c r="AW505" s="29">
        <f>+R505-'[6]Приложение №1'!$R477</f>
        <v>0</v>
      </c>
      <c r="AX505" s="29">
        <f>+S505-'[6]Приложение №1'!$S477</f>
        <v>0</v>
      </c>
      <c r="AY505" s="29">
        <f>+T505-'[6]Приложение №1'!$T477</f>
        <v>0</v>
      </c>
    </row>
    <row r="506" spans="1:51" x14ac:dyDescent="0.25">
      <c r="A506" s="133">
        <f t="shared" si="203"/>
        <v>488</v>
      </c>
      <c r="B506" s="132">
        <f t="shared" si="201"/>
        <v>26</v>
      </c>
      <c r="C506" s="77" t="s">
        <v>545</v>
      </c>
      <c r="D506" s="77" t="s">
        <v>134</v>
      </c>
      <c r="E506" s="78">
        <v>1984</v>
      </c>
      <c r="F506" s="78">
        <v>2012</v>
      </c>
      <c r="G506" s="78" t="s">
        <v>547</v>
      </c>
      <c r="H506" s="78">
        <v>5</v>
      </c>
      <c r="I506" s="78">
        <v>2</v>
      </c>
      <c r="J506" s="44">
        <v>4407.8500000000004</v>
      </c>
      <c r="K506" s="44">
        <v>2910.8</v>
      </c>
      <c r="L506" s="44">
        <v>859.6</v>
      </c>
      <c r="M506" s="79">
        <v>176</v>
      </c>
      <c r="N506" s="129">
        <f t="shared" si="210"/>
        <v>17594017.8503768</v>
      </c>
      <c r="O506" s="44"/>
      <c r="P506" s="68">
        <f>+'Приложение №2'!E506-'Приложение №1'!R506-'Приложение №1'!S506</f>
        <v>453049.84037679993</v>
      </c>
      <c r="Q506" s="68"/>
      <c r="R506" s="68">
        <f t="shared" si="207"/>
        <v>1421354.58</v>
      </c>
      <c r="S506" s="68">
        <f>+AS506</f>
        <v>15719613.43</v>
      </c>
      <c r="T506" s="68">
        <f>+'Приложение №2'!E506-'Приложение №1'!P506-'Приложение №1'!Q506-'Приложение №1'!R506-'Приложение №1'!S506</f>
        <v>0</v>
      </c>
      <c r="U506" s="68">
        <f t="shared" si="211"/>
        <v>6044.3925554407033</v>
      </c>
      <c r="V506" s="68">
        <v>1192.2830200640001</v>
      </c>
      <c r="W506" s="80">
        <v>2024</v>
      </c>
      <c r="X506" s="29" t="e">
        <f>+#REF!-'[1]Приложение №1'!$P926</f>
        <v>#REF!</v>
      </c>
      <c r="Z506" s="31">
        <f>SUM(AA506:AO506)</f>
        <v>17771005.9203768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/>
      <c r="AG506" s="27">
        <v>0</v>
      </c>
      <c r="AH506" s="27">
        <v>0</v>
      </c>
      <c r="AI506" s="27">
        <v>0</v>
      </c>
      <c r="AJ506" s="27">
        <v>0</v>
      </c>
      <c r="AK506" s="27">
        <v>17217505.868378736</v>
      </c>
      <c r="AL506" s="27">
        <v>0</v>
      </c>
      <c r="AM506" s="1">
        <v>152988.07</v>
      </c>
      <c r="AN506" s="27">
        <v>24000</v>
      </c>
      <c r="AO506" s="33">
        <v>376511.98199806357</v>
      </c>
      <c r="AP506" s="84">
        <f>+N506-'Приложение №2'!E506</f>
        <v>0</v>
      </c>
      <c r="AQ506" s="1">
        <f>2257544.33-1308449.75</f>
        <v>949094.58000000007</v>
      </c>
      <c r="AR506" s="1">
        <f>+(K506*10+L506*20)*12*0.85</f>
        <v>472260</v>
      </c>
      <c r="AS506" s="1">
        <f>+(K506*10+L506*20)*12*30-948386.57</f>
        <v>15719613.43</v>
      </c>
      <c r="AT506" s="29">
        <f t="shared" si="191"/>
        <v>0</v>
      </c>
      <c r="AU506" s="29">
        <f>+P506-'[6]Приложение №1'!$P478</f>
        <v>0</v>
      </c>
      <c r="AV506" s="29">
        <f>+Q506-'[6]Приложение №1'!$Q478</f>
        <v>0</v>
      </c>
      <c r="AW506" s="29">
        <f>+R506-'[6]Приложение №1'!$R478</f>
        <v>0</v>
      </c>
      <c r="AX506" s="29">
        <f>+S506-'[6]Приложение №1'!$S478</f>
        <v>0</v>
      </c>
      <c r="AY506" s="29">
        <f>+T506-'[6]Приложение №1'!$T478</f>
        <v>0</v>
      </c>
    </row>
    <row r="507" spans="1:51" x14ac:dyDescent="0.25">
      <c r="A507" s="133">
        <f t="shared" si="203"/>
        <v>489</v>
      </c>
      <c r="B507" s="132">
        <f t="shared" si="201"/>
        <v>27</v>
      </c>
      <c r="C507" s="77" t="s">
        <v>545</v>
      </c>
      <c r="D507" s="77" t="s">
        <v>284</v>
      </c>
      <c r="E507" s="78">
        <v>1988</v>
      </c>
      <c r="F507" s="78">
        <v>2016</v>
      </c>
      <c r="G507" s="78" t="s">
        <v>547</v>
      </c>
      <c r="H507" s="78">
        <v>5</v>
      </c>
      <c r="I507" s="78">
        <v>2</v>
      </c>
      <c r="J507" s="44">
        <v>4465.5</v>
      </c>
      <c r="K507" s="44">
        <v>2945.85</v>
      </c>
      <c r="L507" s="44">
        <v>451.6</v>
      </c>
      <c r="M507" s="79">
        <v>169</v>
      </c>
      <c r="N507" s="129">
        <f t="shared" si="210"/>
        <v>16075963.844649071</v>
      </c>
      <c r="O507" s="44"/>
      <c r="P507" s="68">
        <v>3571794.2067385912</v>
      </c>
      <c r="Q507" s="68"/>
      <c r="R507" s="68">
        <f t="shared" si="207"/>
        <v>46238.970000000088</v>
      </c>
      <c r="S507" s="68">
        <f>+AS507</f>
        <v>10006846.59</v>
      </c>
      <c r="T507" s="68">
        <f>+'Приложение №2'!E507-'Приложение №1'!P507-'Приложение №1'!Q507-'Приложение №1'!R507-'Приложение №1'!S507</f>
        <v>2451084.0779104792</v>
      </c>
      <c r="U507" s="68">
        <f t="shared" si="211"/>
        <v>5457.1562858424804</v>
      </c>
      <c r="V507" s="68">
        <v>1193.2830200640001</v>
      </c>
      <c r="W507" s="80">
        <v>2024</v>
      </c>
      <c r="X507" s="29" t="e">
        <f>+#REF!-'[1]Приложение №1'!$P1285</f>
        <v>#REF!</v>
      </c>
      <c r="Z507" s="31">
        <f>SUM(AA507:AO507)</f>
        <v>40635058.08237657</v>
      </c>
      <c r="AA507" s="27">
        <v>7511049.4806612218</v>
      </c>
      <c r="AB507" s="27">
        <v>3214895.5638655713</v>
      </c>
      <c r="AC507" s="27">
        <v>0</v>
      </c>
      <c r="AD507" s="27">
        <v>3031175.8989669341</v>
      </c>
      <c r="AE507" s="27">
        <v>0</v>
      </c>
      <c r="AF507" s="27"/>
      <c r="AG507" s="27">
        <v>311848.52041429107</v>
      </c>
      <c r="AH507" s="27">
        <v>0</v>
      </c>
      <c r="AI507" s="27">
        <v>0</v>
      </c>
      <c r="AJ507" s="27">
        <v>5678337.1610445483</v>
      </c>
      <c r="AK507" s="27">
        <v>15731938.21837358</v>
      </c>
      <c r="AL507" s="27">
        <v>0</v>
      </c>
      <c r="AM507" s="27">
        <v>3973603.431119387</v>
      </c>
      <c r="AN507" s="32">
        <v>406350.58082376578</v>
      </c>
      <c r="AO507" s="33">
        <v>775859.22710727528</v>
      </c>
      <c r="AP507" s="84">
        <f>+N507-'Приложение №2'!E507</f>
        <v>0</v>
      </c>
      <c r="AQ507" s="29">
        <f>1790670.12-R31</f>
        <v>-346364.12999999989</v>
      </c>
      <c r="AR507" s="1">
        <f>+(K507*10+L507*20)*12*0.85</f>
        <v>392603.1</v>
      </c>
      <c r="AS507" s="1">
        <f>+(K507*10+L507*20)*12*30-S31</f>
        <v>10006846.59</v>
      </c>
      <c r="AT507" s="29">
        <f t="shared" si="191"/>
        <v>0</v>
      </c>
      <c r="AU507" s="29">
        <f>+P507-'[6]Приложение №1'!$P479</f>
        <v>0</v>
      </c>
      <c r="AV507" s="29">
        <f>+Q507-'[6]Приложение №1'!$Q479</f>
        <v>0</v>
      </c>
      <c r="AW507" s="29">
        <f>+R507-'[6]Приложение №1'!$R479</f>
        <v>0</v>
      </c>
      <c r="AX507" s="29">
        <f>+S507-'[6]Приложение №1'!$S479</f>
        <v>0</v>
      </c>
      <c r="AY507" s="29">
        <f>+T507-'[6]Приложение №1'!$T479</f>
        <v>0</v>
      </c>
    </row>
    <row r="508" spans="1:51" x14ac:dyDescent="0.25">
      <c r="A508" s="133">
        <f t="shared" si="203"/>
        <v>490</v>
      </c>
      <c r="B508" s="132">
        <f t="shared" si="201"/>
        <v>28</v>
      </c>
      <c r="C508" s="77" t="s">
        <v>545</v>
      </c>
      <c r="D508" s="77" t="s">
        <v>135</v>
      </c>
      <c r="E508" s="78">
        <v>1987</v>
      </c>
      <c r="F508" s="78">
        <v>2016</v>
      </c>
      <c r="G508" s="78" t="s">
        <v>547</v>
      </c>
      <c r="H508" s="78">
        <v>5</v>
      </c>
      <c r="I508" s="78">
        <v>2</v>
      </c>
      <c r="J508" s="44">
        <v>4414.46</v>
      </c>
      <c r="K508" s="44">
        <v>3063.3</v>
      </c>
      <c r="L508" s="44">
        <v>691.2</v>
      </c>
      <c r="M508" s="79">
        <v>189</v>
      </c>
      <c r="N508" s="129">
        <f t="shared" si="210"/>
        <v>4281809.6559070544</v>
      </c>
      <c r="O508" s="44"/>
      <c r="P508" s="68"/>
      <c r="Q508" s="68"/>
      <c r="R508" s="68"/>
      <c r="S508" s="68">
        <f>+'Приложение №2'!E508</f>
        <v>4281809.6559070544</v>
      </c>
      <c r="T508" s="68"/>
      <c r="U508" s="68">
        <f t="shared" si="211"/>
        <v>1397.7767949293423</v>
      </c>
      <c r="V508" s="68">
        <v>1194.2830200640001</v>
      </c>
      <c r="W508" s="80">
        <v>2024</v>
      </c>
      <c r="X508" s="29" t="e">
        <f>+#REF!-'[1]Приложение №1'!$P928</f>
        <v>#REF!</v>
      </c>
      <c r="Z508" s="31">
        <f>SUM(AA508:AO508)</f>
        <v>26328386.425327532</v>
      </c>
      <c r="AA508" s="27">
        <v>7372697.9505887339</v>
      </c>
      <c r="AB508" s="27">
        <v>0</v>
      </c>
      <c r="AC508" s="27">
        <v>0</v>
      </c>
      <c r="AD508" s="27">
        <v>0</v>
      </c>
      <c r="AE508" s="27">
        <v>0</v>
      </c>
      <c r="AF508" s="27"/>
      <c r="AG508" s="27">
        <v>306104.35376204841</v>
      </c>
      <c r="AH508" s="27">
        <v>0</v>
      </c>
      <c r="AI508" s="27">
        <v>0</v>
      </c>
      <c r="AJ508" s="27">
        <v>0</v>
      </c>
      <c r="AK508" s="27">
        <v>15442160.108254375</v>
      </c>
      <c r="AL508" s="27">
        <v>0</v>
      </c>
      <c r="AM508" s="27">
        <v>2438531.5283692107</v>
      </c>
      <c r="AN508" s="32">
        <v>263283.86425327533</v>
      </c>
      <c r="AO508" s="33">
        <v>505608.62009988801</v>
      </c>
      <c r="AP508" s="84">
        <f>+N508-'Приложение №2'!E508</f>
        <v>0</v>
      </c>
      <c r="AQ508" s="1">
        <f>2222014.06-1338393.95</f>
        <v>883620.1100000001</v>
      </c>
      <c r="AR508" s="1">
        <f>+(K508*10+L508*20)*12*0.85</f>
        <v>453461.39999999997</v>
      </c>
      <c r="AS508" s="1">
        <f>+(K508*10+L508*20)*12*30-994515.5</f>
        <v>15010004.5</v>
      </c>
      <c r="AT508" s="29">
        <f t="shared" si="191"/>
        <v>-10728194.844092946</v>
      </c>
      <c r="AU508" s="29">
        <f>+P508-'[6]Приложение №1'!$P480</f>
        <v>0</v>
      </c>
      <c r="AV508" s="29">
        <f>+Q508-'[6]Приложение №1'!$Q480</f>
        <v>0</v>
      </c>
      <c r="AW508" s="29">
        <f>+R508-'[6]Приложение №1'!$R480</f>
        <v>0</v>
      </c>
      <c r="AX508" s="29">
        <f>+S508-'[6]Приложение №1'!$S480</f>
        <v>0</v>
      </c>
      <c r="AY508" s="29">
        <f>+T508-'[6]Приложение №1'!$T480</f>
        <v>0</v>
      </c>
    </row>
    <row r="509" spans="1:51" x14ac:dyDescent="0.25">
      <c r="A509" s="133">
        <f t="shared" si="203"/>
        <v>491</v>
      </c>
      <c r="B509" s="132">
        <f t="shared" si="201"/>
        <v>29</v>
      </c>
      <c r="C509" s="77" t="s">
        <v>545</v>
      </c>
      <c r="D509" s="77" t="s">
        <v>285</v>
      </c>
      <c r="E509" s="78">
        <v>1988</v>
      </c>
      <c r="F509" s="78">
        <v>2016</v>
      </c>
      <c r="G509" s="78" t="s">
        <v>547</v>
      </c>
      <c r="H509" s="78">
        <v>5</v>
      </c>
      <c r="I509" s="78">
        <v>2</v>
      </c>
      <c r="J509" s="44">
        <v>4366.2</v>
      </c>
      <c r="K509" s="44">
        <v>3056.1</v>
      </c>
      <c r="L509" s="44">
        <v>725.4</v>
      </c>
      <c r="M509" s="79">
        <v>194</v>
      </c>
      <c r="N509" s="129">
        <f t="shared" si="210"/>
        <v>15863907.86463787</v>
      </c>
      <c r="O509" s="44"/>
      <c r="P509" s="68"/>
      <c r="Q509" s="68"/>
      <c r="R509" s="68">
        <f t="shared" ref="R509:R515" si="212">+AQ509+AR509</f>
        <v>2473160.92</v>
      </c>
      <c r="S509" s="68">
        <f>+'Приложение №2'!E509-'Приложение №1'!R509</f>
        <v>13390746.94463787</v>
      </c>
      <c r="T509" s="68">
        <v>4.6566128730773926E-10</v>
      </c>
      <c r="U509" s="68">
        <f t="shared" si="211"/>
        <v>5190.899468158068</v>
      </c>
      <c r="V509" s="68">
        <v>1195.2830200640001</v>
      </c>
      <c r="W509" s="80">
        <v>2024</v>
      </c>
      <c r="X509" s="29" t="e">
        <f>+#REF!-'[1]Приложение №1'!$P929</f>
        <v>#REF!</v>
      </c>
      <c r="Z509" s="31">
        <f>SUM(AA509:AO509)</f>
        <v>32902312.260541573</v>
      </c>
      <c r="AA509" s="27">
        <v>7411972.189002322</v>
      </c>
      <c r="AB509" s="27">
        <v>0</v>
      </c>
      <c r="AC509" s="27">
        <v>0</v>
      </c>
      <c r="AD509" s="27">
        <v>0</v>
      </c>
      <c r="AE509" s="27">
        <v>0</v>
      </c>
      <c r="AF509" s="27"/>
      <c r="AG509" s="27">
        <v>307734.96652411442</v>
      </c>
      <c r="AH509" s="27">
        <v>0</v>
      </c>
      <c r="AI509" s="27">
        <v>0</v>
      </c>
      <c r="AJ509" s="27">
        <v>5603434.9428537479</v>
      </c>
      <c r="AK509" s="27">
        <v>15524420.23633462</v>
      </c>
      <c r="AL509" s="27">
        <v>0</v>
      </c>
      <c r="AM509" s="27">
        <v>3094889.0411501252</v>
      </c>
      <c r="AN509" s="32">
        <v>329023.12260541564</v>
      </c>
      <c r="AO509" s="33">
        <v>630837.7620712209</v>
      </c>
      <c r="AP509" s="84">
        <f>+N509-'Приложение №2'!E509</f>
        <v>0</v>
      </c>
      <c r="AQ509" s="1">
        <v>2013457.12</v>
      </c>
      <c r="AR509" s="1">
        <f>+(K509*10+L509*20)*12*0.85</f>
        <v>459703.8</v>
      </c>
      <c r="AS509" s="1">
        <f>+(K509*10+L509*20)*12*30</f>
        <v>16224840</v>
      </c>
      <c r="AT509" s="29">
        <f t="shared" si="191"/>
        <v>-2834093.0553621296</v>
      </c>
      <c r="AU509" s="29">
        <f>+P509-'[6]Приложение №1'!$P481</f>
        <v>0</v>
      </c>
      <c r="AV509" s="29">
        <f>+Q509-'[6]Приложение №1'!$Q481</f>
        <v>0</v>
      </c>
      <c r="AW509" s="29">
        <f>+R509-'[6]Приложение №1'!$R481</f>
        <v>0</v>
      </c>
      <c r="AX509" s="29">
        <f>+S509-'[6]Приложение №1'!$S481</f>
        <v>0</v>
      </c>
      <c r="AY509" s="29">
        <f>+T509-'[6]Приложение №1'!$T481</f>
        <v>0</v>
      </c>
    </row>
    <row r="510" spans="1:51" x14ac:dyDescent="0.25">
      <c r="A510" s="133">
        <f t="shared" si="203"/>
        <v>492</v>
      </c>
      <c r="B510" s="132">
        <f t="shared" si="201"/>
        <v>30</v>
      </c>
      <c r="C510" s="77" t="s">
        <v>545</v>
      </c>
      <c r="D510" s="77" t="s">
        <v>654</v>
      </c>
      <c r="E510" s="78">
        <v>1985</v>
      </c>
      <c r="F510" s="78">
        <v>2009</v>
      </c>
      <c r="G510" s="78" t="s">
        <v>547</v>
      </c>
      <c r="H510" s="78">
        <v>9</v>
      </c>
      <c r="I510" s="78">
        <v>3</v>
      </c>
      <c r="J510" s="44">
        <v>8711.5</v>
      </c>
      <c r="K510" s="44">
        <v>6822.5</v>
      </c>
      <c r="L510" s="44">
        <v>438.1</v>
      </c>
      <c r="M510" s="79">
        <v>267</v>
      </c>
      <c r="N510" s="129">
        <f t="shared" si="210"/>
        <v>10774080</v>
      </c>
      <c r="O510" s="44"/>
      <c r="P510" s="68"/>
      <c r="Q510" s="68"/>
      <c r="R510" s="68">
        <f t="shared" si="212"/>
        <v>5277721.8474000003</v>
      </c>
      <c r="S510" s="68">
        <f>+'Приложение №2'!E510-'Приложение №1'!R510</f>
        <v>5496358.1525999997</v>
      </c>
      <c r="T510" s="68">
        <v>0</v>
      </c>
      <c r="U510" s="68">
        <f t="shared" si="211"/>
        <v>1579.1982411139611</v>
      </c>
      <c r="V510" s="68">
        <v>1196.2830200640001</v>
      </c>
      <c r="W510" s="80">
        <v>2024</v>
      </c>
      <c r="X510" s="29"/>
      <c r="Z510" s="31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32"/>
      <c r="AO510" s="33"/>
      <c r="AP510" s="84">
        <f>+N510-'Приложение №2'!E510</f>
        <v>0</v>
      </c>
      <c r="AQ510" s="1">
        <v>4252244.07</v>
      </c>
      <c r="AR510" s="1">
        <f>+(K510*13.29+L510*22.52)*12*0.85</f>
        <v>1025477.7773999999</v>
      </c>
      <c r="AS510" s="1">
        <f>+(K510*13.29+L510*22.52)*12*30</f>
        <v>36193333.32</v>
      </c>
      <c r="AT510" s="29">
        <f t="shared" si="191"/>
        <v>-30696975.167400002</v>
      </c>
      <c r="AU510" s="29">
        <f>+P510-'[6]Приложение №1'!$P482</f>
        <v>0</v>
      </c>
      <c r="AV510" s="29">
        <f>+Q510-'[6]Приложение №1'!$Q482</f>
        <v>0</v>
      </c>
      <c r="AW510" s="29">
        <f>+R510-'[6]Приложение №1'!$R482</f>
        <v>0</v>
      </c>
      <c r="AX510" s="29">
        <f>+S510-'[6]Приложение №1'!$S482</f>
        <v>0</v>
      </c>
      <c r="AY510" s="29">
        <f>+T510-'[6]Приложение №1'!$T482</f>
        <v>0</v>
      </c>
    </row>
    <row r="511" spans="1:51" x14ac:dyDescent="0.25">
      <c r="A511" s="133">
        <f t="shared" si="203"/>
        <v>493</v>
      </c>
      <c r="B511" s="132">
        <f t="shared" si="201"/>
        <v>31</v>
      </c>
      <c r="C511" s="77" t="s">
        <v>545</v>
      </c>
      <c r="D511" s="77" t="s">
        <v>141</v>
      </c>
      <c r="E511" s="78">
        <v>1981</v>
      </c>
      <c r="F511" s="78">
        <v>2016</v>
      </c>
      <c r="G511" s="78" t="s">
        <v>44</v>
      </c>
      <c r="H511" s="78">
        <v>4</v>
      </c>
      <c r="I511" s="78">
        <v>3</v>
      </c>
      <c r="J511" s="44">
        <v>3910.2</v>
      </c>
      <c r="K511" s="44">
        <v>2017.9</v>
      </c>
      <c r="L511" s="44">
        <v>997.9</v>
      </c>
      <c r="M511" s="79">
        <v>113</v>
      </c>
      <c r="N511" s="129">
        <f t="shared" si="210"/>
        <v>2789837.5587991653</v>
      </c>
      <c r="O511" s="44"/>
      <c r="P511" s="68">
        <v>749476.04747032025</v>
      </c>
      <c r="Q511" s="68"/>
      <c r="R511" s="68">
        <f t="shared" si="212"/>
        <v>557135.78</v>
      </c>
      <c r="S511" s="68">
        <f>+'Приложение №2'!E511-'Приложение №1'!P511-R511</f>
        <v>1483225.731328845</v>
      </c>
      <c r="T511" s="68">
        <v>0</v>
      </c>
      <c r="U511" s="68">
        <f t="shared" si="211"/>
        <v>1382.5450016349498</v>
      </c>
      <c r="V511" s="68">
        <v>1197.2830200640001</v>
      </c>
      <c r="W511" s="80">
        <v>2024</v>
      </c>
      <c r="X511" s="29" t="e">
        <f>+#REF!-'[1]Приложение №1'!$P1497</f>
        <v>#REF!</v>
      </c>
      <c r="Z511" s="31">
        <f t="shared" ref="Z511:Z522" si="213">SUM(AA511:AO511)</f>
        <v>33549604.466355495</v>
      </c>
      <c r="AA511" s="27">
        <v>9163753.0558547936</v>
      </c>
      <c r="AB511" s="27">
        <v>4716823.2</v>
      </c>
      <c r="AC511" s="27">
        <v>2695930.7316036122</v>
      </c>
      <c r="AD511" s="27">
        <v>0</v>
      </c>
      <c r="AE511" s="27">
        <v>0</v>
      </c>
      <c r="AF511" s="27"/>
      <c r="AG511" s="27">
        <v>295975.88879684091</v>
      </c>
      <c r="AH511" s="27">
        <v>0</v>
      </c>
      <c r="AI511" s="27">
        <v>13238455.132672109</v>
      </c>
      <c r="AJ511" s="27">
        <v>0</v>
      </c>
      <c r="AK511" s="27">
        <v>0</v>
      </c>
      <c r="AL511" s="27">
        <v>0</v>
      </c>
      <c r="AM511" s="27">
        <v>2552926.0485136751</v>
      </c>
      <c r="AN511" s="32">
        <v>295470.26754077495</v>
      </c>
      <c r="AO511" s="33">
        <v>590270.14137369313</v>
      </c>
      <c r="AP511" s="84">
        <f>+N511-'Приложение №2'!E511</f>
        <v>0</v>
      </c>
      <c r="AQ511" s="29">
        <f>954415.48-R33</f>
        <v>147738.38000000012</v>
      </c>
      <c r="AR511" s="1">
        <f>+(K511*10+L511*20)*12*0.85</f>
        <v>409397.39999999997</v>
      </c>
      <c r="AS511" s="1">
        <f>+(K511*10+L511*20)*12*30-S33</f>
        <v>4697779.103543859</v>
      </c>
      <c r="AT511" s="29">
        <f t="shared" si="191"/>
        <v>-3214553.372215014</v>
      </c>
      <c r="AU511" s="29">
        <f>+P511-'[6]Приложение №1'!$P483</f>
        <v>0</v>
      </c>
      <c r="AV511" s="29">
        <f>+Q511-'[6]Приложение №1'!$Q483</f>
        <v>0</v>
      </c>
      <c r="AW511" s="29">
        <f>+R511-'[6]Приложение №1'!$R483</f>
        <v>0</v>
      </c>
      <c r="AX511" s="29">
        <f>+S511-'[6]Приложение №1'!$S483</f>
        <v>0</v>
      </c>
      <c r="AY511" s="29">
        <f>+T511-'[6]Приложение №1'!$T483</f>
        <v>0</v>
      </c>
    </row>
    <row r="512" spans="1:51" x14ac:dyDescent="0.25">
      <c r="A512" s="133">
        <f t="shared" si="203"/>
        <v>494</v>
      </c>
      <c r="B512" s="132">
        <f t="shared" si="201"/>
        <v>32</v>
      </c>
      <c r="C512" s="77" t="s">
        <v>545</v>
      </c>
      <c r="D512" s="77" t="s">
        <v>142</v>
      </c>
      <c r="E512" s="78">
        <v>1992</v>
      </c>
      <c r="F512" s="78">
        <v>2012</v>
      </c>
      <c r="G512" s="78" t="s">
        <v>547</v>
      </c>
      <c r="H512" s="78">
        <v>9</v>
      </c>
      <c r="I512" s="78">
        <v>1</v>
      </c>
      <c r="J512" s="44">
        <v>2875.6</v>
      </c>
      <c r="K512" s="44">
        <v>2204.5</v>
      </c>
      <c r="L512" s="44">
        <v>292.8</v>
      </c>
      <c r="M512" s="79">
        <v>65</v>
      </c>
      <c r="N512" s="129">
        <f t="shared" si="210"/>
        <v>6261773.3525414057</v>
      </c>
      <c r="O512" s="44"/>
      <c r="P512" s="68"/>
      <c r="Q512" s="68"/>
      <c r="R512" s="68">
        <f t="shared" si="212"/>
        <v>1901281.1421999999</v>
      </c>
      <c r="S512" s="68">
        <f>+'Приложение №2'!E512-'Приложение №1'!R512</f>
        <v>4360492.2103414061</v>
      </c>
      <c r="T512" s="68">
        <v>2.3283064365386963E-10</v>
      </c>
      <c r="U512" s="68">
        <f t="shared" si="211"/>
        <v>2840.450602196147</v>
      </c>
      <c r="V512" s="68">
        <v>1198.2830200640001</v>
      </c>
      <c r="W512" s="80">
        <v>2024</v>
      </c>
      <c r="X512" s="29" t="e">
        <f>+#REF!-'[1]Приложение №1'!$P941</f>
        <v>#REF!</v>
      </c>
      <c r="Z512" s="31">
        <f t="shared" si="213"/>
        <v>8952042.0564937461</v>
      </c>
      <c r="AA512" s="27">
        <v>5934192.4713683669</v>
      </c>
      <c r="AB512" s="27">
        <v>0</v>
      </c>
      <c r="AC512" s="27">
        <v>1753610.8507606245</v>
      </c>
      <c r="AD512" s="27">
        <v>0</v>
      </c>
      <c r="AE512" s="27">
        <v>0</v>
      </c>
      <c r="AF512" s="27"/>
      <c r="AG512" s="27">
        <v>263647.88892809901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737188.29129658756</v>
      </c>
      <c r="AN512" s="32">
        <v>89520.420564937449</v>
      </c>
      <c r="AO512" s="33">
        <v>173882.1335751295</v>
      </c>
      <c r="AP512" s="84">
        <f>+N512-'Приложение №2'!E512</f>
        <v>0</v>
      </c>
      <c r="AQ512" s="1">
        <v>1535186.2</v>
      </c>
      <c r="AR512" s="1">
        <f>+(K512*13.29+L512*22.52)*12*0.85</f>
        <v>366094.94219999993</v>
      </c>
      <c r="AS512" s="1">
        <f>+(K512*13.29+L512*22.52)*12*30</f>
        <v>12920997.959999997</v>
      </c>
      <c r="AT512" s="29">
        <f t="shared" si="191"/>
        <v>-8560505.749658592</v>
      </c>
      <c r="AU512" s="29">
        <f>+P512-'[6]Приложение №1'!$P484</f>
        <v>0</v>
      </c>
      <c r="AV512" s="29">
        <f>+Q512-'[6]Приложение №1'!$Q484</f>
        <v>0</v>
      </c>
      <c r="AW512" s="29">
        <f>+R512-'[6]Приложение №1'!$R484</f>
        <v>0</v>
      </c>
      <c r="AX512" s="29">
        <f>+S512-'[6]Приложение №1'!$S484</f>
        <v>0</v>
      </c>
      <c r="AY512" s="29">
        <f>+T512-'[6]Приложение №1'!$T484</f>
        <v>0</v>
      </c>
    </row>
    <row r="513" spans="1:51" x14ac:dyDescent="0.25">
      <c r="A513" s="133">
        <f t="shared" si="203"/>
        <v>495</v>
      </c>
      <c r="B513" s="132">
        <f t="shared" si="201"/>
        <v>33</v>
      </c>
      <c r="C513" s="77" t="s">
        <v>545</v>
      </c>
      <c r="D513" s="77" t="s">
        <v>137</v>
      </c>
      <c r="E513" s="78">
        <v>1987</v>
      </c>
      <c r="F513" s="78">
        <v>2017</v>
      </c>
      <c r="G513" s="78" t="s">
        <v>547</v>
      </c>
      <c r="H513" s="78">
        <v>9</v>
      </c>
      <c r="I513" s="78">
        <v>5</v>
      </c>
      <c r="J513" s="44">
        <v>12266.2</v>
      </c>
      <c r="K513" s="44">
        <v>9496.7999999999993</v>
      </c>
      <c r="L513" s="44">
        <v>175.7</v>
      </c>
      <c r="M513" s="79">
        <v>406</v>
      </c>
      <c r="N513" s="129">
        <f t="shared" si="210"/>
        <v>24639934.329513032</v>
      </c>
      <c r="O513" s="44"/>
      <c r="P513" s="68"/>
      <c r="Q513" s="68"/>
      <c r="R513" s="68">
        <f t="shared" si="212"/>
        <v>6977187.2571999999</v>
      </c>
      <c r="S513" s="68">
        <f>+'Приложение №2'!E513-'Приложение №1'!R513</f>
        <v>17662747.072313033</v>
      </c>
      <c r="T513" s="68">
        <v>0</v>
      </c>
      <c r="U513" s="68">
        <f t="shared" si="211"/>
        <v>2594.5512519493968</v>
      </c>
      <c r="V513" s="68">
        <v>1199.2830200640001</v>
      </c>
      <c r="W513" s="80">
        <v>2024</v>
      </c>
      <c r="X513" s="29" t="e">
        <f>+#REF!-'[1]Приложение №1'!$P568</f>
        <v>#REF!</v>
      </c>
      <c r="Z513" s="31">
        <f t="shared" si="213"/>
        <v>34827835.576784134</v>
      </c>
      <c r="AA513" s="27">
        <v>23086920.098178856</v>
      </c>
      <c r="AB513" s="27">
        <v>0</v>
      </c>
      <c r="AC513" s="27">
        <v>6822406.5515479343</v>
      </c>
      <c r="AD513" s="27">
        <v>0</v>
      </c>
      <c r="AE513" s="27">
        <v>0</v>
      </c>
      <c r="AF513" s="27"/>
      <c r="AG513" s="27">
        <v>1025719.6366825957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2868024.1263817325</v>
      </c>
      <c r="AN513" s="32">
        <v>348278.35576784139</v>
      </c>
      <c r="AO513" s="33">
        <v>676486.80822517979</v>
      </c>
      <c r="AP513" s="84">
        <f>+N513-'Приложение №2'!E513</f>
        <v>0</v>
      </c>
      <c r="AQ513" s="1">
        <v>5649461.0499999998</v>
      </c>
      <c r="AR513" s="1">
        <f>+(K513*13.29+L513*22.52)*12*0.85</f>
        <v>1327726.2071999998</v>
      </c>
      <c r="AS513" s="1">
        <f>+(K513*13.29+L513*22.52)*12*30</f>
        <v>46860924.959999993</v>
      </c>
      <c r="AT513" s="29">
        <f t="shared" si="191"/>
        <v>-29198177.88768696</v>
      </c>
      <c r="AU513" s="29">
        <f>+P513-'[6]Приложение №1'!$P485</f>
        <v>0</v>
      </c>
      <c r="AV513" s="29">
        <f>+Q513-'[6]Приложение №1'!$Q485</f>
        <v>0</v>
      </c>
      <c r="AW513" s="29">
        <f>+R513-'[6]Приложение №1'!$R485</f>
        <v>0</v>
      </c>
      <c r="AX513" s="29">
        <f>+S513-'[6]Приложение №1'!$S485</f>
        <v>0</v>
      </c>
      <c r="AY513" s="29">
        <f>+T513-'[6]Приложение №1'!$T485</f>
        <v>0</v>
      </c>
    </row>
    <row r="514" spans="1:51" x14ac:dyDescent="0.25">
      <c r="A514" s="133">
        <f t="shared" si="203"/>
        <v>496</v>
      </c>
      <c r="B514" s="132">
        <f t="shared" si="201"/>
        <v>34</v>
      </c>
      <c r="C514" s="77" t="s">
        <v>545</v>
      </c>
      <c r="D514" s="77" t="s">
        <v>138</v>
      </c>
      <c r="E514" s="78">
        <v>1997</v>
      </c>
      <c r="F514" s="78">
        <v>1997</v>
      </c>
      <c r="G514" s="78" t="s">
        <v>547</v>
      </c>
      <c r="H514" s="78">
        <v>9</v>
      </c>
      <c r="I514" s="78">
        <v>1</v>
      </c>
      <c r="J514" s="44">
        <v>2892.9</v>
      </c>
      <c r="K514" s="44">
        <v>2475.6999999999998</v>
      </c>
      <c r="L514" s="44">
        <v>0</v>
      </c>
      <c r="M514" s="79">
        <v>81</v>
      </c>
      <c r="N514" s="129">
        <f t="shared" si="210"/>
        <v>13615505.81675427</v>
      </c>
      <c r="O514" s="44"/>
      <c r="P514" s="68">
        <f>+'Приложение №2'!E514-'Приложение №1'!R514-'Приложение №1'!S514</f>
        <v>0</v>
      </c>
      <c r="Q514" s="68"/>
      <c r="R514" s="68">
        <f t="shared" si="212"/>
        <v>1789671.8205999997</v>
      </c>
      <c r="S514" s="68">
        <f>+'Приложение №2'!E514-'Приложение №1'!R514</f>
        <v>11825833.996154271</v>
      </c>
      <c r="T514" s="68">
        <f>+'Приложение №2'!E514-'Приложение №1'!P514-'Приложение №1'!Q514-'Приложение №1'!R514-'Приложение №1'!S514</f>
        <v>0</v>
      </c>
      <c r="U514" s="68">
        <f t="shared" si="211"/>
        <v>5499.6590123012766</v>
      </c>
      <c r="V514" s="68">
        <v>1200.2830200640001</v>
      </c>
      <c r="W514" s="80">
        <v>2024</v>
      </c>
      <c r="X514" s="29" t="e">
        <f>+#REF!-'[1]Приложение №1'!$P1334</f>
        <v>#REF!</v>
      </c>
      <c r="Z514" s="31">
        <f t="shared" si="213"/>
        <v>15958327.596498143</v>
      </c>
      <c r="AA514" s="27">
        <v>5934192.4713683669</v>
      </c>
      <c r="AB514" s="27">
        <v>2374242.9576923214</v>
      </c>
      <c r="AC514" s="27">
        <v>1753610.8507606245</v>
      </c>
      <c r="AD514" s="27">
        <v>1120637.726412365</v>
      </c>
      <c r="AE514" s="27">
        <v>0</v>
      </c>
      <c r="AF514" s="27"/>
      <c r="AG514" s="27">
        <v>263647.88892809901</v>
      </c>
      <c r="AH514" s="27">
        <v>0</v>
      </c>
      <c r="AI514" s="27">
        <v>2597035.6702842941</v>
      </c>
      <c r="AJ514" s="27">
        <v>0</v>
      </c>
      <c r="AK514" s="27">
        <v>0</v>
      </c>
      <c r="AL514" s="27">
        <v>0</v>
      </c>
      <c r="AM514" s="27">
        <v>1448276.7490575134</v>
      </c>
      <c r="AN514" s="32">
        <v>159583.27596498144</v>
      </c>
      <c r="AO514" s="33">
        <v>307100.00602957892</v>
      </c>
      <c r="AP514" s="84">
        <f>+N514-'Приложение №2'!E514</f>
        <v>0</v>
      </c>
      <c r="AQ514" s="1">
        <v>1454070.88</v>
      </c>
      <c r="AR514" s="1">
        <f>+(K514*13.29+L514*22.52)*12*0.85</f>
        <v>335600.94059999991</v>
      </c>
      <c r="AS514" s="1">
        <f>+(K514*13.29+L514*22.52)*12*30</f>
        <v>11844739.079999998</v>
      </c>
      <c r="AT514" s="29">
        <f t="shared" si="191"/>
        <v>-18905.083845727146</v>
      </c>
      <c r="AU514" s="29">
        <f>+P514-'[6]Приложение №1'!$P486</f>
        <v>0</v>
      </c>
      <c r="AV514" s="29">
        <f>+Q514-'[6]Приложение №1'!$Q486</f>
        <v>0</v>
      </c>
      <c r="AW514" s="29">
        <f>+R514-'[6]Приложение №1'!$R486</f>
        <v>0</v>
      </c>
      <c r="AX514" s="29">
        <f>+S514-'[6]Приложение №1'!$S486</f>
        <v>0</v>
      </c>
      <c r="AY514" s="29">
        <f>+T514-'[6]Приложение №1'!$T486</f>
        <v>0</v>
      </c>
    </row>
    <row r="515" spans="1:51" x14ac:dyDescent="0.25">
      <c r="A515" s="133">
        <f t="shared" si="203"/>
        <v>497</v>
      </c>
      <c r="B515" s="132">
        <f t="shared" si="201"/>
        <v>35</v>
      </c>
      <c r="C515" s="77" t="s">
        <v>545</v>
      </c>
      <c r="D515" s="77" t="s">
        <v>140</v>
      </c>
      <c r="E515" s="78">
        <v>1987</v>
      </c>
      <c r="F515" s="78">
        <v>2016</v>
      </c>
      <c r="G515" s="78" t="s">
        <v>547</v>
      </c>
      <c r="H515" s="78">
        <v>5</v>
      </c>
      <c r="I515" s="78">
        <v>4</v>
      </c>
      <c r="J515" s="44">
        <v>5812.1</v>
      </c>
      <c r="K515" s="44">
        <v>4766.5</v>
      </c>
      <c r="L515" s="44">
        <v>87</v>
      </c>
      <c r="M515" s="79">
        <v>201</v>
      </c>
      <c r="N515" s="129">
        <f t="shared" si="210"/>
        <v>30335468.022675067</v>
      </c>
      <c r="O515" s="44"/>
      <c r="P515" s="68">
        <v>3288504.7317224042</v>
      </c>
      <c r="Q515" s="68"/>
      <c r="R515" s="68">
        <f t="shared" si="212"/>
        <v>2857758.32</v>
      </c>
      <c r="S515" s="68">
        <f>+AS515</f>
        <v>17785800</v>
      </c>
      <c r="T515" s="68">
        <f>+'Приложение №2'!E515-'Приложение №1'!P515-'Приложение №1'!R515-'Приложение №1'!S515</f>
        <v>6403404.9709526636</v>
      </c>
      <c r="U515" s="68">
        <f t="shared" si="211"/>
        <v>6364.3067287685026</v>
      </c>
      <c r="V515" s="68">
        <v>1201.2830200640001</v>
      </c>
      <c r="W515" s="80">
        <v>2024</v>
      </c>
      <c r="X515" s="29" t="e">
        <f>+#REF!-'[1]Приложение №1'!$P570</f>
        <v>#REF!</v>
      </c>
      <c r="Z515" s="31">
        <f t="shared" si="213"/>
        <v>8348211.4144000001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/>
      <c r="AG515" s="27">
        <v>0</v>
      </c>
      <c r="AH515" s="27">
        <v>0</v>
      </c>
      <c r="AI515" s="27">
        <v>0</v>
      </c>
      <c r="AJ515" s="27">
        <v>7270908.124217337</v>
      </c>
      <c r="AK515" s="27">
        <v>0</v>
      </c>
      <c r="AL515" s="27">
        <v>0</v>
      </c>
      <c r="AM515" s="27">
        <v>834821.14144000004</v>
      </c>
      <c r="AN515" s="32">
        <v>83482.114144000006</v>
      </c>
      <c r="AO515" s="33">
        <v>159000.0345986624</v>
      </c>
      <c r="AP515" s="84">
        <f>+N515-'Приложение №2'!E515</f>
        <v>0</v>
      </c>
      <c r="AQ515" s="1">
        <v>2353827.3199999998</v>
      </c>
      <c r="AR515" s="1">
        <f>+(K515*10+L515*20)*12*0.85</f>
        <v>503931</v>
      </c>
      <c r="AS515" s="1">
        <f>+(K515*10+L515*20)*12*30</f>
        <v>17785800</v>
      </c>
      <c r="AT515" s="29">
        <f t="shared" si="191"/>
        <v>0</v>
      </c>
      <c r="AU515" s="29">
        <f>+P515-'[6]Приложение №1'!$P487</f>
        <v>0</v>
      </c>
      <c r="AV515" s="29">
        <f>+Q515-'[6]Приложение №1'!$Q487</f>
        <v>0</v>
      </c>
      <c r="AW515" s="29">
        <f>+R515-'[6]Приложение №1'!$R487</f>
        <v>0</v>
      </c>
      <c r="AX515" s="29">
        <f>+S515-'[6]Приложение №1'!$S487</f>
        <v>0</v>
      </c>
      <c r="AY515" s="29">
        <f>+T515-'[6]Приложение №1'!$T487</f>
        <v>0</v>
      </c>
    </row>
    <row r="516" spans="1:51" x14ac:dyDescent="0.25">
      <c r="A516" s="133">
        <f t="shared" si="203"/>
        <v>498</v>
      </c>
      <c r="B516" s="132">
        <f t="shared" si="201"/>
        <v>36</v>
      </c>
      <c r="C516" s="77" t="s">
        <v>546</v>
      </c>
      <c r="D516" s="77" t="s">
        <v>635</v>
      </c>
      <c r="E516" s="78">
        <v>1991</v>
      </c>
      <c r="F516" s="78">
        <v>2007</v>
      </c>
      <c r="G516" s="78" t="s">
        <v>547</v>
      </c>
      <c r="H516" s="78">
        <v>9</v>
      </c>
      <c r="I516" s="78">
        <v>5</v>
      </c>
      <c r="J516" s="44">
        <v>17171.8</v>
      </c>
      <c r="K516" s="44">
        <v>14372.9</v>
      </c>
      <c r="L516" s="44">
        <v>1885.6</v>
      </c>
      <c r="M516" s="79">
        <v>500</v>
      </c>
      <c r="N516" s="129">
        <f t="shared" si="210"/>
        <v>17956800</v>
      </c>
      <c r="O516" s="44"/>
      <c r="P516" s="68">
        <f>+'Приложение №2'!E516-'Приложение №1'!R516</f>
        <v>7716317.4366000015</v>
      </c>
      <c r="Q516" s="68"/>
      <c r="R516" s="68">
        <v>10240482.563399998</v>
      </c>
      <c r="S516" s="81"/>
      <c r="T516" s="68"/>
      <c r="U516" s="68">
        <f t="shared" si="211"/>
        <v>1249.3512095680064</v>
      </c>
      <c r="V516" s="68">
        <v>1202.2830200640001</v>
      </c>
      <c r="W516" s="80">
        <v>2024</v>
      </c>
      <c r="X516" s="29" t="e">
        <f>+#REF!-'[1]Приложение №1'!$P174</f>
        <v>#REF!</v>
      </c>
      <c r="Z516" s="31">
        <f t="shared" si="213"/>
        <v>41065952.285400696</v>
      </c>
      <c r="AA516" s="27">
        <v>35121361.789660126</v>
      </c>
      <c r="AB516" s="27">
        <v>0</v>
      </c>
      <c r="AC516" s="27">
        <v>0</v>
      </c>
      <c r="AD516" s="27">
        <v>0</v>
      </c>
      <c r="AE516" s="27">
        <v>0</v>
      </c>
      <c r="AF516" s="27"/>
      <c r="AG516" s="27">
        <v>1560393.0841138863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3171382.2027939623</v>
      </c>
      <c r="AN516" s="32">
        <v>410659.52285400691</v>
      </c>
      <c r="AO516" s="33">
        <v>802155.68597870832</v>
      </c>
      <c r="AP516" s="84">
        <f>+N516-'Приложение №2'!E516</f>
        <v>0</v>
      </c>
      <c r="AR516" s="1">
        <f>+(K516*13.29+L516*22.52)*12*0.85</f>
        <v>2381491.4405999999</v>
      </c>
      <c r="AS516" s="1">
        <f>+(K516*13.29+L516*22.52)*12*30</f>
        <v>84052639.079999998</v>
      </c>
      <c r="AT516" s="29">
        <f t="shared" si="191"/>
        <v>-84052639.079999998</v>
      </c>
      <c r="AU516" s="29">
        <f>+P516-'[6]Приложение №1'!$P488</f>
        <v>0</v>
      </c>
      <c r="AV516" s="29">
        <f>+Q516-'[6]Приложение №1'!$Q488</f>
        <v>0</v>
      </c>
      <c r="AW516" s="29">
        <f>+R516-'[6]Приложение №1'!$R488</f>
        <v>0</v>
      </c>
      <c r="AX516" s="29">
        <f>+S516-'[6]Приложение №1'!$S488</f>
        <v>0</v>
      </c>
      <c r="AY516" s="29">
        <f>+T516-'[6]Приложение №1'!$T488</f>
        <v>0</v>
      </c>
    </row>
    <row r="517" spans="1:51" x14ac:dyDescent="0.25">
      <c r="A517" s="133">
        <f t="shared" si="203"/>
        <v>499</v>
      </c>
      <c r="B517" s="132">
        <f t="shared" si="201"/>
        <v>37</v>
      </c>
      <c r="C517" s="77" t="s">
        <v>546</v>
      </c>
      <c r="D517" s="77" t="s">
        <v>636</v>
      </c>
      <c r="E517" s="78">
        <v>1992</v>
      </c>
      <c r="F517" s="78">
        <v>2008</v>
      </c>
      <c r="G517" s="78" t="s">
        <v>547</v>
      </c>
      <c r="H517" s="78">
        <v>9</v>
      </c>
      <c r="I517" s="78">
        <v>5</v>
      </c>
      <c r="J517" s="44">
        <v>17240</v>
      </c>
      <c r="K517" s="44">
        <v>14691.6</v>
      </c>
      <c r="L517" s="44">
        <v>793.1</v>
      </c>
      <c r="M517" s="79">
        <v>518</v>
      </c>
      <c r="N517" s="129">
        <f t="shared" si="210"/>
        <v>17956800</v>
      </c>
      <c r="O517" s="44"/>
      <c r="P517" s="68">
        <f>207528.1202+6635786.94</f>
        <v>6843315.0602000002</v>
      </c>
      <c r="Q517" s="68"/>
      <c r="R517" s="68">
        <v>7749271.8798000002</v>
      </c>
      <c r="S517" s="81"/>
      <c r="T517" s="68">
        <f>+'Приложение №2'!E517-'Приложение №1'!P517-'Приложение №1'!R517</f>
        <v>3364213.0599999996</v>
      </c>
      <c r="U517" s="68">
        <f t="shared" si="211"/>
        <v>1222.249448664543</v>
      </c>
      <c r="V517" s="68">
        <v>1203.2830200640001</v>
      </c>
      <c r="W517" s="80">
        <v>2024</v>
      </c>
      <c r="X517" s="29" t="e">
        <f>+#REF!-'[1]Приложение №1'!$P175</f>
        <v>#REF!</v>
      </c>
      <c r="Z517" s="31">
        <f t="shared" si="213"/>
        <v>41205480.870442264</v>
      </c>
      <c r="AA517" s="27">
        <v>35240692.613433242</v>
      </c>
      <c r="AB517" s="27">
        <v>0</v>
      </c>
      <c r="AC517" s="27">
        <v>0</v>
      </c>
      <c r="AD517" s="27">
        <v>0</v>
      </c>
      <c r="AE517" s="27">
        <v>0</v>
      </c>
      <c r="AF517" s="27"/>
      <c r="AG517" s="27">
        <v>1565694.7860596243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3182157.5153523218</v>
      </c>
      <c r="AN517" s="32">
        <v>412054.80870442267</v>
      </c>
      <c r="AO517" s="33">
        <v>804881.14689265017</v>
      </c>
      <c r="AP517" s="84">
        <f>+N517-'Приложение №2'!E517</f>
        <v>0</v>
      </c>
      <c r="AQ517" s="1">
        <v>620</v>
      </c>
      <c r="AR517" s="1">
        <f>+(K517*13.29+L517*22.52)*12*0.85</f>
        <v>2173742.1551999999</v>
      </c>
      <c r="AS517" s="1">
        <f>+(K517*13.29+L517*22.52)*12*30</f>
        <v>76720311.359999999</v>
      </c>
      <c r="AT517" s="29">
        <f t="shared" si="191"/>
        <v>-76720311.359999999</v>
      </c>
      <c r="AU517" s="29">
        <f>+P517-'[6]Приложение №1'!$P489</f>
        <v>0</v>
      </c>
      <c r="AV517" s="29">
        <f>+Q517-'[6]Приложение №1'!$Q489</f>
        <v>0</v>
      </c>
      <c r="AW517" s="29">
        <f>+R517-'[6]Приложение №1'!$R489</f>
        <v>0</v>
      </c>
      <c r="AX517" s="29">
        <f>+S517-'[6]Приложение №1'!$S489</f>
        <v>0</v>
      </c>
      <c r="AY517" s="29">
        <f>+T517-'[6]Приложение №1'!$T489</f>
        <v>0</v>
      </c>
    </row>
    <row r="518" spans="1:51" x14ac:dyDescent="0.25">
      <c r="A518" s="133">
        <f t="shared" si="203"/>
        <v>500</v>
      </c>
      <c r="B518" s="132">
        <f t="shared" si="201"/>
        <v>38</v>
      </c>
      <c r="C518" s="77" t="s">
        <v>545</v>
      </c>
      <c r="D518" s="77" t="s">
        <v>61</v>
      </c>
      <c r="E518" s="78">
        <v>1990</v>
      </c>
      <c r="F518" s="78">
        <v>2017</v>
      </c>
      <c r="G518" s="78" t="s">
        <v>547</v>
      </c>
      <c r="H518" s="78">
        <v>9</v>
      </c>
      <c r="I518" s="78">
        <v>1</v>
      </c>
      <c r="J518" s="44">
        <v>3216.7</v>
      </c>
      <c r="K518" s="44">
        <v>2758.3</v>
      </c>
      <c r="L518" s="44">
        <v>0</v>
      </c>
      <c r="M518" s="79">
        <v>101</v>
      </c>
      <c r="N518" s="129">
        <f t="shared" si="210"/>
        <v>1275449.2849021249</v>
      </c>
      <c r="O518" s="44"/>
      <c r="P518" s="68"/>
      <c r="Q518" s="68"/>
      <c r="R518" s="68">
        <f>+AQ518+AR518</f>
        <v>1009698.5878754712</v>
      </c>
      <c r="S518" s="68">
        <f>+'Приложение №2'!E518-'Приложение №1'!R518</f>
        <v>265750.69702665368</v>
      </c>
      <c r="T518" s="68">
        <v>0</v>
      </c>
      <c r="U518" s="68">
        <f t="shared" si="211"/>
        <v>462.404120256</v>
      </c>
      <c r="V518" s="68">
        <v>1205.2830200640001</v>
      </c>
      <c r="W518" s="80">
        <v>2024</v>
      </c>
      <c r="X518" s="29" t="e">
        <f>+#REF!-'[1]Приложение №1'!$P1312</f>
        <v>#REF!</v>
      </c>
      <c r="Z518" s="31">
        <f t="shared" si="213"/>
        <v>15264572.541393431</v>
      </c>
      <c r="AA518" s="27">
        <v>8237660.7623945801</v>
      </c>
      <c r="AB518" s="27">
        <v>3295849.9656590605</v>
      </c>
      <c r="AC518" s="27">
        <v>0</v>
      </c>
      <c r="AD518" s="27">
        <v>1555634.312885293</v>
      </c>
      <c r="AE518" s="27">
        <v>0</v>
      </c>
      <c r="AF518" s="27"/>
      <c r="AG518" s="27">
        <v>365987.77006138454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1362557.5016525821</v>
      </c>
      <c r="AN518" s="32">
        <v>152645.7254139343</v>
      </c>
      <c r="AO518" s="33">
        <v>294236.50332659599</v>
      </c>
      <c r="AP518" s="84">
        <f>+N518-'Приложение №2'!E518</f>
        <v>0</v>
      </c>
      <c r="AQ518" s="29">
        <f>1661335.31-R235</f>
        <v>635788.95647547115</v>
      </c>
      <c r="AR518" s="1">
        <f>+(K518*13.29+L518*22.52)*12*0.85</f>
        <v>373909.63140000001</v>
      </c>
      <c r="AS518" s="1">
        <f>+(K518*13.29+L518*22.52)*12*30-S235</f>
        <v>13196810.52</v>
      </c>
      <c r="AT518" s="29">
        <f t="shared" si="191"/>
        <v>-12931059.822973346</v>
      </c>
      <c r="AU518" s="29">
        <f>+P518-'[6]Приложение №1'!$P490</f>
        <v>0</v>
      </c>
      <c r="AV518" s="29">
        <f>+Q518-'[6]Приложение №1'!$Q490</f>
        <v>0</v>
      </c>
      <c r="AW518" s="29">
        <f>+R518-'[6]Приложение №1'!$R490</f>
        <v>0</v>
      </c>
      <c r="AX518" s="29">
        <f>+S518-'[6]Приложение №1'!$S490</f>
        <v>0</v>
      </c>
      <c r="AY518" s="29">
        <f>+T518-'[6]Приложение №1'!$T490</f>
        <v>0</v>
      </c>
    </row>
    <row r="519" spans="1:51" x14ac:dyDescent="0.25">
      <c r="A519" s="133">
        <f t="shared" si="203"/>
        <v>501</v>
      </c>
      <c r="B519" s="132">
        <f t="shared" si="201"/>
        <v>39</v>
      </c>
      <c r="C519" s="77" t="s">
        <v>545</v>
      </c>
      <c r="D519" s="77" t="s">
        <v>293</v>
      </c>
      <c r="E519" s="78">
        <v>1988</v>
      </c>
      <c r="F519" s="78">
        <v>2016</v>
      </c>
      <c r="G519" s="78" t="s">
        <v>547</v>
      </c>
      <c r="H519" s="78">
        <v>5</v>
      </c>
      <c r="I519" s="78">
        <v>6</v>
      </c>
      <c r="J519" s="44">
        <v>5149.1000000000004</v>
      </c>
      <c r="K519" s="44">
        <v>4596.3999999999996</v>
      </c>
      <c r="L519" s="44">
        <v>0</v>
      </c>
      <c r="M519" s="79">
        <v>197</v>
      </c>
      <c r="N519" s="129">
        <f t="shared" si="210"/>
        <v>22487460.02870208</v>
      </c>
      <c r="O519" s="44"/>
      <c r="P519" s="68">
        <v>2733720.5987020801</v>
      </c>
      <c r="Q519" s="68"/>
      <c r="R519" s="68">
        <f>+AQ519+AR519</f>
        <v>2624004.63</v>
      </c>
      <c r="S519" s="68">
        <f>+AS519</f>
        <v>16547040</v>
      </c>
      <c r="T519" s="68">
        <f>+'Приложение №2'!E519-'Приложение №1'!P519-'Приложение №1'!Q519-'Приложение №1'!R519-'Приложение №1'!S519</f>
        <v>582694.80000000075</v>
      </c>
      <c r="U519" s="68">
        <f t="shared" si="211"/>
        <v>4892.4071074541125</v>
      </c>
      <c r="V519" s="68">
        <v>1206.2830200640001</v>
      </c>
      <c r="W519" s="80">
        <v>2024</v>
      </c>
      <c r="X519" s="29" t="e">
        <f>+#REF!-'[1]Приложение №1'!$P951</f>
        <v>#REF!</v>
      </c>
      <c r="Z519" s="31">
        <f t="shared" si="213"/>
        <v>22653297.02870208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/>
      <c r="AG519" s="27">
        <v>0</v>
      </c>
      <c r="AH519" s="27">
        <v>0</v>
      </c>
      <c r="AI519" s="27">
        <v>0</v>
      </c>
      <c r="AJ519" s="27">
        <v>0</v>
      </c>
      <c r="AK519" s="27">
        <v>22006228.384087857</v>
      </c>
      <c r="AL519" s="27">
        <v>0</v>
      </c>
      <c r="AM519" s="27">
        <v>141837</v>
      </c>
      <c r="AN519" s="27">
        <v>24000</v>
      </c>
      <c r="AO519" s="33">
        <v>481231.6446142245</v>
      </c>
      <c r="AP519" s="84">
        <f>+N519-'Приложение №2'!E519</f>
        <v>0</v>
      </c>
      <c r="AQ519" s="1">
        <v>2155171.83</v>
      </c>
      <c r="AR519" s="1">
        <f>+(K519*10+L519*20)*12*0.85</f>
        <v>468832.8</v>
      </c>
      <c r="AS519" s="1">
        <f>+(K519*10+L519*20)*12*30</f>
        <v>16547040</v>
      </c>
      <c r="AT519" s="29">
        <f t="shared" si="191"/>
        <v>0</v>
      </c>
      <c r="AU519" s="29">
        <f>+P519-'[6]Приложение №1'!$P491</f>
        <v>0</v>
      </c>
      <c r="AV519" s="29">
        <f>+Q519-'[6]Приложение №1'!$Q491</f>
        <v>0</v>
      </c>
      <c r="AW519" s="29">
        <f>+R519-'[6]Приложение №1'!$R491</f>
        <v>0</v>
      </c>
      <c r="AX519" s="29">
        <f>+S519-'[6]Приложение №1'!$S491</f>
        <v>0</v>
      </c>
      <c r="AY519" s="29">
        <f>+T519-'[6]Приложение №1'!$T491</f>
        <v>0</v>
      </c>
    </row>
    <row r="520" spans="1:51" x14ac:dyDescent="0.25">
      <c r="A520" s="133">
        <f t="shared" si="203"/>
        <v>502</v>
      </c>
      <c r="B520" s="132">
        <f t="shared" si="201"/>
        <v>40</v>
      </c>
      <c r="C520" s="77" t="s">
        <v>545</v>
      </c>
      <c r="D520" s="77" t="s">
        <v>294</v>
      </c>
      <c r="E520" s="78">
        <v>1994</v>
      </c>
      <c r="F520" s="78">
        <v>2017</v>
      </c>
      <c r="G520" s="78" t="s">
        <v>547</v>
      </c>
      <c r="H520" s="78">
        <v>10</v>
      </c>
      <c r="I520" s="78">
        <v>1</v>
      </c>
      <c r="J520" s="44">
        <v>3265.2</v>
      </c>
      <c r="K520" s="44">
        <v>2810.5</v>
      </c>
      <c r="L520" s="44">
        <v>0</v>
      </c>
      <c r="M520" s="79">
        <v>90</v>
      </c>
      <c r="N520" s="129">
        <f t="shared" si="210"/>
        <v>3419863.41420834</v>
      </c>
      <c r="O520" s="44"/>
      <c r="P520" s="68"/>
      <c r="Q520" s="68"/>
      <c r="R520" s="68">
        <f>+AQ520+AR520</f>
        <v>2103623.1689999998</v>
      </c>
      <c r="S520" s="68">
        <f>+'Приложение №2'!E520-'Приложение №1'!R520</f>
        <v>1316240.2452083402</v>
      </c>
      <c r="T520" s="68">
        <v>0</v>
      </c>
      <c r="U520" s="68">
        <f t="shared" si="211"/>
        <v>1216.8167280584735</v>
      </c>
      <c r="V520" s="68">
        <v>1207.2830200640001</v>
      </c>
      <c r="W520" s="80">
        <v>2024</v>
      </c>
      <c r="X520" s="29" t="e">
        <f>+#REF!-'[1]Приложение №1'!$P954</f>
        <v>#REF!</v>
      </c>
      <c r="Z520" s="31">
        <f t="shared" si="213"/>
        <v>3340785.3491203776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/>
      <c r="AG520" s="27">
        <v>0</v>
      </c>
      <c r="AH520" s="27">
        <v>0</v>
      </c>
      <c r="AI520" s="27">
        <v>2942363.2883842816</v>
      </c>
      <c r="AJ520" s="27">
        <v>0</v>
      </c>
      <c r="AK520" s="27">
        <v>0</v>
      </c>
      <c r="AL520" s="27">
        <v>0</v>
      </c>
      <c r="AM520" s="27">
        <v>300670.68142083398</v>
      </c>
      <c r="AN520" s="32">
        <v>33407.853491203779</v>
      </c>
      <c r="AO520" s="33">
        <v>64343.525824058474</v>
      </c>
      <c r="AP520" s="84">
        <f>+N520-'Приложение №2'!E520</f>
        <v>0</v>
      </c>
      <c r="AQ520" s="1">
        <v>1722637.41</v>
      </c>
      <c r="AR520" s="1">
        <f>+(K520*13.29+L520*22.52)*12*0.85</f>
        <v>380985.75899999996</v>
      </c>
      <c r="AS520" s="1">
        <f>+(K520*13.29+L520*22.52)*12*30</f>
        <v>13446556.199999999</v>
      </c>
      <c r="AT520" s="29">
        <f t="shared" si="191"/>
        <v>-12130315.954791659</v>
      </c>
      <c r="AU520" s="29">
        <f>+P520-'[6]Приложение №1'!$P492</f>
        <v>0</v>
      </c>
      <c r="AV520" s="29">
        <f>+Q520-'[6]Приложение №1'!$Q492</f>
        <v>0</v>
      </c>
      <c r="AW520" s="29">
        <f>+R520-'[6]Приложение №1'!$R492</f>
        <v>0</v>
      </c>
      <c r="AX520" s="29">
        <f>+S520-'[6]Приложение №1'!$S492</f>
        <v>0</v>
      </c>
      <c r="AY520" s="29">
        <f>+T520-'[6]Приложение №1'!$T492</f>
        <v>0</v>
      </c>
    </row>
    <row r="521" spans="1:51" x14ac:dyDescent="0.25">
      <c r="A521" s="133">
        <f t="shared" si="203"/>
        <v>503</v>
      </c>
      <c r="B521" s="132">
        <f t="shared" si="201"/>
        <v>41</v>
      </c>
      <c r="C521" s="77" t="s">
        <v>545</v>
      </c>
      <c r="D521" s="77" t="s">
        <v>295</v>
      </c>
      <c r="E521" s="78">
        <v>1989</v>
      </c>
      <c r="F521" s="78">
        <v>2017</v>
      </c>
      <c r="G521" s="78" t="s">
        <v>547</v>
      </c>
      <c r="H521" s="78">
        <v>10</v>
      </c>
      <c r="I521" s="78">
        <v>1</v>
      </c>
      <c r="J521" s="44">
        <v>3562.9</v>
      </c>
      <c r="K521" s="44">
        <v>3068</v>
      </c>
      <c r="L521" s="44">
        <v>0</v>
      </c>
      <c r="M521" s="79">
        <v>120</v>
      </c>
      <c r="N521" s="129">
        <f t="shared" si="210"/>
        <v>11503201.959506918</v>
      </c>
      <c r="O521" s="44"/>
      <c r="P521" s="68"/>
      <c r="Q521" s="68"/>
      <c r="R521" s="68">
        <f>+AQ521+AR521</f>
        <v>2214546.784</v>
      </c>
      <c r="S521" s="68">
        <f>+'Приложение №2'!E521-'Приложение №1'!R521</f>
        <v>9288655.1755069178</v>
      </c>
      <c r="T521" s="68">
        <v>0</v>
      </c>
      <c r="U521" s="68">
        <f t="shared" si="211"/>
        <v>3749.4139372577961</v>
      </c>
      <c r="V521" s="68">
        <v>1208.2830200640001</v>
      </c>
      <c r="W521" s="80">
        <v>2024</v>
      </c>
      <c r="X521" s="29" t="e">
        <f>+#REF!-'[1]Приложение №1'!$P955</f>
        <v>#REF!</v>
      </c>
      <c r="Z521" s="31">
        <f t="shared" si="213"/>
        <v>21469720.476183783</v>
      </c>
      <c r="AA521" s="27">
        <v>7342919.2042241972</v>
      </c>
      <c r="AB521" s="27">
        <v>2937868.0070875632</v>
      </c>
      <c r="AC521" s="27">
        <v>0</v>
      </c>
      <c r="AD521" s="27">
        <v>0</v>
      </c>
      <c r="AE521" s="27">
        <v>0</v>
      </c>
      <c r="AF521" s="27"/>
      <c r="AG521" s="27">
        <v>326235.65145619493</v>
      </c>
      <c r="AH521" s="27">
        <v>0</v>
      </c>
      <c r="AI521" s="27">
        <v>3213549.8114351672</v>
      </c>
      <c r="AJ521" s="27">
        <v>5105615.6190507403</v>
      </c>
      <c r="AK521" s="27">
        <v>0</v>
      </c>
      <c r="AL521" s="27">
        <v>0</v>
      </c>
      <c r="AM521" s="27">
        <v>1914957.5722048364</v>
      </c>
      <c r="AN521" s="32">
        <v>214697.20476183784</v>
      </c>
      <c r="AO521" s="33">
        <v>413877.40596324624</v>
      </c>
      <c r="AP521" s="84">
        <f>+N521-'Приложение №2'!E521</f>
        <v>0</v>
      </c>
      <c r="AQ521" s="1">
        <v>1798654.84</v>
      </c>
      <c r="AR521" s="1">
        <f>+(K521*13.29+L521*22.52)*12*0.85</f>
        <v>415891.9439999999</v>
      </c>
      <c r="AS521" s="1">
        <f>+(K521*13.29+L521*22.52)*12*30</f>
        <v>14678539.199999997</v>
      </c>
      <c r="AT521" s="29">
        <f t="shared" si="191"/>
        <v>-5389884.0244930796</v>
      </c>
      <c r="AU521" s="29">
        <f>+P521-'[6]Приложение №1'!$P493</f>
        <v>0</v>
      </c>
      <c r="AV521" s="29">
        <f>+Q521-'[6]Приложение №1'!$Q493</f>
        <v>0</v>
      </c>
      <c r="AW521" s="29">
        <f>+R521-'[6]Приложение №1'!$R493</f>
        <v>0</v>
      </c>
      <c r="AX521" s="29">
        <f>+S521-'[6]Приложение №1'!$S493</f>
        <v>0</v>
      </c>
      <c r="AY521" s="29">
        <f>+T521-'[6]Приложение №1'!$T493</f>
        <v>0</v>
      </c>
    </row>
    <row r="522" spans="1:51" x14ac:dyDescent="0.25">
      <c r="A522" s="133">
        <f t="shared" si="203"/>
        <v>504</v>
      </c>
      <c r="B522" s="132">
        <f t="shared" si="201"/>
        <v>42</v>
      </c>
      <c r="C522" s="77" t="s">
        <v>545</v>
      </c>
      <c r="D522" s="77" t="s">
        <v>143</v>
      </c>
      <c r="E522" s="78">
        <v>1989</v>
      </c>
      <c r="F522" s="78">
        <v>2016</v>
      </c>
      <c r="G522" s="78" t="s">
        <v>547</v>
      </c>
      <c r="H522" s="78">
        <v>5</v>
      </c>
      <c r="I522" s="78">
        <v>4</v>
      </c>
      <c r="J522" s="44">
        <v>5827.1</v>
      </c>
      <c r="K522" s="44">
        <v>4877.5</v>
      </c>
      <c r="L522" s="44">
        <v>0</v>
      </c>
      <c r="M522" s="79">
        <v>218</v>
      </c>
      <c r="N522" s="129">
        <f t="shared" si="210"/>
        <v>18513063.03403087</v>
      </c>
      <c r="O522" s="44"/>
      <c r="P522" s="68"/>
      <c r="Q522" s="68"/>
      <c r="R522" s="68">
        <f>+AQ522+AR522</f>
        <v>2791378.78</v>
      </c>
      <c r="S522" s="68">
        <f>+'Приложение №2'!E522-'Приложение №1'!R522</f>
        <v>15721684.25403087</v>
      </c>
      <c r="T522" s="68">
        <v>0</v>
      </c>
      <c r="U522" s="68">
        <f t="shared" si="211"/>
        <v>3795.6049275306755</v>
      </c>
      <c r="V522" s="68">
        <v>1209.2830200640001</v>
      </c>
      <c r="W522" s="80">
        <v>2024</v>
      </c>
      <c r="X522" s="29" t="e">
        <f>+#REF!-'[1]Приложение №1'!$P573</f>
        <v>#REF!</v>
      </c>
      <c r="Z522" s="31">
        <f t="shared" si="213"/>
        <v>20671116.862985976</v>
      </c>
      <c r="AA522" s="27">
        <v>9672123.3663251549</v>
      </c>
      <c r="AB522" s="27">
        <v>4139883.059433911</v>
      </c>
      <c r="AC522" s="27">
        <v>0</v>
      </c>
      <c r="AD522" s="27">
        <v>3903303.7014767192</v>
      </c>
      <c r="AE522" s="27">
        <v>0</v>
      </c>
      <c r="AF522" s="27"/>
      <c r="AG522" s="27">
        <v>401573.35786682391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1951342.6603252462</v>
      </c>
      <c r="AN522" s="32">
        <v>206711.16862985978</v>
      </c>
      <c r="AO522" s="33">
        <v>396179.54892826063</v>
      </c>
      <c r="AP522" s="84">
        <f>+N522-'Приложение №2'!E522</f>
        <v>0</v>
      </c>
      <c r="AQ522" s="1">
        <v>2293873.7799999998</v>
      </c>
      <c r="AR522" s="1">
        <f>+(K522*10+L522*20)*12*0.85</f>
        <v>497505</v>
      </c>
      <c r="AS522" s="1">
        <f>+(K522*10+L522*20)*12*30</f>
        <v>17559000</v>
      </c>
      <c r="AT522" s="29">
        <f t="shared" si="191"/>
        <v>-1837315.7459691297</v>
      </c>
      <c r="AU522" s="29">
        <f>+P522-'[6]Приложение №1'!$P494</f>
        <v>0</v>
      </c>
      <c r="AV522" s="29">
        <f>+Q522-'[6]Приложение №1'!$Q494</f>
        <v>0</v>
      </c>
      <c r="AW522" s="29">
        <f>+R522-'[6]Приложение №1'!$R494</f>
        <v>0</v>
      </c>
      <c r="AX522" s="29">
        <f>+S522-'[6]Приложение №1'!$S494</f>
        <v>0</v>
      </c>
      <c r="AY522" s="29">
        <f>+T522-'[6]Приложение №1'!$T494</f>
        <v>0</v>
      </c>
    </row>
    <row r="523" spans="1:51" x14ac:dyDescent="0.25">
      <c r="A523" s="133">
        <f t="shared" si="203"/>
        <v>505</v>
      </c>
      <c r="B523" s="132">
        <f t="shared" si="201"/>
        <v>43</v>
      </c>
      <c r="C523" s="77" t="s">
        <v>545</v>
      </c>
      <c r="D523" s="77" t="s">
        <v>695</v>
      </c>
      <c r="E523" s="78">
        <v>1994</v>
      </c>
      <c r="F523" s="78">
        <v>1994</v>
      </c>
      <c r="G523" s="78" t="s">
        <v>547</v>
      </c>
      <c r="H523" s="78">
        <v>10</v>
      </c>
      <c r="I523" s="78">
        <v>1</v>
      </c>
      <c r="J523" s="44">
        <v>4860.7</v>
      </c>
      <c r="K523" s="44">
        <v>4172.3999999999996</v>
      </c>
      <c r="L523" s="44">
        <v>0</v>
      </c>
      <c r="M523" s="79">
        <v>162</v>
      </c>
      <c r="N523" s="129">
        <f t="shared" si="210"/>
        <v>3591360</v>
      </c>
      <c r="O523" s="44"/>
      <c r="P523" s="68"/>
      <c r="Q523" s="68"/>
      <c r="R523" s="68">
        <v>2136734.9907999998</v>
      </c>
      <c r="S523" s="81"/>
      <c r="T523" s="68">
        <f>+'Приложение №2'!E523-'Приложение №1'!R523</f>
        <v>1454625.0092000002</v>
      </c>
      <c r="U523" s="68">
        <f t="shared" si="211"/>
        <v>860.74201898188096</v>
      </c>
      <c r="V523" s="68">
        <v>1210.2830200640001</v>
      </c>
      <c r="W523" s="80">
        <v>2024</v>
      </c>
      <c r="X523" s="29"/>
      <c r="Z523" s="31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32"/>
      <c r="AO523" s="33"/>
      <c r="AP523" s="84">
        <f>+N523-'Приложение №2'!E523</f>
        <v>0</v>
      </c>
      <c r="AR523" s="1">
        <f>+(K523*13.29+L523*22.52)*12*0.85</f>
        <v>565602.1991999998</v>
      </c>
      <c r="AS523" s="1">
        <f>+(K523*13.29+L523*22.52)*12*30</f>
        <v>19962430.559999995</v>
      </c>
      <c r="AT523" s="29">
        <f t="shared" si="191"/>
        <v>-19962430.559999995</v>
      </c>
      <c r="AU523" s="29">
        <f>+P523-'[6]Приложение №1'!$P495</f>
        <v>0</v>
      </c>
      <c r="AV523" s="29">
        <f>+Q523-'[6]Приложение №1'!$Q495</f>
        <v>0</v>
      </c>
      <c r="AW523" s="29">
        <f>+R523-'[6]Приложение №1'!$R495</f>
        <v>0</v>
      </c>
      <c r="AX523" s="29">
        <f>+S523-'[6]Приложение №1'!$S495</f>
        <v>0</v>
      </c>
      <c r="AY523" s="29">
        <f>+T523-'[6]Приложение №1'!$T495</f>
        <v>0</v>
      </c>
    </row>
    <row r="524" spans="1:51" x14ac:dyDescent="0.25">
      <c r="A524" s="133">
        <f t="shared" si="203"/>
        <v>506</v>
      </c>
      <c r="B524" s="132">
        <f t="shared" si="201"/>
        <v>44</v>
      </c>
      <c r="C524" s="77" t="s">
        <v>545</v>
      </c>
      <c r="D524" s="77" t="s">
        <v>63</v>
      </c>
      <c r="E524" s="78">
        <v>1994</v>
      </c>
      <c r="F524" s="78">
        <v>1994</v>
      </c>
      <c r="G524" s="78" t="s">
        <v>547</v>
      </c>
      <c r="H524" s="78">
        <v>10</v>
      </c>
      <c r="I524" s="78">
        <v>1</v>
      </c>
      <c r="J524" s="44">
        <v>3200.9</v>
      </c>
      <c r="K524" s="44">
        <v>2751.2</v>
      </c>
      <c r="L524" s="44">
        <v>0</v>
      </c>
      <c r="M524" s="79">
        <v>107</v>
      </c>
      <c r="N524" s="129">
        <f t="shared" si="210"/>
        <v>14159244.434273491</v>
      </c>
      <c r="O524" s="44"/>
      <c r="P524" s="68">
        <v>1140762.2226702368</v>
      </c>
      <c r="Q524" s="68"/>
      <c r="R524" s="68">
        <f>+AQ524+AR524</f>
        <v>1819924.9996</v>
      </c>
      <c r="S524" s="68">
        <f>+'Приложение №2'!E524-'Приложение №1'!P524-'Приложение №1'!Q524-'Приложение №1'!R524</f>
        <v>11198557.212003253</v>
      </c>
      <c r="T524" s="68"/>
      <c r="U524" s="68">
        <f t="shared" si="211"/>
        <v>5146.5703817510512</v>
      </c>
      <c r="V524" s="68">
        <v>1211.2830200640001</v>
      </c>
      <c r="W524" s="80">
        <v>2024</v>
      </c>
      <c r="X524" s="29" t="e">
        <f>+#REF!-'[1]Приложение №1'!$P957</f>
        <v>#REF!</v>
      </c>
      <c r="Z524" s="31">
        <f t="shared" ref="Z524:Z533" si="214">SUM(AA524:AO524)</f>
        <v>19454250.558480944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/>
      <c r="AG524" s="27">
        <v>0</v>
      </c>
      <c r="AH524" s="27">
        <v>0</v>
      </c>
      <c r="AI524" s="27">
        <v>0</v>
      </c>
      <c r="AJ524" s="27">
        <v>0</v>
      </c>
      <c r="AK524" s="27">
        <v>18910849.804207452</v>
      </c>
      <c r="AL524" s="27">
        <v>0</v>
      </c>
      <c r="AM524" s="27">
        <v>105858.77</v>
      </c>
      <c r="AN524" s="27">
        <v>24000</v>
      </c>
      <c r="AO524" s="33">
        <v>413541.98427349224</v>
      </c>
      <c r="AP524" s="84">
        <f>+N524-'Приложение №2'!E524</f>
        <v>0</v>
      </c>
      <c r="AQ524" s="1">
        <f>1634745.79-187767.96</f>
        <v>1446977.83</v>
      </c>
      <c r="AR524" s="1">
        <f>+(K524*13.29+L524*22.52)*12*0.85</f>
        <v>372947.16959999991</v>
      </c>
      <c r="AS524" s="1">
        <f>+(K524*13.29+L524*22.52)*12*30-105832.49</f>
        <v>13057008.789999997</v>
      </c>
      <c r="AT524" s="29">
        <f t="shared" si="191"/>
        <v>-1858451.5779967438</v>
      </c>
      <c r="AU524" s="29">
        <f>+P524-'[6]Приложение №1'!$P496</f>
        <v>0</v>
      </c>
      <c r="AV524" s="29">
        <f>+Q524-'[6]Приложение №1'!$Q496</f>
        <v>0</v>
      </c>
      <c r="AW524" s="29">
        <f>+R524-'[6]Приложение №1'!$R496</f>
        <v>0</v>
      </c>
      <c r="AX524" s="29">
        <f>+S524-'[6]Приложение №1'!$S496</f>
        <v>0</v>
      </c>
      <c r="AY524" s="29">
        <f>+T524-'[6]Приложение №1'!$T496</f>
        <v>0</v>
      </c>
    </row>
    <row r="525" spans="1:51" x14ac:dyDescent="0.25">
      <c r="A525" s="133">
        <f t="shared" si="203"/>
        <v>507</v>
      </c>
      <c r="B525" s="132">
        <f t="shared" si="201"/>
        <v>45</v>
      </c>
      <c r="C525" s="77" t="s">
        <v>545</v>
      </c>
      <c r="D525" s="77" t="s">
        <v>296</v>
      </c>
      <c r="E525" s="78">
        <v>1995</v>
      </c>
      <c r="F525" s="78">
        <v>2010</v>
      </c>
      <c r="G525" s="78" t="s">
        <v>51</v>
      </c>
      <c r="H525" s="78">
        <v>9</v>
      </c>
      <c r="I525" s="78">
        <v>1</v>
      </c>
      <c r="J525" s="44">
        <v>2996.5</v>
      </c>
      <c r="K525" s="44">
        <v>2550.1</v>
      </c>
      <c r="L525" s="44">
        <v>76.599999999999994</v>
      </c>
      <c r="M525" s="79">
        <v>83</v>
      </c>
      <c r="N525" s="129">
        <f t="shared" si="210"/>
        <v>28151375.461213589</v>
      </c>
      <c r="O525" s="44"/>
      <c r="P525" s="68">
        <v>3090162.8634445257</v>
      </c>
      <c r="Q525" s="68"/>
      <c r="R525" s="68">
        <f>+AQ525+AR525</f>
        <v>437725.94620000006</v>
      </c>
      <c r="S525" s="68">
        <f>+AS525</f>
        <v>12322887.476784125</v>
      </c>
      <c r="T525" s="68">
        <f>+'Приложение №2'!E525-'Приложение №1'!P525-'Приложение №1'!R525-'Приложение №1'!S525</f>
        <v>12300599.17478494</v>
      </c>
      <c r="U525" s="68">
        <f t="shared" si="211"/>
        <v>11039.322168234026</v>
      </c>
      <c r="V525" s="68">
        <v>1212.2830200640001</v>
      </c>
      <c r="W525" s="80">
        <v>2024</v>
      </c>
      <c r="X525" s="29" t="e">
        <f>+#REF!-'[1]Приложение №1'!$P1320</f>
        <v>#REF!</v>
      </c>
      <c r="Z525" s="31">
        <f t="shared" si="214"/>
        <v>13446173.905525668</v>
      </c>
      <c r="AA525" s="27">
        <v>6133316.7977849664</v>
      </c>
      <c r="AB525" s="27">
        <v>2453911.6795918704</v>
      </c>
      <c r="AC525" s="27">
        <v>1812454.0010526525</v>
      </c>
      <c r="AD525" s="27">
        <v>1158241.1970624225</v>
      </c>
      <c r="AE525" s="27">
        <v>0</v>
      </c>
      <c r="AF525" s="27"/>
      <c r="AG525" s="27">
        <v>272494.70482550462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1222586.4968225325</v>
      </c>
      <c r="AN525" s="32">
        <v>134461.73905525671</v>
      </c>
      <c r="AO525" s="33">
        <v>258707.28933046467</v>
      </c>
      <c r="AP525" s="84">
        <f>+N525-'Приложение №2'!E525</f>
        <v>0</v>
      </c>
      <c r="AQ525" s="29">
        <f>1427710.38-R237</f>
        <v>74444.164000000106</v>
      </c>
      <c r="AR525" s="1">
        <f>+(K525*13.29+L525*22.52)*12*0.85</f>
        <v>363281.78219999996</v>
      </c>
      <c r="AS525" s="1">
        <f>+(K525*13.29+L525*22.52)*12*30-S237</f>
        <v>12322887.476784125</v>
      </c>
      <c r="AT525" s="29">
        <f t="shared" si="191"/>
        <v>0</v>
      </c>
      <c r="AU525" s="29">
        <f>+P525-'[6]Приложение №1'!$P497</f>
        <v>0</v>
      </c>
      <c r="AV525" s="29">
        <f>+Q525-'[6]Приложение №1'!$Q497</f>
        <v>0</v>
      </c>
      <c r="AW525" s="29">
        <f>+R525-'[6]Приложение №1'!$R497</f>
        <v>0</v>
      </c>
      <c r="AX525" s="29">
        <f>+S525-'[6]Приложение №1'!$S497</f>
        <v>0</v>
      </c>
      <c r="AY525" s="29">
        <f>+T525-'[6]Приложение №1'!$T497</f>
        <v>0</v>
      </c>
    </row>
    <row r="526" spans="1:51" x14ac:dyDescent="0.25">
      <c r="A526" s="133">
        <f t="shared" si="203"/>
        <v>508</v>
      </c>
      <c r="B526" s="132">
        <f t="shared" si="201"/>
        <v>46</v>
      </c>
      <c r="C526" s="77" t="s">
        <v>545</v>
      </c>
      <c r="D526" s="77" t="s">
        <v>145</v>
      </c>
      <c r="E526" s="78">
        <v>1994</v>
      </c>
      <c r="F526" s="78">
        <v>1994</v>
      </c>
      <c r="G526" s="78" t="s">
        <v>547</v>
      </c>
      <c r="H526" s="78">
        <v>10</v>
      </c>
      <c r="I526" s="78">
        <v>1</v>
      </c>
      <c r="J526" s="44">
        <v>3166.2</v>
      </c>
      <c r="K526" s="44">
        <v>2444.1</v>
      </c>
      <c r="L526" s="44">
        <v>336.1</v>
      </c>
      <c r="M526" s="79">
        <v>81</v>
      </c>
      <c r="N526" s="129">
        <f t="shared" si="210"/>
        <v>7069135.474907618</v>
      </c>
      <c r="O526" s="44"/>
      <c r="P526" s="68"/>
      <c r="Q526" s="68"/>
      <c r="R526" s="68">
        <f>+AQ526+AR526</f>
        <v>739592.79219999991</v>
      </c>
      <c r="S526" s="68">
        <f>+'Приложение №2'!E526-'Приложение №1'!R526</f>
        <v>6329542.682707618</v>
      </c>
      <c r="T526" s="68">
        <v>0</v>
      </c>
      <c r="U526" s="68">
        <f t="shared" si="211"/>
        <v>2892.3266130304073</v>
      </c>
      <c r="V526" s="68">
        <v>1213.2830200640001</v>
      </c>
      <c r="W526" s="80">
        <v>2024</v>
      </c>
      <c r="X526" s="29" t="e">
        <f>+#REF!-'[1]Приложение №1'!$P576</f>
        <v>#REF!</v>
      </c>
      <c r="Z526" s="31">
        <f t="shared" si="214"/>
        <v>9992018.8381021637</v>
      </c>
      <c r="AA526" s="27">
        <v>6623579.5797926262</v>
      </c>
      <c r="AB526" s="27">
        <v>0</v>
      </c>
      <c r="AC526" s="27">
        <v>1957331.3602554079</v>
      </c>
      <c r="AD526" s="27">
        <v>0</v>
      </c>
      <c r="AE526" s="27">
        <v>0</v>
      </c>
      <c r="AF526" s="27"/>
      <c r="AG526" s="27">
        <v>294276.39595196897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822828.94197537948</v>
      </c>
      <c r="AN526" s="32">
        <v>99920.188381021639</v>
      </c>
      <c r="AO526" s="33">
        <v>194082.37174575933</v>
      </c>
      <c r="AP526" s="84">
        <f>+N526-'Приложение №2'!E526</f>
        <v>0</v>
      </c>
      <c r="AQ526" s="1">
        <f>1768426.79-363720.72-1073634.1</f>
        <v>331071.96999999997</v>
      </c>
      <c r="AR526" s="1">
        <f>+(K526*13.29+L526*22.52)*12*0.85</f>
        <v>408520.82219999994</v>
      </c>
      <c r="AS526" s="1">
        <f>+(K526*13.29+L526*22.52)*12*30-166487.48-2093121.55</f>
        <v>12158772.929999998</v>
      </c>
      <c r="AT526" s="29">
        <f t="shared" si="191"/>
        <v>-5829230.2472923798</v>
      </c>
      <c r="AU526" s="29">
        <f>+P526-'[6]Приложение №1'!$P498</f>
        <v>0</v>
      </c>
      <c r="AV526" s="29">
        <f>+Q526-'[6]Приложение №1'!$Q498</f>
        <v>0</v>
      </c>
      <c r="AW526" s="29">
        <f>+R526-'[6]Приложение №1'!$R498</f>
        <v>0</v>
      </c>
      <c r="AX526" s="29">
        <f>+S526-'[6]Приложение №1'!$S498</f>
        <v>0</v>
      </c>
      <c r="AY526" s="29">
        <f>+T526-'[6]Приложение №1'!$T498</f>
        <v>0</v>
      </c>
    </row>
    <row r="527" spans="1:51" x14ac:dyDescent="0.25">
      <c r="A527" s="133">
        <f t="shared" si="203"/>
        <v>509</v>
      </c>
      <c r="B527" s="132">
        <f t="shared" si="201"/>
        <v>47</v>
      </c>
      <c r="C527" s="77" t="s">
        <v>545</v>
      </c>
      <c r="D527" s="77" t="s">
        <v>64</v>
      </c>
      <c r="E527" s="78">
        <v>1990</v>
      </c>
      <c r="F527" s="78">
        <v>1990</v>
      </c>
      <c r="G527" s="78" t="s">
        <v>547</v>
      </c>
      <c r="H527" s="78">
        <v>5</v>
      </c>
      <c r="I527" s="78">
        <v>8</v>
      </c>
      <c r="J527" s="44">
        <v>7467.3</v>
      </c>
      <c r="K527" s="44">
        <v>6603.4</v>
      </c>
      <c r="L527" s="44">
        <v>0</v>
      </c>
      <c r="M527" s="79">
        <v>290</v>
      </c>
      <c r="N527" s="129">
        <f t="shared" si="210"/>
        <v>5116420.3570661396</v>
      </c>
      <c r="O527" s="44"/>
      <c r="P527" s="68">
        <v>1268562.6795129601</v>
      </c>
      <c r="Q527" s="68"/>
      <c r="R527" s="68">
        <f>+AR527</f>
        <v>673546.79999999993</v>
      </c>
      <c r="S527" s="68">
        <f>+'Приложение №2'!E527-'Приложение №1'!P527-R527</f>
        <v>3174310.8775531789</v>
      </c>
      <c r="T527" s="68">
        <f>+'Приложение №2'!E527-'Приложение №1'!P527-'Приложение №1'!Q527-'Приложение №1'!R527-'Приложение №1'!S527</f>
        <v>0</v>
      </c>
      <c r="U527" s="68">
        <f t="shared" si="211"/>
        <v>774.81605794986524</v>
      </c>
      <c r="V527" s="68">
        <v>1214.2830200640001</v>
      </c>
      <c r="W527" s="80">
        <v>2024</v>
      </c>
      <c r="X527" s="29" t="e">
        <f>+#REF!-'[1]Приложение №1'!$P367</f>
        <v>#REF!</v>
      </c>
      <c r="Z527" s="31">
        <f t="shared" si="214"/>
        <v>55317447.938477099</v>
      </c>
      <c r="AA527" s="27">
        <v>0</v>
      </c>
      <c r="AB527" s="27">
        <v>0</v>
      </c>
      <c r="AC527" s="27">
        <v>5006928.9614249235</v>
      </c>
      <c r="AD527" s="27">
        <v>0</v>
      </c>
      <c r="AE527" s="27">
        <v>0</v>
      </c>
      <c r="AF527" s="27"/>
      <c r="AG527" s="27">
        <v>0</v>
      </c>
      <c r="AH527" s="27">
        <v>0</v>
      </c>
      <c r="AI527" s="27">
        <v>0</v>
      </c>
      <c r="AJ527" s="27">
        <v>0</v>
      </c>
      <c r="AK527" s="27">
        <v>43172023.590383455</v>
      </c>
      <c r="AL527" s="27">
        <v>0</v>
      </c>
      <c r="AM527" s="27">
        <v>5531744.793847709</v>
      </c>
      <c r="AN527" s="32">
        <v>553174.47938477097</v>
      </c>
      <c r="AO527" s="33">
        <v>1053576.1134362346</v>
      </c>
      <c r="AP527" s="84">
        <f>+N527-'Приложение №2'!E527</f>
        <v>0</v>
      </c>
      <c r="AQ527" s="29">
        <f>3256134.06-R43</f>
        <v>-511728.9700000002</v>
      </c>
      <c r="AR527" s="1">
        <f>+(K527*10+L527*20)*12*0.85</f>
        <v>673546.79999999993</v>
      </c>
      <c r="AS527" s="1">
        <f>+(K527*10+L527*20)*12*30-S43</f>
        <v>15691729.54274359</v>
      </c>
      <c r="AT527" s="29">
        <f t="shared" si="191"/>
        <v>-12517418.66519041</v>
      </c>
      <c r="AU527" s="29">
        <f>+P527-'[6]Приложение №1'!$P499</f>
        <v>0</v>
      </c>
      <c r="AV527" s="29">
        <f>+Q527-'[6]Приложение №1'!$Q499</f>
        <v>0</v>
      </c>
      <c r="AW527" s="29">
        <f>+R527-'[6]Приложение №1'!$R499</f>
        <v>0</v>
      </c>
      <c r="AX527" s="29">
        <f>+S527-'[6]Приложение №1'!$S499</f>
        <v>0</v>
      </c>
      <c r="AY527" s="29">
        <f>+T527-'[6]Приложение №1'!$T499</f>
        <v>0</v>
      </c>
    </row>
    <row r="528" spans="1:51" x14ac:dyDescent="0.25">
      <c r="A528" s="133">
        <f t="shared" si="203"/>
        <v>510</v>
      </c>
      <c r="B528" s="132">
        <f t="shared" si="201"/>
        <v>48</v>
      </c>
      <c r="C528" s="77" t="s">
        <v>546</v>
      </c>
      <c r="D528" s="77" t="s">
        <v>637</v>
      </c>
      <c r="E528" s="78">
        <v>1994</v>
      </c>
      <c r="F528" s="78">
        <v>2005</v>
      </c>
      <c r="G528" s="78" t="s">
        <v>547</v>
      </c>
      <c r="H528" s="78">
        <v>10</v>
      </c>
      <c r="I528" s="78">
        <v>1</v>
      </c>
      <c r="J528" s="44">
        <v>3221.8</v>
      </c>
      <c r="K528" s="44">
        <v>2772.9</v>
      </c>
      <c r="L528" s="44">
        <v>0</v>
      </c>
      <c r="M528" s="79">
        <v>100</v>
      </c>
      <c r="N528" s="129">
        <f t="shared" si="210"/>
        <v>3591360</v>
      </c>
      <c r="O528" s="44"/>
      <c r="P528" s="68">
        <f>+'Приложение №2'!E528-'Приложение №1'!R528</f>
        <v>1908022.4918</v>
      </c>
      <c r="Q528" s="68"/>
      <c r="R528" s="68">
        <v>1683337.5082</v>
      </c>
      <c r="S528" s="68">
        <f>+AS528</f>
        <v>0</v>
      </c>
      <c r="T528" s="68">
        <f>+'Приложение №2'!E528-'Приложение №1'!R528-P528</f>
        <v>0</v>
      </c>
      <c r="U528" s="68">
        <f t="shared" si="211"/>
        <v>1295.1639078221356</v>
      </c>
      <c r="V528" s="68">
        <v>1215.2830200640001</v>
      </c>
      <c r="W528" s="80">
        <v>2024</v>
      </c>
      <c r="X528" s="29" t="e">
        <f>+#REF!-'[1]Приложение №1'!$P187</f>
        <v>#REF!</v>
      </c>
      <c r="Z528" s="31">
        <f t="shared" si="214"/>
        <v>12312273.314337611</v>
      </c>
      <c r="AA528" s="27">
        <v>6644426.5309337154</v>
      </c>
      <c r="AB528" s="27">
        <v>2658404.3195578591</v>
      </c>
      <c r="AC528" s="27">
        <v>0</v>
      </c>
      <c r="AD528" s="27">
        <v>1254761.2968176242</v>
      </c>
      <c r="AE528" s="27">
        <v>0</v>
      </c>
      <c r="AF528" s="27"/>
      <c r="AG528" s="27">
        <v>295202.59689429664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1099027.196559557</v>
      </c>
      <c r="AN528" s="32">
        <v>123122.73314337611</v>
      </c>
      <c r="AO528" s="33">
        <v>237328.64043118211</v>
      </c>
      <c r="AP528" s="84">
        <f>+N528-'Приложение №2'!E528</f>
        <v>0</v>
      </c>
      <c r="AR528" s="1">
        <f>+(K528*13.29+L528*22.52)*12*0.85</f>
        <v>375888.7782</v>
      </c>
      <c r="AT528" s="29">
        <f t="shared" si="191"/>
        <v>0</v>
      </c>
      <c r="AU528" s="29">
        <f>+P528-'[6]Приложение №1'!$P500</f>
        <v>0</v>
      </c>
      <c r="AV528" s="29">
        <f>+Q528-'[6]Приложение №1'!$Q500</f>
        <v>0</v>
      </c>
      <c r="AW528" s="29">
        <f>+R528-'[6]Приложение №1'!$R500</f>
        <v>0</v>
      </c>
      <c r="AX528" s="29">
        <f>+S528-'[6]Приложение №1'!$S500</f>
        <v>0</v>
      </c>
      <c r="AY528" s="29">
        <f>+T528-'[6]Приложение №1'!$T500</f>
        <v>0</v>
      </c>
    </row>
    <row r="529" spans="1:51" x14ac:dyDescent="0.25">
      <c r="A529" s="133">
        <f t="shared" si="203"/>
        <v>511</v>
      </c>
      <c r="B529" s="132">
        <f t="shared" si="201"/>
        <v>49</v>
      </c>
      <c r="C529" s="77" t="s">
        <v>545</v>
      </c>
      <c r="D529" s="77" t="s">
        <v>146</v>
      </c>
      <c r="E529" s="78">
        <v>1985</v>
      </c>
      <c r="F529" s="78">
        <v>2009</v>
      </c>
      <c r="G529" s="78" t="s">
        <v>547</v>
      </c>
      <c r="H529" s="78">
        <v>5</v>
      </c>
      <c r="I529" s="78">
        <v>4</v>
      </c>
      <c r="J529" s="44">
        <v>5739.1</v>
      </c>
      <c r="K529" s="44">
        <v>4751.1000000000004</v>
      </c>
      <c r="L529" s="44">
        <v>96</v>
      </c>
      <c r="M529" s="79">
        <v>191</v>
      </c>
      <c r="N529" s="129">
        <f t="shared" si="210"/>
        <v>3723951.8689671173</v>
      </c>
      <c r="O529" s="44"/>
      <c r="P529" s="68"/>
      <c r="Q529" s="68"/>
      <c r="R529" s="68">
        <f>+AQ529+AR529</f>
        <v>2103716.6800000002</v>
      </c>
      <c r="S529" s="68">
        <f>+'Приложение №2'!E529-'Приложение №1'!R529</f>
        <v>1620235.1889671171</v>
      </c>
      <c r="T529" s="68">
        <v>0</v>
      </c>
      <c r="U529" s="68">
        <f t="shared" si="211"/>
        <v>783.80835363749804</v>
      </c>
      <c r="V529" s="68">
        <v>1216.2830200640001</v>
      </c>
      <c r="W529" s="80">
        <v>2024</v>
      </c>
      <c r="X529" s="29">
        <f>+S529-'[1]Приложение №1'!$P579</f>
        <v>-2563980.3941420033</v>
      </c>
      <c r="Z529" s="31">
        <f t="shared" si="214"/>
        <v>4184215.5831091204</v>
      </c>
      <c r="AA529" s="27">
        <v>0</v>
      </c>
      <c r="AB529" s="27">
        <v>0</v>
      </c>
      <c r="AC529" s="27">
        <v>3644259.2989712209</v>
      </c>
      <c r="AD529" s="27">
        <v>0</v>
      </c>
      <c r="AE529" s="27">
        <v>0</v>
      </c>
      <c r="AF529" s="27"/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418421.55831091205</v>
      </c>
      <c r="AN529" s="32">
        <v>41842.155831091208</v>
      </c>
      <c r="AO529" s="33">
        <v>79692.569995896309</v>
      </c>
      <c r="AP529" s="84">
        <f>+N529-'Приложение №2'!E529</f>
        <v>0</v>
      </c>
      <c r="AQ529" s="1">
        <f>2310305.52-710785.04</f>
        <v>1599520.48</v>
      </c>
      <c r="AR529" s="1">
        <f>+(K529*10+L529*20)*12*0.85</f>
        <v>504196.2</v>
      </c>
      <c r="AS529" s="1">
        <f>+(K529*10+L529*20)*12*30-979982.96</f>
        <v>16815177.039999999</v>
      </c>
      <c r="AT529" s="29">
        <f t="shared" si="191"/>
        <v>-15194941.851032883</v>
      </c>
      <c r="AU529" s="29">
        <f>+P529-'[6]Приложение №1'!$P501</f>
        <v>0</v>
      </c>
      <c r="AV529" s="29">
        <f>+Q529-'[6]Приложение №1'!$Q501</f>
        <v>0</v>
      </c>
      <c r="AW529" s="29">
        <f>+R529-'[6]Приложение №1'!$R501</f>
        <v>0</v>
      </c>
      <c r="AX529" s="29">
        <f>+S529-'[6]Приложение №1'!$S501</f>
        <v>0</v>
      </c>
      <c r="AY529" s="29">
        <f>+T529-'[6]Приложение №1'!$T501</f>
        <v>0</v>
      </c>
    </row>
    <row r="530" spans="1:51" x14ac:dyDescent="0.25">
      <c r="A530" s="133">
        <f t="shared" si="203"/>
        <v>512</v>
      </c>
      <c r="B530" s="132">
        <f t="shared" si="201"/>
        <v>50</v>
      </c>
      <c r="C530" s="77" t="s">
        <v>545</v>
      </c>
      <c r="D530" s="77" t="s">
        <v>147</v>
      </c>
      <c r="E530" s="78">
        <v>1986</v>
      </c>
      <c r="F530" s="78">
        <v>2016</v>
      </c>
      <c r="G530" s="78" t="s">
        <v>547</v>
      </c>
      <c r="H530" s="78">
        <v>5</v>
      </c>
      <c r="I530" s="78">
        <v>3</v>
      </c>
      <c r="J530" s="44">
        <v>4418.7</v>
      </c>
      <c r="K530" s="44">
        <v>3551.6</v>
      </c>
      <c r="L530" s="44">
        <v>167.4</v>
      </c>
      <c r="M530" s="79">
        <v>164</v>
      </c>
      <c r="N530" s="129">
        <f t="shared" si="210"/>
        <v>5704539.4663399998</v>
      </c>
      <c r="O530" s="44"/>
      <c r="P530" s="68"/>
      <c r="Q530" s="68"/>
      <c r="R530" s="68">
        <f>+AQ530+AR530</f>
        <v>2110631.09</v>
      </c>
      <c r="S530" s="68">
        <f>+'Приложение №2'!E530-'Приложение №1'!R530</f>
        <v>3593908.37634</v>
      </c>
      <c r="T530" s="68">
        <v>0</v>
      </c>
      <c r="U530" s="68">
        <f t="shared" si="211"/>
        <v>1606.1886097364568</v>
      </c>
      <c r="V530" s="68">
        <v>1217.2830200640001</v>
      </c>
      <c r="W530" s="80">
        <v>2024</v>
      </c>
      <c r="X530" s="29" t="e">
        <f>+#REF!-'[1]Приложение №1'!$P580</f>
        <v>#REF!</v>
      </c>
      <c r="Z530" s="31">
        <f t="shared" si="214"/>
        <v>6409594.9059999995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/>
      <c r="AG530" s="27">
        <v>0</v>
      </c>
      <c r="AH530" s="27">
        <v>0</v>
      </c>
      <c r="AI530" s="27">
        <v>0</v>
      </c>
      <c r="AJ530" s="27">
        <v>5582462.3217603238</v>
      </c>
      <c r="AK530" s="27">
        <v>0</v>
      </c>
      <c r="AL530" s="27">
        <v>0</v>
      </c>
      <c r="AM530" s="27">
        <v>640959.49060000002</v>
      </c>
      <c r="AN530" s="32">
        <v>64095.949059999999</v>
      </c>
      <c r="AO530" s="33">
        <v>122077.14457967599</v>
      </c>
      <c r="AP530" s="84">
        <f>+N530-'Приложение №2'!E530</f>
        <v>0</v>
      </c>
      <c r="AQ530" s="1">
        <v>1714218.29</v>
      </c>
      <c r="AR530" s="1">
        <f>+(K530*10+L530*20)*12*0.85</f>
        <v>396412.8</v>
      </c>
      <c r="AS530" s="1">
        <f>+(K530*10+L530*20)*12*30</f>
        <v>13991040</v>
      </c>
      <c r="AT530" s="29">
        <f t="shared" si="191"/>
        <v>-10397131.62366</v>
      </c>
      <c r="AU530" s="29">
        <f>+P530-'[6]Приложение №1'!$P502</f>
        <v>0</v>
      </c>
      <c r="AV530" s="29">
        <f>+Q530-'[6]Приложение №1'!$Q502</f>
        <v>0</v>
      </c>
      <c r="AW530" s="29">
        <f>+R530-'[6]Приложение №1'!$R502</f>
        <v>0</v>
      </c>
      <c r="AX530" s="29">
        <f>+S530-'[6]Приложение №1'!$S502</f>
        <v>0</v>
      </c>
      <c r="AY530" s="29">
        <f>+T530-'[6]Приложение №1'!$T502</f>
        <v>0</v>
      </c>
    </row>
    <row r="531" spans="1:51" x14ac:dyDescent="0.25">
      <c r="A531" s="133">
        <f t="shared" si="203"/>
        <v>513</v>
      </c>
      <c r="B531" s="132">
        <f t="shared" si="201"/>
        <v>51</v>
      </c>
      <c r="C531" s="77" t="s">
        <v>545</v>
      </c>
      <c r="D531" s="77" t="s">
        <v>148</v>
      </c>
      <c r="E531" s="78">
        <v>1985</v>
      </c>
      <c r="F531" s="78">
        <v>2015</v>
      </c>
      <c r="G531" s="78" t="s">
        <v>44</v>
      </c>
      <c r="H531" s="78">
        <v>5</v>
      </c>
      <c r="I531" s="78">
        <v>3</v>
      </c>
      <c r="J531" s="44">
        <v>6741.3</v>
      </c>
      <c r="K531" s="44">
        <v>3901.9</v>
      </c>
      <c r="L531" s="44">
        <v>698.1</v>
      </c>
      <c r="M531" s="79">
        <v>305</v>
      </c>
      <c r="N531" s="129">
        <f t="shared" si="210"/>
        <v>7558612.3204800002</v>
      </c>
      <c r="O531" s="44"/>
      <c r="P531" s="68"/>
      <c r="Q531" s="68"/>
      <c r="R531" s="68">
        <f>+AQ531+AR531</f>
        <v>2116179.3499999996</v>
      </c>
      <c r="S531" s="68">
        <f>+'Приложение №2'!E531-'Приложение №1'!R531</f>
        <v>5442432.9704800006</v>
      </c>
      <c r="T531" s="68">
        <v>4.6566128730773926E-10</v>
      </c>
      <c r="U531" s="68">
        <f t="shared" si="211"/>
        <v>1937.1619776211589</v>
      </c>
      <c r="V531" s="68">
        <v>1218.2830200640001</v>
      </c>
      <c r="W531" s="80">
        <v>2024</v>
      </c>
      <c r="X531" s="29" t="e">
        <f>+#REF!-'[1]Приложение №1'!$P583</f>
        <v>#REF!</v>
      </c>
      <c r="Z531" s="31">
        <f t="shared" si="214"/>
        <v>8492822.8320000004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/>
      <c r="AG531" s="27">
        <v>0</v>
      </c>
      <c r="AH531" s="27">
        <v>0</v>
      </c>
      <c r="AI531" s="27">
        <v>0</v>
      </c>
      <c r="AJ531" s="27">
        <v>7396858.0168217281</v>
      </c>
      <c r="AK531" s="27">
        <v>0</v>
      </c>
      <c r="AL531" s="27">
        <v>0</v>
      </c>
      <c r="AM531" s="27">
        <v>849282.28320000006</v>
      </c>
      <c r="AN531" s="32">
        <v>84928.228320000009</v>
      </c>
      <c r="AO531" s="33">
        <v>161754.30365827202</v>
      </c>
      <c r="AP531" s="84">
        <f>+N531-'Приложение №2'!E531</f>
        <v>0</v>
      </c>
      <c r="AQ531" s="1">
        <f>2328144.32-752371.17</f>
        <v>1575773.15</v>
      </c>
      <c r="AR531" s="1">
        <f>+(K531*10+L531*20)*12*0.85</f>
        <v>540406.19999999995</v>
      </c>
      <c r="AS531" s="1">
        <f>+(K531*10+L531*20)*12*30-895524.57</f>
        <v>18177635.43</v>
      </c>
      <c r="AT531" s="29">
        <f t="shared" si="191"/>
        <v>-12735202.459519999</v>
      </c>
      <c r="AU531" s="29">
        <f>+P531-'[6]Приложение №1'!$P503</f>
        <v>0</v>
      </c>
      <c r="AV531" s="29">
        <f>+Q531-'[6]Приложение №1'!$Q503</f>
        <v>0</v>
      </c>
      <c r="AW531" s="29">
        <f>+R531-'[6]Приложение №1'!$R503</f>
        <v>0</v>
      </c>
      <c r="AX531" s="29">
        <f>+S531-'[6]Приложение №1'!$S503</f>
        <v>0</v>
      </c>
      <c r="AY531" s="29">
        <f>+T531-'[6]Приложение №1'!$T503</f>
        <v>0</v>
      </c>
    </row>
    <row r="532" spans="1:51" x14ac:dyDescent="0.25">
      <c r="A532" s="133">
        <f t="shared" si="203"/>
        <v>514</v>
      </c>
      <c r="B532" s="132">
        <f t="shared" si="201"/>
        <v>52</v>
      </c>
      <c r="C532" s="77" t="s">
        <v>545</v>
      </c>
      <c r="D532" s="77" t="s">
        <v>151</v>
      </c>
      <c r="E532" s="78">
        <v>1996</v>
      </c>
      <c r="F532" s="78">
        <v>1996</v>
      </c>
      <c r="G532" s="78" t="s">
        <v>44</v>
      </c>
      <c r="H532" s="78">
        <v>3</v>
      </c>
      <c r="I532" s="78">
        <v>3</v>
      </c>
      <c r="J532" s="44">
        <v>2048.3000000000002</v>
      </c>
      <c r="K532" s="44">
        <v>1683.6</v>
      </c>
      <c r="L532" s="44">
        <v>86.8</v>
      </c>
      <c r="M532" s="79">
        <v>51</v>
      </c>
      <c r="N532" s="129">
        <f t="shared" si="210"/>
        <v>10973716.392657893</v>
      </c>
      <c r="O532" s="44"/>
      <c r="P532" s="68">
        <v>1188980.4111846876</v>
      </c>
      <c r="Q532" s="68"/>
      <c r="R532" s="68">
        <f>+AQ532+AR532</f>
        <v>995642.04</v>
      </c>
      <c r="S532" s="68">
        <f>+AS532</f>
        <v>6685920</v>
      </c>
      <c r="T532" s="68">
        <f>+'Приложение №2'!E532-'Приложение №1'!P532-'Приложение №1'!R532-'Приложение №1'!S532</f>
        <v>2103173.9414732046</v>
      </c>
      <c r="U532" s="68">
        <f t="shared" si="211"/>
        <v>6518.0068856366679</v>
      </c>
      <c r="V532" s="68">
        <v>1219.2830200640001</v>
      </c>
      <c r="W532" s="80">
        <v>2024</v>
      </c>
      <c r="X532" s="29" t="e">
        <f>+#REF!-'[1]Приложение №1'!$P588</f>
        <v>#REF!</v>
      </c>
      <c r="Z532" s="31">
        <f t="shared" si="214"/>
        <v>33805835.966304243</v>
      </c>
      <c r="AA532" s="27">
        <v>6700361.0893385699</v>
      </c>
      <c r="AB532" s="27">
        <v>3490874.7316903411</v>
      </c>
      <c r="AC532" s="27">
        <v>1444478.386687834</v>
      </c>
      <c r="AD532" s="27">
        <v>0</v>
      </c>
      <c r="AE532" s="27">
        <v>0</v>
      </c>
      <c r="AF532" s="27"/>
      <c r="AG532" s="27">
        <v>547643.04082610249</v>
      </c>
      <c r="AH532" s="27">
        <v>0</v>
      </c>
      <c r="AI532" s="27">
        <v>0</v>
      </c>
      <c r="AJ532" s="27">
        <v>0</v>
      </c>
      <c r="AK532" s="27">
        <v>17457525.241583157</v>
      </c>
      <c r="AL532" s="27">
        <v>0</v>
      </c>
      <c r="AM532" s="27">
        <v>3178709.049390018</v>
      </c>
      <c r="AN532" s="32">
        <v>338058.35966304236</v>
      </c>
      <c r="AO532" s="33">
        <v>648186.06712517515</v>
      </c>
      <c r="AP532" s="84">
        <f>+N532-'Приложение №2'!E532</f>
        <v>0</v>
      </c>
      <c r="AQ532" s="1">
        <v>806207.64</v>
      </c>
      <c r="AR532" s="1">
        <f>+(K532*10+L532*20)*12*0.85</f>
        <v>189434.4</v>
      </c>
      <c r="AS532" s="1">
        <f>+(K532*10+L532*20)*12*30</f>
        <v>6685920</v>
      </c>
      <c r="AT532" s="29">
        <f t="shared" si="191"/>
        <v>0</v>
      </c>
      <c r="AU532" s="29">
        <f>+P532-'[6]Приложение №1'!$P504</f>
        <v>0</v>
      </c>
      <c r="AV532" s="29">
        <f>+Q532-'[6]Приложение №1'!$Q504</f>
        <v>0</v>
      </c>
      <c r="AW532" s="29">
        <f>+R532-'[6]Приложение №1'!$R504</f>
        <v>0</v>
      </c>
      <c r="AX532" s="29">
        <f>+S532-'[6]Приложение №1'!$S504</f>
        <v>0</v>
      </c>
      <c r="AY532" s="29">
        <f>+T532-'[6]Приложение №1'!$T504</f>
        <v>0</v>
      </c>
    </row>
    <row r="533" spans="1:51" x14ac:dyDescent="0.25">
      <c r="A533" s="133">
        <f t="shared" si="203"/>
        <v>515</v>
      </c>
      <c r="B533" s="132">
        <f t="shared" si="201"/>
        <v>53</v>
      </c>
      <c r="C533" s="77" t="s">
        <v>545</v>
      </c>
      <c r="D533" s="77" t="s">
        <v>152</v>
      </c>
      <c r="E533" s="78">
        <v>1986</v>
      </c>
      <c r="F533" s="78">
        <v>2016</v>
      </c>
      <c r="G533" s="78" t="s">
        <v>547</v>
      </c>
      <c r="H533" s="78">
        <v>5</v>
      </c>
      <c r="I533" s="78">
        <v>4</v>
      </c>
      <c r="J533" s="44">
        <v>3396.9</v>
      </c>
      <c r="K533" s="44">
        <v>3059.2</v>
      </c>
      <c r="L533" s="44">
        <v>0</v>
      </c>
      <c r="M533" s="79">
        <v>122</v>
      </c>
      <c r="N533" s="129">
        <f t="shared" si="210"/>
        <v>11276107.02613402</v>
      </c>
      <c r="O533" s="44"/>
      <c r="P533" s="68"/>
      <c r="Q533" s="68"/>
      <c r="R533" s="68">
        <f>+AQ533+AR533</f>
        <v>1808425.52</v>
      </c>
      <c r="S533" s="68">
        <f>+'Приложение №2'!E533-'Приложение №1'!R533</f>
        <v>9467681.5061340202</v>
      </c>
      <c r="T533" s="68">
        <v>2.3283064365386963E-10</v>
      </c>
      <c r="U533" s="68">
        <f t="shared" si="211"/>
        <v>3685.9659473502943</v>
      </c>
      <c r="V533" s="68">
        <v>1220.2830200640001</v>
      </c>
      <c r="W533" s="80">
        <v>2024</v>
      </c>
      <c r="X533" s="29" t="e">
        <f>+#REF!-'[1]Приложение №1'!$P589</f>
        <v>#REF!</v>
      </c>
      <c r="Z533" s="31">
        <f t="shared" si="214"/>
        <v>12428415.848861372</v>
      </c>
      <c r="AA533" s="27">
        <v>6061746.8582748314</v>
      </c>
      <c r="AB533" s="27">
        <v>2605155.66</v>
      </c>
      <c r="AC533" s="27">
        <v>2187734.91</v>
      </c>
      <c r="AD533" s="27">
        <v>0</v>
      </c>
      <c r="AE533" s="27">
        <v>0</v>
      </c>
      <c r="AF533" s="27"/>
      <c r="AG533" s="27">
        <v>251675.45410878723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1074948.6007849383</v>
      </c>
      <c r="AN533" s="32">
        <v>77360.2219424137</v>
      </c>
      <c r="AO533" s="33">
        <v>169794.14375039996</v>
      </c>
      <c r="AP533" s="84">
        <f>+N533-'Приложение №2'!E533</f>
        <v>0</v>
      </c>
      <c r="AQ533" s="1">
        <v>1496387.12</v>
      </c>
      <c r="AR533" s="1">
        <f>+(K533*10+L533*20)*12*0.85</f>
        <v>312038.39999999997</v>
      </c>
      <c r="AS533" s="1">
        <f>+(K533*10+L533*20)*12*30</f>
        <v>11013120</v>
      </c>
      <c r="AT533" s="29">
        <f t="shared" si="191"/>
        <v>-1545438.4938659798</v>
      </c>
      <c r="AU533" s="29">
        <f>+P533-'[6]Приложение №1'!$P505</f>
        <v>0</v>
      </c>
      <c r="AV533" s="29">
        <f>+Q533-'[6]Приложение №1'!$Q505</f>
        <v>0</v>
      </c>
      <c r="AW533" s="29">
        <f>+R533-'[6]Приложение №1'!$R505</f>
        <v>0</v>
      </c>
      <c r="AX533" s="29">
        <f>+S533-'[6]Приложение №1'!$S505</f>
        <v>0</v>
      </c>
      <c r="AY533" s="29">
        <f>+T533-'[6]Приложение №1'!$T505</f>
        <v>0</v>
      </c>
    </row>
    <row r="534" spans="1:51" x14ac:dyDescent="0.25">
      <c r="A534" s="133">
        <f t="shared" si="203"/>
        <v>516</v>
      </c>
      <c r="B534" s="132">
        <f t="shared" si="201"/>
        <v>54</v>
      </c>
      <c r="C534" s="77" t="s">
        <v>546</v>
      </c>
      <c r="D534" s="77" t="s">
        <v>1152</v>
      </c>
      <c r="E534" s="78" t="s">
        <v>597</v>
      </c>
      <c r="F534" s="78"/>
      <c r="G534" s="78" t="s">
        <v>573</v>
      </c>
      <c r="H534" s="78" t="s">
        <v>571</v>
      </c>
      <c r="I534" s="78" t="s">
        <v>579</v>
      </c>
      <c r="J534" s="44">
        <v>11653.5</v>
      </c>
      <c r="K534" s="44">
        <v>8349.17</v>
      </c>
      <c r="L534" s="44">
        <v>926.4</v>
      </c>
      <c r="M534" s="79">
        <v>357</v>
      </c>
      <c r="N534" s="129">
        <f t="shared" si="210"/>
        <v>14365440</v>
      </c>
      <c r="O534" s="44"/>
      <c r="P534" s="68">
        <f>14365440-7445493.48</f>
        <v>6919946.5199999996</v>
      </c>
      <c r="Q534" s="68"/>
      <c r="R534" s="68">
        <v>7445493.4800000004</v>
      </c>
      <c r="S534" s="68"/>
      <c r="T534" s="68"/>
      <c r="U534" s="68"/>
      <c r="V534" s="68"/>
      <c r="W534" s="80">
        <v>2024</v>
      </c>
      <c r="X534" s="29"/>
      <c r="Z534" s="31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32"/>
      <c r="AO534" s="33"/>
      <c r="AP534" s="84">
        <f>+N534-'Приложение №2'!E534</f>
        <v>0</v>
      </c>
      <c r="AT534" s="29">
        <f t="shared" si="191"/>
        <v>0</v>
      </c>
      <c r="AU534" s="29"/>
      <c r="AV534" s="29"/>
      <c r="AW534" s="29"/>
      <c r="AX534" s="29"/>
      <c r="AY534" s="29"/>
    </row>
    <row r="535" spans="1:51" x14ac:dyDescent="0.25">
      <c r="A535" s="133">
        <f t="shared" si="203"/>
        <v>517</v>
      </c>
      <c r="B535" s="132">
        <f t="shared" si="201"/>
        <v>55</v>
      </c>
      <c r="C535" s="77" t="s">
        <v>545</v>
      </c>
      <c r="D535" s="77" t="s">
        <v>154</v>
      </c>
      <c r="E535" s="78">
        <v>1980</v>
      </c>
      <c r="F535" s="78">
        <v>2012</v>
      </c>
      <c r="G535" s="78" t="s">
        <v>44</v>
      </c>
      <c r="H535" s="78">
        <v>4</v>
      </c>
      <c r="I535" s="78">
        <v>3</v>
      </c>
      <c r="J535" s="44">
        <v>5123.6000000000004</v>
      </c>
      <c r="K535" s="44">
        <v>3336.1</v>
      </c>
      <c r="L535" s="44">
        <v>937.6</v>
      </c>
      <c r="M535" s="79">
        <v>153</v>
      </c>
      <c r="N535" s="129">
        <f t="shared" ref="N535:N557" si="215">SUM(O535:T535)</f>
        <v>9583229.2646912001</v>
      </c>
      <c r="O535" s="44"/>
      <c r="P535" s="68"/>
      <c r="Q535" s="68"/>
      <c r="R535" s="68">
        <f t="shared" ref="R535:R556" si="216">+AQ535+AR535</f>
        <v>2863173.66</v>
      </c>
      <c r="S535" s="68">
        <f>+'Приложение №2'!E535-'Приложение №1'!R535</f>
        <v>6720055.6046912</v>
      </c>
      <c r="T535" s="68">
        <v>0</v>
      </c>
      <c r="U535" s="68">
        <f t="shared" ref="U535:U598" si="217">N535/K535</f>
        <v>2872.5845342439375</v>
      </c>
      <c r="V535" s="68">
        <v>1221.2830200640001</v>
      </c>
      <c r="W535" s="80">
        <v>2024</v>
      </c>
      <c r="X535" s="29" t="e">
        <f>+#REF!-'[1]Приложение №1'!$P594</f>
        <v>#REF!</v>
      </c>
      <c r="Z535" s="31">
        <f>SUM(AA535:AO535)</f>
        <v>9768437.6600000001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/>
      <c r="AG535" s="27">
        <v>0</v>
      </c>
      <c r="AH535" s="27">
        <v>0</v>
      </c>
      <c r="AI535" s="27">
        <v>0</v>
      </c>
      <c r="AJ535" s="27">
        <v>0</v>
      </c>
      <c r="AK535" s="27">
        <v>9403121.0399999991</v>
      </c>
      <c r="AL535" s="27">
        <v>0</v>
      </c>
      <c r="AM535" s="27">
        <v>264024.74</v>
      </c>
      <c r="AN535" s="32">
        <v>20000</v>
      </c>
      <c r="AO535" s="33">
        <v>81291.88</v>
      </c>
      <c r="AP535" s="84">
        <f>+N535-'Приложение №2'!E535</f>
        <v>0</v>
      </c>
      <c r="AQ535" s="1">
        <v>2331621.06</v>
      </c>
      <c r="AR535" s="1">
        <f>+(K535*10+L535*20)*12*0.85</f>
        <v>531552.6</v>
      </c>
      <c r="AS535" s="1">
        <f>+(K535*10+L535*20)*12*30</f>
        <v>18760680</v>
      </c>
      <c r="AT535" s="29">
        <f t="shared" si="191"/>
        <v>-12040624.3953088</v>
      </c>
      <c r="AU535" s="29">
        <f>+P535-'[6]Приложение №1'!$P506</f>
        <v>0</v>
      </c>
      <c r="AV535" s="29">
        <f>+Q535-'[6]Приложение №1'!$Q506</f>
        <v>0</v>
      </c>
      <c r="AW535" s="29">
        <f>+R535-'[6]Приложение №1'!$R506</f>
        <v>0</v>
      </c>
      <c r="AX535" s="29">
        <f>+S535-'[6]Приложение №1'!$S506</f>
        <v>0</v>
      </c>
      <c r="AY535" s="29">
        <f>+T535-'[6]Приложение №1'!$T506</f>
        <v>0</v>
      </c>
    </row>
    <row r="536" spans="1:51" x14ac:dyDescent="0.25">
      <c r="A536" s="133">
        <f t="shared" si="203"/>
        <v>518</v>
      </c>
      <c r="B536" s="132">
        <f t="shared" si="201"/>
        <v>56</v>
      </c>
      <c r="C536" s="77" t="s">
        <v>545</v>
      </c>
      <c r="D536" s="77" t="s">
        <v>157</v>
      </c>
      <c r="E536" s="78">
        <v>1979</v>
      </c>
      <c r="F536" s="78">
        <v>2015</v>
      </c>
      <c r="G536" s="78" t="s">
        <v>547</v>
      </c>
      <c r="H536" s="78">
        <v>5</v>
      </c>
      <c r="I536" s="78">
        <v>4</v>
      </c>
      <c r="J536" s="44">
        <v>4063.4</v>
      </c>
      <c r="K536" s="44">
        <v>3700.2</v>
      </c>
      <c r="L536" s="44">
        <v>117.2</v>
      </c>
      <c r="M536" s="79">
        <v>192</v>
      </c>
      <c r="N536" s="129">
        <f t="shared" si="215"/>
        <v>12813865.938446978</v>
      </c>
      <c r="O536" s="44"/>
      <c r="P536" s="68">
        <v>687023.047624161</v>
      </c>
      <c r="Q536" s="68"/>
      <c r="R536" s="68">
        <f t="shared" si="216"/>
        <v>1425904.3699999999</v>
      </c>
      <c r="S536" s="68">
        <f>+AS536</f>
        <v>9996505.4600000009</v>
      </c>
      <c r="T536" s="68">
        <f>+'Приложение №2'!E536-'Приложение №1'!P536-'Приложение №1'!R536-'Приложение №1'!S536</f>
        <v>704433.06082281657</v>
      </c>
      <c r="U536" s="68">
        <f t="shared" si="217"/>
        <v>3463.0198201305279</v>
      </c>
      <c r="V536" s="68">
        <v>1222.2830200640001</v>
      </c>
      <c r="W536" s="80">
        <v>2024</v>
      </c>
      <c r="X536" s="29" t="e">
        <f>+#REF!-'[1]Приложение №1'!$P962</f>
        <v>#REF!</v>
      </c>
      <c r="Z536" s="31">
        <f>SUM(AA536:AO536)</f>
        <v>14237628.820496641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/>
      <c r="AG536" s="27">
        <v>0</v>
      </c>
      <c r="AH536" s="27">
        <v>0</v>
      </c>
      <c r="AI536" s="27">
        <v>12539649.207364213</v>
      </c>
      <c r="AJ536" s="27">
        <v>0</v>
      </c>
      <c r="AK536" s="27">
        <v>0</v>
      </c>
      <c r="AL536" s="27">
        <v>0</v>
      </c>
      <c r="AM536" s="27">
        <v>1281386.5938446978</v>
      </c>
      <c r="AN536" s="32">
        <v>142376.28820496643</v>
      </c>
      <c r="AO536" s="33">
        <v>274216.73108276533</v>
      </c>
      <c r="AP536" s="84">
        <f>+N536-'Приложение №2'!E536</f>
        <v>0</v>
      </c>
      <c r="AQ536" s="1">
        <f>1892593.7-868018.53</f>
        <v>1024575.1699999999</v>
      </c>
      <c r="AR536" s="1">
        <f>+(K536*10+L536*20)*12*0.85</f>
        <v>401329.2</v>
      </c>
      <c r="AS536" s="1">
        <f>+(K536*10+L536*20)*12*30-4168054.54</f>
        <v>9996505.4600000009</v>
      </c>
      <c r="AT536" s="29">
        <f t="shared" si="191"/>
        <v>0</v>
      </c>
      <c r="AU536" s="29">
        <f>+P536-'[6]Приложение №1'!$P507</f>
        <v>0</v>
      </c>
      <c r="AV536" s="29">
        <f>+Q536-'[6]Приложение №1'!$Q507</f>
        <v>0</v>
      </c>
      <c r="AW536" s="29">
        <f>+R536-'[6]Приложение №1'!$R507</f>
        <v>0</v>
      </c>
      <c r="AX536" s="29">
        <f>+S536-'[6]Приложение №1'!$S507</f>
        <v>0</v>
      </c>
      <c r="AY536" s="29">
        <f>+T536-'[6]Приложение №1'!$T507</f>
        <v>0</v>
      </c>
    </row>
    <row r="537" spans="1:51" x14ac:dyDescent="0.25">
      <c r="A537" s="133">
        <f t="shared" si="203"/>
        <v>519</v>
      </c>
      <c r="B537" s="132">
        <f t="shared" si="201"/>
        <v>57</v>
      </c>
      <c r="C537" s="77" t="s">
        <v>545</v>
      </c>
      <c r="D537" s="77" t="s">
        <v>65</v>
      </c>
      <c r="E537" s="78">
        <v>1983</v>
      </c>
      <c r="F537" s="78">
        <v>2015</v>
      </c>
      <c r="G537" s="78" t="s">
        <v>547</v>
      </c>
      <c r="H537" s="78">
        <v>5</v>
      </c>
      <c r="I537" s="78">
        <v>4</v>
      </c>
      <c r="J537" s="44">
        <v>4471.8999999999996</v>
      </c>
      <c r="K537" s="44">
        <v>3791</v>
      </c>
      <c r="L537" s="44">
        <v>256.8</v>
      </c>
      <c r="M537" s="79">
        <v>156</v>
      </c>
      <c r="N537" s="129">
        <f t="shared" si="215"/>
        <v>30321154.784761567</v>
      </c>
      <c r="O537" s="44"/>
      <c r="P537" s="68">
        <v>5162464.244825148</v>
      </c>
      <c r="Q537" s="68"/>
      <c r="R537" s="68">
        <f t="shared" si="216"/>
        <v>0</v>
      </c>
      <c r="S537" s="68">
        <f>+AS537</f>
        <v>6559427.6825673096</v>
      </c>
      <c r="T537" s="68">
        <f>+'Приложение №2'!E537-'Приложение №1'!P537-'Приложение №1'!R537-'Приложение №1'!S537</f>
        <v>18599262.85736911</v>
      </c>
      <c r="U537" s="68">
        <f t="shared" si="217"/>
        <v>7998.1943510318033</v>
      </c>
      <c r="V537" s="68">
        <v>1223.2830200640001</v>
      </c>
      <c r="W537" s="80">
        <v>2024</v>
      </c>
      <c r="X537" s="29" t="e">
        <f>+#REF!-'[1]Приложение №1'!$P369</f>
        <v>#REF!</v>
      </c>
      <c r="Z537" s="31">
        <f>SUM(AA537:AO537)</f>
        <v>30449371.414761566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/>
      <c r="AG537" s="27">
        <v>0</v>
      </c>
      <c r="AH537" s="27">
        <v>0</v>
      </c>
      <c r="AI537" s="27">
        <v>0</v>
      </c>
      <c r="AJ537" s="27">
        <v>0</v>
      </c>
      <c r="AK537" s="27">
        <v>29741216.056796018</v>
      </c>
      <c r="AL537" s="27">
        <v>0</v>
      </c>
      <c r="AM537" s="27">
        <v>104216.63</v>
      </c>
      <c r="AN537" s="27">
        <v>24000</v>
      </c>
      <c r="AO537" s="33">
        <v>579938.72796554875</v>
      </c>
      <c r="AP537" s="84">
        <f>+N537-'Приложение №2'!E537</f>
        <v>0</v>
      </c>
      <c r="AQ537" s="29">
        <f>1796152.17-R261</f>
        <v>-439069.20000000019</v>
      </c>
      <c r="AR537" s="1">
        <f>+(K537*10+L537*20)*12*0.85</f>
        <v>439069.2</v>
      </c>
      <c r="AS537" s="1">
        <f>+(K537*10+L537*20)*12*30-S261</f>
        <v>6559427.6825673096</v>
      </c>
      <c r="AT537" s="29">
        <f t="shared" ref="AT537:AT600" si="218">+S537-AS537</f>
        <v>0</v>
      </c>
      <c r="AU537" s="29">
        <f>+P537-'[6]Приложение №1'!$P508</f>
        <v>0</v>
      </c>
      <c r="AV537" s="29">
        <f>+Q537-'[6]Приложение №1'!$Q508</f>
        <v>0</v>
      </c>
      <c r="AW537" s="29">
        <f>+R537-'[6]Приложение №1'!$R508</f>
        <v>0</v>
      </c>
      <c r="AX537" s="29">
        <f>+S537-'[6]Приложение №1'!$S508</f>
        <v>0</v>
      </c>
      <c r="AY537" s="29">
        <f>+T537-'[6]Приложение №1'!$T508</f>
        <v>0</v>
      </c>
    </row>
    <row r="538" spans="1:51" x14ac:dyDescent="0.25">
      <c r="A538" s="133">
        <f t="shared" si="203"/>
        <v>520</v>
      </c>
      <c r="B538" s="132">
        <f t="shared" si="201"/>
        <v>58</v>
      </c>
      <c r="C538" s="77" t="s">
        <v>545</v>
      </c>
      <c r="D538" s="77" t="s">
        <v>738</v>
      </c>
      <c r="E538" s="78">
        <v>1983</v>
      </c>
      <c r="F538" s="78">
        <v>2015</v>
      </c>
      <c r="G538" s="78" t="s">
        <v>547</v>
      </c>
      <c r="H538" s="78">
        <v>5</v>
      </c>
      <c r="I538" s="78">
        <v>4</v>
      </c>
      <c r="J538" s="44">
        <v>4470.7</v>
      </c>
      <c r="K538" s="44">
        <v>3912.6</v>
      </c>
      <c r="L538" s="44">
        <v>0</v>
      </c>
      <c r="M538" s="79">
        <v>167</v>
      </c>
      <c r="N538" s="129">
        <f t="shared" si="215"/>
        <v>18644724.211052157</v>
      </c>
      <c r="O538" s="44"/>
      <c r="P538" s="68">
        <f>+'Приложение №2'!E538-'Приложение №1'!R538-'Приложение №1'!S538</f>
        <v>2021287.1010521576</v>
      </c>
      <c r="Q538" s="68"/>
      <c r="R538" s="68">
        <f t="shared" si="216"/>
        <v>2538077.1100000003</v>
      </c>
      <c r="S538" s="68">
        <f>+AS538</f>
        <v>14085360</v>
      </c>
      <c r="T538" s="68"/>
      <c r="U538" s="68">
        <f t="shared" si="217"/>
        <v>4765.3029215999995</v>
      </c>
      <c r="V538" s="68">
        <v>1224.2830200640001</v>
      </c>
      <c r="W538" s="80">
        <v>2024</v>
      </c>
      <c r="X538" s="29"/>
      <c r="Z538" s="31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33"/>
      <c r="AP538" s="84">
        <f>+N538-'Приложение №2'!E538</f>
        <v>0</v>
      </c>
      <c r="AQ538" s="24">
        <v>2138991.91</v>
      </c>
      <c r="AR538" s="1">
        <f>+(K538*10+L538*20)*12*0.85</f>
        <v>399085.2</v>
      </c>
      <c r="AS538" s="1">
        <f>+(K538*10+L538*20)*12*30</f>
        <v>14085360</v>
      </c>
      <c r="AT538" s="29">
        <f t="shared" si="218"/>
        <v>0</v>
      </c>
      <c r="AU538" s="29"/>
      <c r="AV538" s="29"/>
      <c r="AW538" s="29"/>
      <c r="AX538" s="29"/>
      <c r="AY538" s="29"/>
    </row>
    <row r="539" spans="1:51" x14ac:dyDescent="0.25">
      <c r="A539" s="133">
        <f t="shared" si="203"/>
        <v>521</v>
      </c>
      <c r="B539" s="132">
        <f t="shared" si="201"/>
        <v>59</v>
      </c>
      <c r="C539" s="77" t="s">
        <v>545</v>
      </c>
      <c r="D539" s="77" t="s">
        <v>159</v>
      </c>
      <c r="E539" s="78">
        <v>1992</v>
      </c>
      <c r="F539" s="78">
        <v>2012</v>
      </c>
      <c r="G539" s="78" t="s">
        <v>547</v>
      </c>
      <c r="H539" s="78">
        <v>9</v>
      </c>
      <c r="I539" s="78">
        <v>2</v>
      </c>
      <c r="J539" s="44">
        <v>6461</v>
      </c>
      <c r="K539" s="44">
        <v>5606</v>
      </c>
      <c r="L539" s="44">
        <v>127.2</v>
      </c>
      <c r="M539" s="79">
        <v>222</v>
      </c>
      <c r="N539" s="129">
        <f t="shared" si="215"/>
        <v>13744076.860234279</v>
      </c>
      <c r="O539" s="44"/>
      <c r="P539" s="68"/>
      <c r="Q539" s="68"/>
      <c r="R539" s="68">
        <f t="shared" si="216"/>
        <v>4082540.3367999997</v>
      </c>
      <c r="S539" s="68">
        <f>+'Приложение №2'!E539-'Приложение №1'!R539</f>
        <v>9661536.5234342795</v>
      </c>
      <c r="T539" s="68">
        <v>0</v>
      </c>
      <c r="U539" s="68">
        <f t="shared" si="217"/>
        <v>2451.6726472055439</v>
      </c>
      <c r="V539" s="68">
        <v>1225.2830200640001</v>
      </c>
      <c r="W539" s="80">
        <v>2024</v>
      </c>
      <c r="X539" s="29" t="e">
        <f>+#REF!-'[1]Приложение №1'!$P963</f>
        <v>#REF!</v>
      </c>
      <c r="Z539" s="31">
        <f t="shared" ref="Z539:Z560" si="219">SUM(AA539:AO539)</f>
        <v>20270690.991399139</v>
      </c>
      <c r="AA539" s="27">
        <v>13437177.92113563</v>
      </c>
      <c r="AB539" s="27">
        <v>0</v>
      </c>
      <c r="AC539" s="27">
        <v>3970815.0889603682</v>
      </c>
      <c r="AD539" s="27">
        <v>0</v>
      </c>
      <c r="AE539" s="27">
        <v>0</v>
      </c>
      <c r="AF539" s="27"/>
      <c r="AG539" s="27">
        <v>596995.06026331545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1669263.3882914896</v>
      </c>
      <c r="AN539" s="32">
        <v>202706.9099139914</v>
      </c>
      <c r="AO539" s="33">
        <v>393732.62283434434</v>
      </c>
      <c r="AP539" s="84">
        <f>+N539-'Приложение №2'!E539</f>
        <v>0</v>
      </c>
      <c r="AQ539" s="1">
        <v>3293383.84</v>
      </c>
      <c r="AR539" s="1">
        <f>+(K539*13.29+L539*22.52)*12*0.85</f>
        <v>789156.49679999985</v>
      </c>
      <c r="AS539" s="1">
        <f>+(K539*13.29+L539*22.52)*12*30</f>
        <v>27852582.239999995</v>
      </c>
      <c r="AT539" s="29">
        <f t="shared" si="218"/>
        <v>-18191045.716565713</v>
      </c>
      <c r="AU539" s="29">
        <f>+P539-'[6]Приложение №1'!$P509</f>
        <v>0</v>
      </c>
      <c r="AV539" s="29">
        <f>+Q539-'[6]Приложение №1'!$Q509</f>
        <v>0</v>
      </c>
      <c r="AW539" s="29">
        <f>+R539-'[6]Приложение №1'!$R509</f>
        <v>0</v>
      </c>
      <c r="AX539" s="29">
        <f>+S539-'[6]Приложение №1'!$S509</f>
        <v>0</v>
      </c>
      <c r="AY539" s="29">
        <f>+T539-'[6]Приложение №1'!$T509</f>
        <v>0</v>
      </c>
    </row>
    <row r="540" spans="1:51" x14ac:dyDescent="0.25">
      <c r="A540" s="133">
        <f t="shared" si="203"/>
        <v>522</v>
      </c>
      <c r="B540" s="132">
        <f t="shared" si="201"/>
        <v>60</v>
      </c>
      <c r="C540" s="77" t="s">
        <v>545</v>
      </c>
      <c r="D540" s="77" t="s">
        <v>66</v>
      </c>
      <c r="E540" s="78">
        <v>1992</v>
      </c>
      <c r="F540" s="78">
        <v>2017</v>
      </c>
      <c r="G540" s="78" t="s">
        <v>547</v>
      </c>
      <c r="H540" s="78">
        <v>9</v>
      </c>
      <c r="I540" s="78">
        <v>2</v>
      </c>
      <c r="J540" s="44">
        <v>6450</v>
      </c>
      <c r="K540" s="44">
        <v>5551</v>
      </c>
      <c r="L540" s="44">
        <v>31</v>
      </c>
      <c r="M540" s="79">
        <v>215</v>
      </c>
      <c r="N540" s="129">
        <f t="shared" si="215"/>
        <v>18619115.200956475</v>
      </c>
      <c r="O540" s="44"/>
      <c r="P540" s="68"/>
      <c r="Q540" s="68"/>
      <c r="R540" s="68">
        <f t="shared" si="216"/>
        <v>1799839.3219999999</v>
      </c>
      <c r="S540" s="68">
        <f>+'Приложение №2'!E540-'Приложение №1'!P540-'Приложение №1'!Q540-'Приложение №1'!R540</f>
        <v>16819275.878956474</v>
      </c>
      <c r="T540" s="68"/>
      <c r="U540" s="68">
        <f t="shared" si="217"/>
        <v>3354.1911729339713</v>
      </c>
      <c r="V540" s="68">
        <v>1226.2830200640001</v>
      </c>
      <c r="W540" s="80">
        <v>2024</v>
      </c>
      <c r="X540" s="29" t="e">
        <f>+#REF!-'[1]Приложение №1'!$P964</f>
        <v>#REF!</v>
      </c>
      <c r="Z540" s="31">
        <f t="shared" si="219"/>
        <v>39482783.303666979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/>
      <c r="AG540" s="27">
        <v>0</v>
      </c>
      <c r="AH540" s="27">
        <v>0</v>
      </c>
      <c r="AI540" s="27">
        <v>0</v>
      </c>
      <c r="AJ540" s="27">
        <v>0</v>
      </c>
      <c r="AK540" s="27">
        <v>38467833.172710508</v>
      </c>
      <c r="AL540" s="27">
        <v>0</v>
      </c>
      <c r="AM540" s="27">
        <v>149736.53</v>
      </c>
      <c r="AN540" s="27">
        <v>24000</v>
      </c>
      <c r="AO540" s="33">
        <v>841213.6009564735</v>
      </c>
      <c r="AP540" s="84">
        <f>+N540-'Приложение №2'!E540</f>
        <v>0</v>
      </c>
      <c r="AQ540" s="1">
        <f>3463402.89-'[4]Приложение №1'!$R$346</f>
        <v>1040236.04</v>
      </c>
      <c r="AR540" s="1">
        <f>+(K540*13.29+L540*22.52)*12*0.85</f>
        <v>759603.28199999989</v>
      </c>
      <c r="AS540" s="1">
        <f>+(K540*13.29+L540*22.52)*12*30-'[4]Приложение №1'!$S$346</f>
        <v>25928484.029999997</v>
      </c>
      <c r="AT540" s="29">
        <f t="shared" si="218"/>
        <v>-9109208.1510435231</v>
      </c>
      <c r="AU540" s="29">
        <f>+P540-'[6]Приложение №1'!$P510</f>
        <v>0</v>
      </c>
      <c r="AV540" s="29">
        <f>+Q540-'[6]Приложение №1'!$Q510</f>
        <v>0</v>
      </c>
      <c r="AW540" s="29">
        <f>+R540-'[6]Приложение №1'!$R510</f>
        <v>0</v>
      </c>
      <c r="AX540" s="29">
        <f>+S540-'[6]Приложение №1'!$S510</f>
        <v>0</v>
      </c>
      <c r="AY540" s="29">
        <f>+T540-'[6]Приложение №1'!$T510</f>
        <v>0</v>
      </c>
    </row>
    <row r="541" spans="1:51" x14ac:dyDescent="0.25">
      <c r="A541" s="133">
        <f t="shared" si="203"/>
        <v>523</v>
      </c>
      <c r="B541" s="132">
        <f t="shared" si="201"/>
        <v>61</v>
      </c>
      <c r="C541" s="77" t="s">
        <v>545</v>
      </c>
      <c r="D541" s="77" t="s">
        <v>298</v>
      </c>
      <c r="E541" s="78">
        <v>1992</v>
      </c>
      <c r="F541" s="78">
        <v>1992</v>
      </c>
      <c r="G541" s="78" t="s">
        <v>44</v>
      </c>
      <c r="H541" s="78">
        <v>2</v>
      </c>
      <c r="I541" s="78">
        <v>8</v>
      </c>
      <c r="J541" s="44">
        <v>962.7</v>
      </c>
      <c r="K541" s="44">
        <v>961.6</v>
      </c>
      <c r="L541" s="44">
        <v>0</v>
      </c>
      <c r="M541" s="79">
        <v>42</v>
      </c>
      <c r="N541" s="129">
        <f t="shared" si="215"/>
        <v>20033884.560000002</v>
      </c>
      <c r="O541" s="44"/>
      <c r="P541" s="68">
        <f>3229187.718+3305635.25-6000000</f>
        <v>534822.96800000034</v>
      </c>
      <c r="Q541" s="68"/>
      <c r="R541" s="68">
        <f t="shared" si="216"/>
        <v>603918.38</v>
      </c>
      <c r="S541" s="68">
        <f>+AS541</f>
        <v>3461760</v>
      </c>
      <c r="T541" s="68">
        <f>+'Приложение №2'!E541-'Приложение №1'!P541-'Приложение №1'!R541-'Приложение №1'!S541</f>
        <v>15433383.212000001</v>
      </c>
      <c r="U541" s="68">
        <f t="shared" si="217"/>
        <v>20833.906572379368</v>
      </c>
      <c r="V541" s="68">
        <v>1227.2830200640001</v>
      </c>
      <c r="W541" s="80">
        <v>2024</v>
      </c>
      <c r="X541" s="29" t="e">
        <f>+#REF!-'[1]Приложение №1'!$P966</f>
        <v>#REF!</v>
      </c>
      <c r="Z541" s="31">
        <f t="shared" si="219"/>
        <v>20215689.170000002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/>
      <c r="AG541" s="27">
        <v>0</v>
      </c>
      <c r="AH541" s="27">
        <v>0</v>
      </c>
      <c r="AI541" s="27">
        <v>8186116.5976968007</v>
      </c>
      <c r="AJ541" s="27">
        <v>0</v>
      </c>
      <c r="AK541" s="27">
        <v>9511775.5987569001</v>
      </c>
      <c r="AL541" s="27">
        <v>0</v>
      </c>
      <c r="AM541" s="27">
        <v>1928623.0238000001</v>
      </c>
      <c r="AN541" s="32">
        <v>202156.89170000004</v>
      </c>
      <c r="AO541" s="33">
        <v>387017.05804630002</v>
      </c>
      <c r="AP541" s="84">
        <f>+N541-'Приложение №2'!E541</f>
        <v>0</v>
      </c>
      <c r="AQ541" s="1">
        <v>505835.18</v>
      </c>
      <c r="AR541" s="1">
        <f>+(K541*10+L541*20)*12*0.85</f>
        <v>98083.199999999997</v>
      </c>
      <c r="AS541" s="1">
        <f>+(K541*10+L541*20)*12*30</f>
        <v>3461760</v>
      </c>
      <c r="AT541" s="29">
        <f t="shared" si="218"/>
        <v>0</v>
      </c>
      <c r="AU541" s="29">
        <f>+P541-'[6]Приложение №1'!$P511</f>
        <v>0</v>
      </c>
      <c r="AV541" s="29">
        <f>+Q541-'[6]Приложение №1'!$Q511</f>
        <v>0</v>
      </c>
      <c r="AW541" s="29">
        <f>+R541-'[6]Приложение №1'!$R511</f>
        <v>0</v>
      </c>
      <c r="AX541" s="29">
        <f>+S541-'[6]Приложение №1'!$S511</f>
        <v>0</v>
      </c>
      <c r="AY541" s="29">
        <f>+T541-'[6]Приложение №1'!$T511</f>
        <v>0</v>
      </c>
    </row>
    <row r="542" spans="1:51" x14ac:dyDescent="0.25">
      <c r="A542" s="133">
        <f t="shared" si="203"/>
        <v>524</v>
      </c>
      <c r="B542" s="132">
        <f t="shared" si="201"/>
        <v>62</v>
      </c>
      <c r="C542" s="77" t="s">
        <v>545</v>
      </c>
      <c r="D542" s="77" t="s">
        <v>299</v>
      </c>
      <c r="E542" s="78">
        <v>1984</v>
      </c>
      <c r="F542" s="78">
        <v>2016</v>
      </c>
      <c r="G542" s="78" t="s">
        <v>547</v>
      </c>
      <c r="H542" s="78">
        <v>5</v>
      </c>
      <c r="I542" s="78">
        <v>4</v>
      </c>
      <c r="J542" s="44">
        <v>5755.6</v>
      </c>
      <c r="K542" s="44">
        <v>4829.1000000000004</v>
      </c>
      <c r="L542" s="44">
        <v>0</v>
      </c>
      <c r="M542" s="79">
        <v>186</v>
      </c>
      <c r="N542" s="129">
        <f t="shared" si="215"/>
        <v>32986394.763732113</v>
      </c>
      <c r="O542" s="44"/>
      <c r="P542" s="68">
        <v>3288801.0671485327</v>
      </c>
      <c r="Q542" s="68"/>
      <c r="R542" s="68">
        <f t="shared" si="216"/>
        <v>2704214.54</v>
      </c>
      <c r="S542" s="68">
        <f>+AS542</f>
        <v>17384760</v>
      </c>
      <c r="T542" s="68">
        <f>+'Приложение №2'!E542-'Приложение №1'!P542-'Приложение №1'!R542-'Приложение №1'!S542</f>
        <v>9608619.1565835811</v>
      </c>
      <c r="U542" s="68">
        <f t="shared" si="217"/>
        <v>6830.7541288712409</v>
      </c>
      <c r="V542" s="68">
        <v>1228.2830200640001</v>
      </c>
      <c r="W542" s="80">
        <v>2024</v>
      </c>
      <c r="X542" s="29" t="e">
        <f>+#REF!-'[1]Приложение №1'!$P967</f>
        <v>#REF!</v>
      </c>
      <c r="Z542" s="31">
        <f t="shared" si="219"/>
        <v>33258616.608594127</v>
      </c>
      <c r="AA542" s="27">
        <v>9139483.8463669065</v>
      </c>
      <c r="AB542" s="27">
        <v>0</v>
      </c>
      <c r="AC542" s="27">
        <v>0</v>
      </c>
      <c r="AD542" s="27">
        <v>3864839.2348521813</v>
      </c>
      <c r="AE542" s="27">
        <v>0</v>
      </c>
      <c r="AF542" s="27"/>
      <c r="AG542" s="27">
        <v>397616.119024474</v>
      </c>
      <c r="AH542" s="27">
        <v>0</v>
      </c>
      <c r="AI542" s="27">
        <v>15843387.174315393</v>
      </c>
      <c r="AJ542" s="27">
        <v>0</v>
      </c>
      <c r="AK542" s="27">
        <v>0</v>
      </c>
      <c r="AL542" s="27">
        <v>0</v>
      </c>
      <c r="AM542" s="27">
        <v>3041168.0119349672</v>
      </c>
      <c r="AN542" s="32">
        <v>332586.16608594125</v>
      </c>
      <c r="AO542" s="33">
        <v>639536.05601426703</v>
      </c>
      <c r="AP542" s="84">
        <f>+N542-'Приложение №2'!E542</f>
        <v>0</v>
      </c>
      <c r="AQ542" s="1">
        <v>2211646.34</v>
      </c>
      <c r="AR542" s="1">
        <f>+(K542*10+L542*20)*12*0.85</f>
        <v>492568.2</v>
      </c>
      <c r="AS542" s="1">
        <f>+(K542*10+L542*20)*12*30</f>
        <v>17384760</v>
      </c>
      <c r="AT542" s="29">
        <f t="shared" si="218"/>
        <v>0</v>
      </c>
      <c r="AU542" s="29">
        <f>+P542-'[6]Приложение №1'!$P512</f>
        <v>0</v>
      </c>
      <c r="AV542" s="29">
        <f>+Q542-'[6]Приложение №1'!$Q512</f>
        <v>0</v>
      </c>
      <c r="AW542" s="29">
        <f>+R542-'[6]Приложение №1'!$R512</f>
        <v>0</v>
      </c>
      <c r="AX542" s="29">
        <f>+S542-'[6]Приложение №1'!$S512</f>
        <v>0</v>
      </c>
      <c r="AY542" s="29">
        <f>+T542-'[6]Приложение №1'!$T512</f>
        <v>0</v>
      </c>
    </row>
    <row r="543" spans="1:51" x14ac:dyDescent="0.25">
      <c r="A543" s="133">
        <f t="shared" si="203"/>
        <v>525</v>
      </c>
      <c r="B543" s="132">
        <f t="shared" si="201"/>
        <v>63</v>
      </c>
      <c r="C543" s="77" t="s">
        <v>545</v>
      </c>
      <c r="D543" s="77" t="s">
        <v>164</v>
      </c>
      <c r="E543" s="78">
        <v>1988</v>
      </c>
      <c r="F543" s="78">
        <v>2017</v>
      </c>
      <c r="G543" s="78" t="s">
        <v>547</v>
      </c>
      <c r="H543" s="78">
        <v>9</v>
      </c>
      <c r="I543" s="78">
        <v>3</v>
      </c>
      <c r="J543" s="44">
        <v>8927</v>
      </c>
      <c r="K543" s="44">
        <v>7116.5</v>
      </c>
      <c r="L543" s="44">
        <v>0</v>
      </c>
      <c r="M543" s="79">
        <v>291</v>
      </c>
      <c r="N543" s="129">
        <f t="shared" si="215"/>
        <v>7562846.0122871753</v>
      </c>
      <c r="O543" s="44"/>
      <c r="P543" s="68"/>
      <c r="Q543" s="68"/>
      <c r="R543" s="68">
        <f t="shared" si="216"/>
        <v>5418954.5269999998</v>
      </c>
      <c r="S543" s="68">
        <f>+'Приложение №2'!E543-'Приложение №1'!R543</f>
        <v>2143891.4852871755</v>
      </c>
      <c r="T543" s="68">
        <v>0</v>
      </c>
      <c r="U543" s="68">
        <f t="shared" si="217"/>
        <v>1062.7198780702838</v>
      </c>
      <c r="V543" s="68">
        <v>1229.2830200640001</v>
      </c>
      <c r="W543" s="80">
        <v>2024</v>
      </c>
      <c r="X543" s="29" t="e">
        <f>+#REF!-'[1]Приложение №1'!$P968</f>
        <v>#REF!</v>
      </c>
      <c r="Z543" s="31">
        <f t="shared" si="219"/>
        <v>8403162.2358746398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/>
      <c r="AG543" s="27">
        <v>0</v>
      </c>
      <c r="AH543" s="27">
        <v>0</v>
      </c>
      <c r="AI543" s="27">
        <v>7401001.10762423</v>
      </c>
      <c r="AJ543" s="27">
        <v>0</v>
      </c>
      <c r="AK543" s="27">
        <v>0</v>
      </c>
      <c r="AL543" s="27">
        <v>0</v>
      </c>
      <c r="AM543" s="27">
        <v>756284.6012287176</v>
      </c>
      <c r="AN543" s="32">
        <v>84031.622358746405</v>
      </c>
      <c r="AO543" s="33">
        <v>161844.90466294557</v>
      </c>
      <c r="AP543" s="84">
        <f>+N543-'Приложение №2'!E543</f>
        <v>0</v>
      </c>
      <c r="AQ543" s="1">
        <v>4454256.0199999996</v>
      </c>
      <c r="AR543" s="1">
        <f>+(K543*13.29+L543*22.52)*12*0.85</f>
        <v>964698.50699999987</v>
      </c>
      <c r="AS543" s="1">
        <f>+(K543*13.29+L543*22.52)*12*30</f>
        <v>34048182.599999994</v>
      </c>
      <c r="AT543" s="29">
        <f t="shared" si="218"/>
        <v>-31904291.114712819</v>
      </c>
      <c r="AU543" s="29">
        <f>+P543-'[6]Приложение №1'!$P513</f>
        <v>0</v>
      </c>
      <c r="AV543" s="29">
        <f>+Q543-'[6]Приложение №1'!$Q513</f>
        <v>0</v>
      </c>
      <c r="AW543" s="29">
        <f>+R543-'[6]Приложение №1'!$R513</f>
        <v>0</v>
      </c>
      <c r="AX543" s="29">
        <f>+S543-'[6]Приложение №1'!$S513</f>
        <v>0</v>
      </c>
      <c r="AY543" s="29">
        <f>+T543-'[6]Приложение №1'!$T513</f>
        <v>0</v>
      </c>
    </row>
    <row r="544" spans="1:51" x14ac:dyDescent="0.25">
      <c r="A544" s="133">
        <f t="shared" si="203"/>
        <v>526</v>
      </c>
      <c r="B544" s="132">
        <f t="shared" si="201"/>
        <v>64</v>
      </c>
      <c r="C544" s="77" t="s">
        <v>545</v>
      </c>
      <c r="D544" s="77" t="s">
        <v>160</v>
      </c>
      <c r="E544" s="78">
        <v>1996</v>
      </c>
      <c r="F544" s="78">
        <v>1996</v>
      </c>
      <c r="G544" s="78" t="s">
        <v>44</v>
      </c>
      <c r="H544" s="78">
        <v>3</v>
      </c>
      <c r="I544" s="78">
        <v>2</v>
      </c>
      <c r="J544" s="44">
        <v>1212.9000000000001</v>
      </c>
      <c r="K544" s="44">
        <v>969.5</v>
      </c>
      <c r="L544" s="44">
        <v>83.1</v>
      </c>
      <c r="M544" s="79">
        <v>29</v>
      </c>
      <c r="N544" s="129">
        <f t="shared" si="215"/>
        <v>6797608.8843123196</v>
      </c>
      <c r="O544" s="44"/>
      <c r="P544" s="68">
        <f>1035981.19203952+28011.37</f>
        <v>1063992.5620395201</v>
      </c>
      <c r="Q544" s="68"/>
      <c r="R544" s="68">
        <f t="shared" si="216"/>
        <v>647279.99</v>
      </c>
      <c r="S544" s="68">
        <f>+AS544</f>
        <v>4088520</v>
      </c>
      <c r="T544" s="68">
        <f>+'Приложение №2'!E544-'Приложение №1'!P544-'Приложение №1'!Q544-'Приложение №1'!R544-'Приложение №1'!S544</f>
        <v>997816.33227279969</v>
      </c>
      <c r="U544" s="68">
        <f t="shared" si="217"/>
        <v>7011.4583644273534</v>
      </c>
      <c r="V544" s="68">
        <v>1230.2830200640001</v>
      </c>
      <c r="W544" s="80">
        <v>2024</v>
      </c>
      <c r="X544" s="29" t="e">
        <f>+#REF!-'[1]Приложение №1'!$P596</f>
        <v>#REF!</v>
      </c>
      <c r="Z544" s="31">
        <f t="shared" si="219"/>
        <v>8757819.8400000017</v>
      </c>
      <c r="AA544" s="27">
        <v>4004514.1821484803</v>
      </c>
      <c r="AB544" s="27">
        <v>2086346.4776985601</v>
      </c>
      <c r="AC544" s="27">
        <v>863302.14653759997</v>
      </c>
      <c r="AD544" s="27">
        <v>448610.79529728007</v>
      </c>
      <c r="AE544" s="27">
        <v>0</v>
      </c>
      <c r="AF544" s="27"/>
      <c r="AG544" s="27">
        <v>327305.36184192001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771121.50719999999</v>
      </c>
      <c r="AN544" s="32">
        <v>87578.198400000023</v>
      </c>
      <c r="AO544" s="33">
        <v>169041.17087616003</v>
      </c>
      <c r="AP544" s="84">
        <f>+N544-'Приложение №2'!E544</f>
        <v>0</v>
      </c>
      <c r="AQ544" s="34">
        <v>531438.59</v>
      </c>
      <c r="AR544" s="1">
        <f>+(K544*10+L544*20)*12*0.85</f>
        <v>115841.4</v>
      </c>
      <c r="AS544" s="1">
        <f>+(K544*10+L544*20)*12*30</f>
        <v>4088520</v>
      </c>
      <c r="AT544" s="29">
        <f t="shared" si="218"/>
        <v>0</v>
      </c>
      <c r="AU544" s="29">
        <f>+P544-'[6]Приложение №1'!$P514</f>
        <v>0</v>
      </c>
      <c r="AV544" s="29">
        <f>+Q544-'[6]Приложение №1'!$Q514</f>
        <v>0</v>
      </c>
      <c r="AW544" s="29">
        <f>+R544-'[6]Приложение №1'!$R514</f>
        <v>0</v>
      </c>
      <c r="AX544" s="29">
        <f>+S544-'[6]Приложение №1'!$S514</f>
        <v>0</v>
      </c>
      <c r="AY544" s="29">
        <f>+T544-'[6]Приложение №1'!$T514</f>
        <v>0</v>
      </c>
    </row>
    <row r="545" spans="1:51" x14ac:dyDescent="0.25">
      <c r="A545" s="133">
        <f t="shared" si="203"/>
        <v>527</v>
      </c>
      <c r="B545" s="132">
        <f t="shared" si="203"/>
        <v>65</v>
      </c>
      <c r="C545" s="77" t="s">
        <v>545</v>
      </c>
      <c r="D545" s="77" t="s">
        <v>161</v>
      </c>
      <c r="E545" s="78">
        <v>1983</v>
      </c>
      <c r="F545" s="78">
        <v>2007</v>
      </c>
      <c r="G545" s="78" t="s">
        <v>547</v>
      </c>
      <c r="H545" s="78">
        <v>5</v>
      </c>
      <c r="I545" s="78">
        <v>3</v>
      </c>
      <c r="J545" s="44">
        <v>5113.2</v>
      </c>
      <c r="K545" s="44">
        <v>4295.2</v>
      </c>
      <c r="L545" s="44">
        <v>0</v>
      </c>
      <c r="M545" s="79">
        <v>187</v>
      </c>
      <c r="N545" s="129">
        <f t="shared" si="215"/>
        <v>3323108.484322099</v>
      </c>
      <c r="O545" s="44"/>
      <c r="P545" s="68"/>
      <c r="Q545" s="68"/>
      <c r="R545" s="68">
        <f t="shared" si="216"/>
        <v>2453478.9500000002</v>
      </c>
      <c r="S545" s="68">
        <f>+'Приложение №2'!E545-'Приложение №1'!R545</f>
        <v>869629.53432209883</v>
      </c>
      <c r="T545" s="68">
        <v>0</v>
      </c>
      <c r="U545" s="68">
        <f t="shared" si="217"/>
        <v>773.67956889599998</v>
      </c>
      <c r="V545" s="68">
        <v>1231.2830200640001</v>
      </c>
      <c r="W545" s="80">
        <v>2024</v>
      </c>
      <c r="X545" s="29" t="e">
        <f>+#REF!-'[1]Приложение №1'!$P597</f>
        <v>#REF!</v>
      </c>
      <c r="Z545" s="31">
        <f t="shared" si="219"/>
        <v>17280414.083158389</v>
      </c>
      <c r="AA545" s="27">
        <v>10767125.593739318</v>
      </c>
      <c r="AB545" s="27">
        <v>0</v>
      </c>
      <c r="AC545" s="27">
        <v>4113978.3002970773</v>
      </c>
      <c r="AD545" s="27">
        <v>0</v>
      </c>
      <c r="AE545" s="27">
        <v>0</v>
      </c>
      <c r="AF545" s="27"/>
      <c r="AG545" s="27">
        <v>447036.35546105617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1444274.3103040662</v>
      </c>
      <c r="AN545" s="32">
        <v>172804.14083158388</v>
      </c>
      <c r="AO545" s="33">
        <v>335195.38252528664</v>
      </c>
      <c r="AP545" s="84">
        <f>+N545-'Приложение №2'!E545</f>
        <v>0</v>
      </c>
      <c r="AQ545" s="1">
        <v>2015368.55</v>
      </c>
      <c r="AR545" s="1">
        <f>+(K545*10+L545*20)*12*0.85</f>
        <v>438110.39999999997</v>
      </c>
      <c r="AS545" s="1">
        <f>+(K545*10+L545*20)*12*30</f>
        <v>15462720</v>
      </c>
      <c r="AT545" s="29">
        <f t="shared" si="218"/>
        <v>-14593090.465677902</v>
      </c>
      <c r="AU545" s="29">
        <f>+P545-'[6]Приложение №1'!$P515</f>
        <v>0</v>
      </c>
      <c r="AV545" s="29">
        <f>+Q545-'[6]Приложение №1'!$Q515</f>
        <v>0</v>
      </c>
      <c r="AW545" s="29">
        <f>+R545-'[6]Приложение №1'!$R515</f>
        <v>0</v>
      </c>
      <c r="AX545" s="29">
        <f>+S545-'[6]Приложение №1'!$S515</f>
        <v>0</v>
      </c>
      <c r="AY545" s="29">
        <f>+T545-'[6]Приложение №1'!$T515</f>
        <v>0</v>
      </c>
    </row>
    <row r="546" spans="1:51" x14ac:dyDescent="0.25">
      <c r="A546" s="133">
        <f t="shared" ref="A546:B561" si="220">+A545+1</f>
        <v>528</v>
      </c>
      <c r="B546" s="132">
        <f t="shared" si="220"/>
        <v>66</v>
      </c>
      <c r="C546" s="77" t="s">
        <v>545</v>
      </c>
      <c r="D546" s="77" t="s">
        <v>162</v>
      </c>
      <c r="E546" s="78">
        <v>1980</v>
      </c>
      <c r="F546" s="78">
        <v>2011</v>
      </c>
      <c r="G546" s="78" t="s">
        <v>547</v>
      </c>
      <c r="H546" s="78">
        <v>5</v>
      </c>
      <c r="I546" s="78">
        <v>6</v>
      </c>
      <c r="J546" s="44">
        <v>6841.9</v>
      </c>
      <c r="K546" s="44">
        <v>5717.4</v>
      </c>
      <c r="L546" s="44">
        <v>467.7</v>
      </c>
      <c r="M546" s="79">
        <v>273</v>
      </c>
      <c r="N546" s="129">
        <f t="shared" si="215"/>
        <v>25777524.930161469</v>
      </c>
      <c r="O546" s="44"/>
      <c r="P546" s="68">
        <f>+'Приложение №2'!E546-'Приложение №1'!R546-'Приложение №1'!S546</f>
        <v>0</v>
      </c>
      <c r="Q546" s="68"/>
      <c r="R546" s="68">
        <f t="shared" si="216"/>
        <v>3647493.98</v>
      </c>
      <c r="S546" s="68">
        <f>+'Приложение №2'!E546-'Приложение №1'!R546</f>
        <v>22130030.950161468</v>
      </c>
      <c r="T546" s="68">
        <f>+'Приложение №2'!E546-'Приложение №1'!P546-'Приложение №1'!R546-'Приложение №1'!S546</f>
        <v>0</v>
      </c>
      <c r="U546" s="68">
        <f t="shared" si="217"/>
        <v>4508.6096705078307</v>
      </c>
      <c r="V546" s="68">
        <v>1232.2830200640001</v>
      </c>
      <c r="W546" s="80">
        <v>2024</v>
      </c>
      <c r="X546" s="29" t="e">
        <f>+#REF!-'[1]Приложение №1'!$P598</f>
        <v>#REF!</v>
      </c>
      <c r="Z546" s="31">
        <f t="shared" si="219"/>
        <v>28963511.157484796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/>
      <c r="AG546" s="27">
        <v>0</v>
      </c>
      <c r="AH546" s="27">
        <v>0</v>
      </c>
      <c r="AI546" s="27">
        <v>0</v>
      </c>
      <c r="AJ546" s="27">
        <v>0</v>
      </c>
      <c r="AK546" s="27">
        <v>25225885.896656014</v>
      </c>
      <c r="AL546" s="27">
        <v>0</v>
      </c>
      <c r="AM546" s="27">
        <v>2896351.11574848</v>
      </c>
      <c r="AN546" s="32">
        <v>289635.11157484795</v>
      </c>
      <c r="AO546" s="33">
        <v>551639.03350545547</v>
      </c>
      <c r="AP546" s="84">
        <f>+N546-'Приложение №2'!E546</f>
        <v>0</v>
      </c>
      <c r="AQ546" s="1">
        <v>2968908.38</v>
      </c>
      <c r="AR546" s="1">
        <f>+(K546*10+L546*20)*12*0.85</f>
        <v>678585.6</v>
      </c>
      <c r="AS546" s="1">
        <f>+(K546*10+L546*20)*12*30</f>
        <v>23950080</v>
      </c>
      <c r="AT546" s="29">
        <f t="shared" si="218"/>
        <v>-1820049.0498385318</v>
      </c>
      <c r="AU546" s="29">
        <f>+P546-'[6]Приложение №1'!$P516</f>
        <v>0</v>
      </c>
      <c r="AV546" s="29">
        <f>+Q546-'[6]Приложение №1'!$Q516</f>
        <v>0</v>
      </c>
      <c r="AW546" s="29">
        <f>+R546-'[6]Приложение №1'!$R516</f>
        <v>0</v>
      </c>
      <c r="AX546" s="29">
        <f>+S546-'[6]Приложение №1'!$S516</f>
        <v>0</v>
      </c>
      <c r="AY546" s="29">
        <f>+T546-'[6]Приложение №1'!$T516</f>
        <v>0</v>
      </c>
    </row>
    <row r="547" spans="1:51" x14ac:dyDescent="0.25">
      <c r="A547" s="133">
        <f t="shared" si="220"/>
        <v>529</v>
      </c>
      <c r="B547" s="132">
        <f t="shared" si="220"/>
        <v>67</v>
      </c>
      <c r="C547" s="77" t="s">
        <v>545</v>
      </c>
      <c r="D547" s="77" t="s">
        <v>300</v>
      </c>
      <c r="E547" s="78">
        <v>1987</v>
      </c>
      <c r="F547" s="78">
        <v>2017</v>
      </c>
      <c r="G547" s="78" t="s">
        <v>547</v>
      </c>
      <c r="H547" s="78">
        <v>9</v>
      </c>
      <c r="I547" s="78">
        <v>1</v>
      </c>
      <c r="J547" s="44">
        <v>2767.8</v>
      </c>
      <c r="K547" s="44">
        <v>2150.8000000000002</v>
      </c>
      <c r="L547" s="44">
        <v>66.8</v>
      </c>
      <c r="M547" s="79">
        <v>94</v>
      </c>
      <c r="N547" s="129">
        <f t="shared" si="215"/>
        <v>13959928.783242105</v>
      </c>
      <c r="O547" s="44"/>
      <c r="P547" s="68">
        <v>2937535.5499065467</v>
      </c>
      <c r="Q547" s="68"/>
      <c r="R547" s="68">
        <f t="shared" si="216"/>
        <v>0</v>
      </c>
      <c r="S547" s="68">
        <f>+AS547</f>
        <v>6597178.9126290623</v>
      </c>
      <c r="T547" s="68">
        <f>+'Приложение №2'!E547-'Приложение №1'!P547-'Приложение №1'!R547-'Приложение №1'!S547</f>
        <v>4425214.320706496</v>
      </c>
      <c r="U547" s="68">
        <f t="shared" si="217"/>
        <v>6490.5750340534232</v>
      </c>
      <c r="V547" s="68">
        <v>1233.2830200640001</v>
      </c>
      <c r="W547" s="80">
        <v>2024</v>
      </c>
      <c r="X547" s="29" t="e">
        <f>+#REF!-'[1]Приложение №1'!$P1352</f>
        <v>#REF!</v>
      </c>
      <c r="Z547" s="31">
        <f t="shared" si="219"/>
        <v>24358296.106563497</v>
      </c>
      <c r="AA547" s="27">
        <v>5322442.2844350552</v>
      </c>
      <c r="AB547" s="27">
        <v>2129484.5377048999</v>
      </c>
      <c r="AC547" s="27">
        <v>0</v>
      </c>
      <c r="AD547" s="27">
        <v>0</v>
      </c>
      <c r="AE547" s="27">
        <v>0</v>
      </c>
      <c r="AF547" s="27"/>
      <c r="AG547" s="27">
        <v>236468.68196531132</v>
      </c>
      <c r="AH547" s="27">
        <v>0</v>
      </c>
      <c r="AI547" s="27">
        <v>0</v>
      </c>
      <c r="AJ547" s="27">
        <v>0</v>
      </c>
      <c r="AK547" s="27">
        <v>13665253.188203763</v>
      </c>
      <c r="AL547" s="27">
        <v>0</v>
      </c>
      <c r="AM547" s="27">
        <v>2294103.4047365393</v>
      </c>
      <c r="AN547" s="32">
        <v>243582.96106563497</v>
      </c>
      <c r="AO547" s="33">
        <v>466961.04845229239</v>
      </c>
      <c r="AP547" s="84">
        <f>+N547-'Приложение №2'!E547</f>
        <v>0</v>
      </c>
      <c r="AQ547" s="29">
        <f>1394329.46-R242</f>
        <v>-306902.37360000005</v>
      </c>
      <c r="AR547" s="1">
        <f>+(K547*13.29+L547*22.52)*12*0.85</f>
        <v>306902.37360000005</v>
      </c>
      <c r="AS547" s="1">
        <f>+(K547*13.29+L547*22.52)*12*30-S242</f>
        <v>6597178.9126290623</v>
      </c>
      <c r="AT547" s="29">
        <f t="shared" si="218"/>
        <v>0</v>
      </c>
      <c r="AU547" s="29">
        <f>+P547-'[6]Приложение №1'!$P517</f>
        <v>0</v>
      </c>
      <c r="AV547" s="29">
        <f>+Q547-'[6]Приложение №1'!$Q517</f>
        <v>0</v>
      </c>
      <c r="AW547" s="29">
        <f>+R547-'[6]Приложение №1'!$R517</f>
        <v>0</v>
      </c>
      <c r="AX547" s="29">
        <f>+S547-'[6]Приложение №1'!$S517</f>
        <v>0</v>
      </c>
      <c r="AY547" s="29">
        <f>+T547-'[6]Приложение №1'!$T517</f>
        <v>0</v>
      </c>
    </row>
    <row r="548" spans="1:51" x14ac:dyDescent="0.25">
      <c r="A548" s="133">
        <f t="shared" si="220"/>
        <v>530</v>
      </c>
      <c r="B548" s="132">
        <f t="shared" si="220"/>
        <v>68</v>
      </c>
      <c r="C548" s="77" t="s">
        <v>545</v>
      </c>
      <c r="D548" s="77" t="s">
        <v>165</v>
      </c>
      <c r="E548" s="78">
        <v>1987</v>
      </c>
      <c r="F548" s="78">
        <v>2016</v>
      </c>
      <c r="G548" s="78" t="s">
        <v>547</v>
      </c>
      <c r="H548" s="78">
        <v>5</v>
      </c>
      <c r="I548" s="78">
        <v>4</v>
      </c>
      <c r="J548" s="44">
        <v>5859.43</v>
      </c>
      <c r="K548" s="44">
        <v>4644.3999999999996</v>
      </c>
      <c r="L548" s="44">
        <v>278.60000000000002</v>
      </c>
      <c r="M548" s="79">
        <v>182</v>
      </c>
      <c r="N548" s="129">
        <f t="shared" si="215"/>
        <v>7536651.091054799</v>
      </c>
      <c r="O548" s="44"/>
      <c r="P548" s="68"/>
      <c r="Q548" s="68"/>
      <c r="R548" s="68">
        <f t="shared" si="216"/>
        <v>3004626.7699999996</v>
      </c>
      <c r="S548" s="68">
        <f>+'Приложение №2'!E548-'Приложение №1'!R548</f>
        <v>4532024.3210547995</v>
      </c>
      <c r="T548" s="68">
        <v>0</v>
      </c>
      <c r="U548" s="68">
        <f t="shared" si="217"/>
        <v>1622.7394477337868</v>
      </c>
      <c r="V548" s="68">
        <v>1234.2830200640001</v>
      </c>
      <c r="W548" s="80">
        <v>2024</v>
      </c>
      <c r="X548" s="29" t="e">
        <f>+#REF!-'[1]Приложение №1'!$P601</f>
        <v>#REF!</v>
      </c>
      <c r="Z548" s="31">
        <f t="shared" si="219"/>
        <v>8468147.2933200002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/>
      <c r="AG548" s="27">
        <v>0</v>
      </c>
      <c r="AH548" s="27">
        <v>0</v>
      </c>
      <c r="AI548" s="27">
        <v>0</v>
      </c>
      <c r="AJ548" s="27">
        <v>7375366.7577062268</v>
      </c>
      <c r="AK548" s="27">
        <v>0</v>
      </c>
      <c r="AL548" s="27">
        <v>0</v>
      </c>
      <c r="AM548" s="27">
        <v>846814.72933200002</v>
      </c>
      <c r="AN548" s="32">
        <v>84681.472933199999</v>
      </c>
      <c r="AO548" s="33">
        <v>161284.33334857272</v>
      </c>
      <c r="AP548" s="84">
        <f>+N548-'Приложение №2'!E548</f>
        <v>0</v>
      </c>
      <c r="AQ548" s="1">
        <v>2474063.5699999998</v>
      </c>
      <c r="AR548" s="1">
        <f>+(K548*10+L548*20)*12*0.85</f>
        <v>530563.19999999995</v>
      </c>
      <c r="AS548" s="1">
        <f>+(K548*10+L548*20)*12*30</f>
        <v>18725760</v>
      </c>
      <c r="AT548" s="29">
        <f t="shared" si="218"/>
        <v>-14193735.678945201</v>
      </c>
      <c r="AU548" s="29">
        <f>+P548-'[6]Приложение №1'!$P518</f>
        <v>0</v>
      </c>
      <c r="AV548" s="29">
        <f>+Q548-'[6]Приложение №1'!$Q518</f>
        <v>0</v>
      </c>
      <c r="AW548" s="29">
        <f>+R548-'[6]Приложение №1'!$R518</f>
        <v>0</v>
      </c>
      <c r="AX548" s="29">
        <f>+S548-'[6]Приложение №1'!$S518</f>
        <v>0</v>
      </c>
      <c r="AY548" s="29">
        <f>+T548-'[6]Приложение №1'!$T518</f>
        <v>0</v>
      </c>
    </row>
    <row r="549" spans="1:51" x14ac:dyDescent="0.25">
      <c r="A549" s="133">
        <f t="shared" si="220"/>
        <v>531</v>
      </c>
      <c r="B549" s="132">
        <f t="shared" si="220"/>
        <v>69</v>
      </c>
      <c r="C549" s="77" t="s">
        <v>545</v>
      </c>
      <c r="D549" s="77" t="s">
        <v>166</v>
      </c>
      <c r="E549" s="78">
        <v>1987</v>
      </c>
      <c r="F549" s="78">
        <v>2016</v>
      </c>
      <c r="G549" s="78" t="s">
        <v>547</v>
      </c>
      <c r="H549" s="78">
        <v>5</v>
      </c>
      <c r="I549" s="78">
        <v>5</v>
      </c>
      <c r="J549" s="44">
        <v>7155.6</v>
      </c>
      <c r="K549" s="44">
        <v>5789.5</v>
      </c>
      <c r="L549" s="44">
        <v>194.7</v>
      </c>
      <c r="M549" s="79">
        <v>243</v>
      </c>
      <c r="N549" s="129">
        <f t="shared" si="215"/>
        <v>46216506.053262837</v>
      </c>
      <c r="O549" s="44"/>
      <c r="P549" s="68">
        <v>5155802.1643344508</v>
      </c>
      <c r="Q549" s="68"/>
      <c r="R549" s="68">
        <f t="shared" si="216"/>
        <v>3546652.9</v>
      </c>
      <c r="S549" s="68">
        <f>+AS549</f>
        <v>22244040</v>
      </c>
      <c r="T549" s="68">
        <f>+'Приложение №2'!E549-'Приложение №1'!P549-'Приложение №1'!R549-'Приложение №1'!S549</f>
        <v>15270010.988928385</v>
      </c>
      <c r="U549" s="68">
        <f t="shared" si="217"/>
        <v>7982.8147600419443</v>
      </c>
      <c r="V549" s="68">
        <v>1235.2830200640001</v>
      </c>
      <c r="W549" s="80">
        <v>2024</v>
      </c>
      <c r="X549" s="29" t="e">
        <f>+#REF!-'[1]Приложение №1'!$P971</f>
        <v>#REF!</v>
      </c>
      <c r="Z549" s="31">
        <f t="shared" si="219"/>
        <v>41277450.38367226</v>
      </c>
      <c r="AA549" s="27">
        <v>11858561.038653761</v>
      </c>
      <c r="AB549" s="27">
        <v>0</v>
      </c>
      <c r="AC549" s="27">
        <v>0</v>
      </c>
      <c r="AD549" s="27">
        <v>4785667.3703647591</v>
      </c>
      <c r="AE549" s="27">
        <v>0</v>
      </c>
      <c r="AF549" s="27"/>
      <c r="AG549" s="27">
        <v>0</v>
      </c>
      <c r="AH549" s="27">
        <v>0</v>
      </c>
      <c r="AI549" s="27">
        <v>19618197.919447646</v>
      </c>
      <c r="AJ549" s="27">
        <v>0</v>
      </c>
      <c r="AK549" s="27">
        <v>0</v>
      </c>
      <c r="AL549" s="27">
        <v>0</v>
      </c>
      <c r="AM549" s="27">
        <v>3809263.7313926965</v>
      </c>
      <c r="AN549" s="32">
        <v>412774.50383672258</v>
      </c>
      <c r="AO549" s="33">
        <v>792985.81997667684</v>
      </c>
      <c r="AP549" s="84">
        <f>+N549-'Приложение №2'!E549</f>
        <v>0</v>
      </c>
      <c r="AQ549" s="1">
        <v>2916405.1</v>
      </c>
      <c r="AR549" s="1">
        <f>+(K549*10+L549*20)*12*0.85</f>
        <v>630247.79999999993</v>
      </c>
      <c r="AS549" s="1">
        <f>+(K549*10+L549*20)*12*30</f>
        <v>22244040</v>
      </c>
      <c r="AT549" s="29">
        <f t="shared" si="218"/>
        <v>0</v>
      </c>
      <c r="AU549" s="29">
        <f>+P549-'[6]Приложение №1'!$P519</f>
        <v>0</v>
      </c>
      <c r="AV549" s="29">
        <f>+Q549-'[6]Приложение №1'!$Q519</f>
        <v>0</v>
      </c>
      <c r="AW549" s="29">
        <f>+R549-'[6]Приложение №1'!$R519</f>
        <v>0</v>
      </c>
      <c r="AX549" s="29">
        <f>+S549-'[6]Приложение №1'!$S519</f>
        <v>0</v>
      </c>
      <c r="AY549" s="29">
        <f>+T549-'[6]Приложение №1'!$T519</f>
        <v>0</v>
      </c>
    </row>
    <row r="550" spans="1:51" x14ac:dyDescent="0.25">
      <c r="A550" s="133">
        <f t="shared" si="220"/>
        <v>532</v>
      </c>
      <c r="B550" s="132">
        <f t="shared" si="220"/>
        <v>70</v>
      </c>
      <c r="C550" s="77" t="s">
        <v>545</v>
      </c>
      <c r="D550" s="77" t="s">
        <v>167</v>
      </c>
      <c r="E550" s="78">
        <v>1995</v>
      </c>
      <c r="F550" s="78">
        <v>1995</v>
      </c>
      <c r="G550" s="78" t="s">
        <v>547</v>
      </c>
      <c r="H550" s="78">
        <v>5</v>
      </c>
      <c r="I550" s="78">
        <v>6</v>
      </c>
      <c r="J550" s="44">
        <v>5276.5</v>
      </c>
      <c r="K550" s="44">
        <v>4687.3999999999996</v>
      </c>
      <c r="L550" s="44">
        <v>0</v>
      </c>
      <c r="M550" s="79">
        <v>200</v>
      </c>
      <c r="N550" s="129">
        <f t="shared" si="215"/>
        <v>3627706.1305964547</v>
      </c>
      <c r="O550" s="44"/>
      <c r="P550" s="68"/>
      <c r="Q550" s="68"/>
      <c r="R550" s="68">
        <f t="shared" si="216"/>
        <v>2653756.7599999998</v>
      </c>
      <c r="S550" s="68">
        <f>+'Приложение №2'!E550-'Приложение №1'!R550</f>
        <v>973949.37059645494</v>
      </c>
      <c r="T550" s="68">
        <v>0</v>
      </c>
      <c r="U550" s="68">
        <f t="shared" si="217"/>
        <v>773.927151639812</v>
      </c>
      <c r="V550" s="68">
        <v>1236.2830200640001</v>
      </c>
      <c r="W550" s="80">
        <v>2024</v>
      </c>
      <c r="X550" s="29" t="e">
        <f>+#REF!-'[1]Приложение №1'!$P604</f>
        <v>#REF!</v>
      </c>
      <c r="Z550" s="31">
        <f t="shared" si="219"/>
        <v>26420103.173131198</v>
      </c>
      <c r="AA550" s="27">
        <v>0</v>
      </c>
      <c r="AB550" s="27">
        <v>0</v>
      </c>
      <c r="AC550" s="27">
        <v>3550073.2194016906</v>
      </c>
      <c r="AD550" s="27">
        <v>0</v>
      </c>
      <c r="AE550" s="27">
        <v>0</v>
      </c>
      <c r="AF550" s="27"/>
      <c r="AG550" s="27">
        <v>0</v>
      </c>
      <c r="AH550" s="27">
        <v>0</v>
      </c>
      <c r="AI550" s="27">
        <v>0</v>
      </c>
      <c r="AJ550" s="27">
        <v>0</v>
      </c>
      <c r="AK550" s="27">
        <v>19460621.319649618</v>
      </c>
      <c r="AL550" s="27">
        <v>0</v>
      </c>
      <c r="AM550" s="27">
        <v>2642010.3173131198</v>
      </c>
      <c r="AN550" s="32">
        <v>264201.03173131199</v>
      </c>
      <c r="AO550" s="33">
        <v>503197.28503545688</v>
      </c>
      <c r="AP550" s="84">
        <f>+N550-'Приложение №2'!E550</f>
        <v>0</v>
      </c>
      <c r="AQ550" s="1">
        <v>2175641.96</v>
      </c>
      <c r="AR550" s="1">
        <f>+(K550*10+L550*20)*12*0.85</f>
        <v>478114.8</v>
      </c>
      <c r="AS550" s="1">
        <f>+(K550*10+L550*20)*12*30</f>
        <v>16874640</v>
      </c>
      <c r="AT550" s="29">
        <f t="shared" si="218"/>
        <v>-15900690.629403545</v>
      </c>
      <c r="AU550" s="29">
        <f>+P550-'[6]Приложение №1'!$P520</f>
        <v>0</v>
      </c>
      <c r="AV550" s="29">
        <f>+Q550-'[6]Приложение №1'!$Q520</f>
        <v>0</v>
      </c>
      <c r="AW550" s="29">
        <f>+R550-'[6]Приложение №1'!$R520</f>
        <v>0</v>
      </c>
      <c r="AX550" s="29">
        <f>+S550-'[6]Приложение №1'!$S520</f>
        <v>0</v>
      </c>
      <c r="AY550" s="29">
        <f>+T550-'[6]Приложение №1'!$T520</f>
        <v>0</v>
      </c>
    </row>
    <row r="551" spans="1:51" x14ac:dyDescent="0.25">
      <c r="A551" s="133">
        <f t="shared" si="220"/>
        <v>533</v>
      </c>
      <c r="B551" s="132">
        <f t="shared" si="220"/>
        <v>71</v>
      </c>
      <c r="C551" s="77" t="s">
        <v>545</v>
      </c>
      <c r="D551" s="77" t="s">
        <v>67</v>
      </c>
      <c r="E551" s="78">
        <v>1993</v>
      </c>
      <c r="F551" s="78">
        <v>2017</v>
      </c>
      <c r="G551" s="78" t="s">
        <v>547</v>
      </c>
      <c r="H551" s="78">
        <v>9</v>
      </c>
      <c r="I551" s="78">
        <v>2</v>
      </c>
      <c r="J551" s="44">
        <v>6530.5</v>
      </c>
      <c r="K551" s="44">
        <v>5640.1</v>
      </c>
      <c r="L551" s="44">
        <v>180</v>
      </c>
      <c r="M551" s="79">
        <v>226</v>
      </c>
      <c r="N551" s="129">
        <f t="shared" si="215"/>
        <v>39683829.239116445</v>
      </c>
      <c r="O551" s="44"/>
      <c r="P551" s="68">
        <v>2102054.094579109</v>
      </c>
      <c r="Q551" s="68"/>
      <c r="R551" s="68">
        <f t="shared" si="216"/>
        <v>4320165.2457999997</v>
      </c>
      <c r="S551" s="68">
        <f>+AS551</f>
        <v>28443790.440000005</v>
      </c>
      <c r="T551" s="68">
        <f>+'Приложение №2'!E551-'Приложение №1'!P551-'Приложение №1'!R551-'Приложение №1'!S551</f>
        <v>4817819.4587373249</v>
      </c>
      <c r="U551" s="68">
        <f t="shared" si="217"/>
        <v>7036.0151839712844</v>
      </c>
      <c r="V551" s="68">
        <v>1237.2830200640001</v>
      </c>
      <c r="W551" s="80">
        <v>2024</v>
      </c>
      <c r="X551" s="29" t="e">
        <f>+#REF!-'[1]Приложение №1'!$P975</f>
        <v>#REF!</v>
      </c>
      <c r="Z551" s="31">
        <f t="shared" si="219"/>
        <v>39857867.97911644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/>
      <c r="AG551" s="27">
        <v>0</v>
      </c>
      <c r="AH551" s="27">
        <v>0</v>
      </c>
      <c r="AI551" s="27">
        <v>0</v>
      </c>
      <c r="AJ551" s="27">
        <v>0</v>
      </c>
      <c r="AK551" s="27">
        <v>38834595.293399349</v>
      </c>
      <c r="AL551" s="27">
        <v>0</v>
      </c>
      <c r="AM551" s="27">
        <v>150038.74</v>
      </c>
      <c r="AN551" s="27">
        <v>24000</v>
      </c>
      <c r="AO551" s="33">
        <v>849233.9457170919</v>
      </c>
      <c r="AP551" s="84">
        <f>+N551-'Приложение №2'!E551</f>
        <v>0</v>
      </c>
      <c r="AQ551" s="1">
        <v>3514257.85</v>
      </c>
      <c r="AR551" s="1">
        <f>+(K551*13.29+L551*22.52)*12*0.85</f>
        <v>805907.39580000006</v>
      </c>
      <c r="AS551" s="1">
        <f>+(K551*13.29+L551*22.52)*12*30</f>
        <v>28443790.440000005</v>
      </c>
      <c r="AT551" s="29">
        <f t="shared" si="218"/>
        <v>0</v>
      </c>
      <c r="AU551" s="29">
        <f>+P551-'[6]Приложение №1'!$P521</f>
        <v>0</v>
      </c>
      <c r="AV551" s="29">
        <f>+Q551-'[6]Приложение №1'!$Q521</f>
        <v>0</v>
      </c>
      <c r="AW551" s="29">
        <f>+R551-'[6]Приложение №1'!$R521</f>
        <v>0</v>
      </c>
      <c r="AX551" s="29">
        <f>+S551-'[6]Приложение №1'!$S521</f>
        <v>0</v>
      </c>
      <c r="AY551" s="29">
        <f>+T551-'[6]Приложение №1'!$T521</f>
        <v>0</v>
      </c>
    </row>
    <row r="552" spans="1:51" x14ac:dyDescent="0.25">
      <c r="A552" s="133">
        <f t="shared" si="220"/>
        <v>534</v>
      </c>
      <c r="B552" s="132">
        <f t="shared" si="220"/>
        <v>72</v>
      </c>
      <c r="C552" s="77" t="s">
        <v>545</v>
      </c>
      <c r="D552" s="77" t="s">
        <v>305</v>
      </c>
      <c r="E552" s="78">
        <v>1989</v>
      </c>
      <c r="F552" s="78">
        <v>2016</v>
      </c>
      <c r="G552" s="78" t="s">
        <v>547</v>
      </c>
      <c r="H552" s="78">
        <v>5</v>
      </c>
      <c r="I552" s="78">
        <v>8</v>
      </c>
      <c r="J552" s="44">
        <v>7135.2</v>
      </c>
      <c r="K552" s="44">
        <v>6073.2</v>
      </c>
      <c r="L552" s="44">
        <v>1062</v>
      </c>
      <c r="M552" s="79">
        <v>253</v>
      </c>
      <c r="N552" s="129">
        <f t="shared" si="215"/>
        <v>28688048.331907835</v>
      </c>
      <c r="O552" s="44"/>
      <c r="P552" s="68"/>
      <c r="Q552" s="68"/>
      <c r="R552" s="68">
        <f t="shared" si="216"/>
        <v>3724080.84</v>
      </c>
      <c r="S552" s="68">
        <f>+'Приложение №2'!E552-'Приложение №1'!R552</f>
        <v>24963967.491907835</v>
      </c>
      <c r="T552" s="68">
        <f>+'Приложение №2'!E552-'Приложение №1'!P552-'Приложение №1'!R552-'Приложение №1'!S552</f>
        <v>0</v>
      </c>
      <c r="U552" s="68">
        <f t="shared" si="217"/>
        <v>4723.7121010188757</v>
      </c>
      <c r="V552" s="68">
        <v>1238.2830200640001</v>
      </c>
      <c r="W552" s="80">
        <v>2024</v>
      </c>
      <c r="X552" s="29" t="e">
        <f>+#REF!-'[1]Приложение №1'!$P977</f>
        <v>#REF!</v>
      </c>
      <c r="Z552" s="31">
        <f t="shared" si="219"/>
        <v>28889172.431907836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/>
      <c r="AG552" s="27">
        <v>0</v>
      </c>
      <c r="AH552" s="27">
        <v>0</v>
      </c>
      <c r="AI552" s="27">
        <v>0</v>
      </c>
      <c r="AJ552" s="27">
        <v>0</v>
      </c>
      <c r="AK552" s="27">
        <v>28074124.097605009</v>
      </c>
      <c r="AL552" s="27">
        <v>0</v>
      </c>
      <c r="AM552" s="27">
        <v>177124.1</v>
      </c>
      <c r="AN552" s="27">
        <v>24000</v>
      </c>
      <c r="AO552" s="33">
        <v>613924.23430282774</v>
      </c>
      <c r="AP552" s="84">
        <f>+N552-'Приложение №2'!E552</f>
        <v>0</v>
      </c>
      <c r="AQ552" s="1">
        <v>2887966.44</v>
      </c>
      <c r="AR552" s="1">
        <f>+(K552*10+L552*20)*12*0.85</f>
        <v>836114.4</v>
      </c>
      <c r="AS552" s="1">
        <f>+(K552*10+L552*20)*12*30</f>
        <v>29509920</v>
      </c>
      <c r="AT552" s="29">
        <f t="shared" si="218"/>
        <v>-4545952.508092165</v>
      </c>
      <c r="AU552" s="29">
        <f>+P552-'[6]Приложение №1'!$P522</f>
        <v>0</v>
      </c>
      <c r="AV552" s="29">
        <f>+Q552-'[6]Приложение №1'!$Q522</f>
        <v>0</v>
      </c>
      <c r="AW552" s="29">
        <f>+R552-'[6]Приложение №1'!$R522</f>
        <v>0</v>
      </c>
      <c r="AX552" s="29">
        <f>+S552-'[6]Приложение №1'!$S522</f>
        <v>0</v>
      </c>
      <c r="AY552" s="29">
        <f>+T552-'[6]Приложение №1'!$T522</f>
        <v>0</v>
      </c>
    </row>
    <row r="553" spans="1:51" x14ac:dyDescent="0.25">
      <c r="A553" s="133">
        <f t="shared" si="220"/>
        <v>535</v>
      </c>
      <c r="B553" s="132">
        <f t="shared" si="220"/>
        <v>73</v>
      </c>
      <c r="C553" s="77" t="s">
        <v>545</v>
      </c>
      <c r="D553" s="77" t="s">
        <v>68</v>
      </c>
      <c r="E553" s="78">
        <v>1991</v>
      </c>
      <c r="F553" s="78">
        <v>2017</v>
      </c>
      <c r="G553" s="78" t="s">
        <v>547</v>
      </c>
      <c r="H553" s="78">
        <v>9</v>
      </c>
      <c r="I553" s="78">
        <v>1</v>
      </c>
      <c r="J553" s="44">
        <v>3222.4</v>
      </c>
      <c r="K553" s="44">
        <v>2756.2</v>
      </c>
      <c r="L553" s="44">
        <v>0</v>
      </c>
      <c r="M553" s="79">
        <v>108</v>
      </c>
      <c r="N553" s="129">
        <f t="shared" si="215"/>
        <v>19753554.68231567</v>
      </c>
      <c r="O553" s="44"/>
      <c r="P553" s="68">
        <v>1002935.5173789167</v>
      </c>
      <c r="Q553" s="68"/>
      <c r="R553" s="68">
        <f t="shared" si="216"/>
        <v>2144471.5296</v>
      </c>
      <c r="S553" s="68">
        <f>+AS553</f>
        <v>13186763.279999999</v>
      </c>
      <c r="T553" s="68">
        <f>+'Приложение №2'!E553-'Приложение №1'!P553-'Приложение №1'!R553-'Приложение №1'!S553</f>
        <v>3419384.3553367518</v>
      </c>
      <c r="U553" s="68">
        <f t="shared" si="217"/>
        <v>7166.9525732224338</v>
      </c>
      <c r="V553" s="68">
        <v>1239.2830200640001</v>
      </c>
      <c r="W553" s="80">
        <v>2024</v>
      </c>
      <c r="X553" s="29" t="e">
        <f>+#REF!-'[1]Приложение №1'!$P978</f>
        <v>#REF!</v>
      </c>
      <c r="Z553" s="31">
        <f t="shared" si="219"/>
        <v>19471909.912315667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/>
      <c r="AG553" s="27">
        <v>0</v>
      </c>
      <c r="AH553" s="27">
        <v>0</v>
      </c>
      <c r="AI553" s="27">
        <v>0</v>
      </c>
      <c r="AJ553" s="27">
        <v>0</v>
      </c>
      <c r="AK553" s="27">
        <v>18930963.042262111</v>
      </c>
      <c r="AL553" s="27">
        <v>0</v>
      </c>
      <c r="AM553" s="27">
        <v>102965.05</v>
      </c>
      <c r="AN553" s="27">
        <v>24000</v>
      </c>
      <c r="AO553" s="33">
        <v>413981.8200535553</v>
      </c>
      <c r="AP553" s="84">
        <f>+N553-'Приложение №2'!E553</f>
        <v>0</v>
      </c>
      <c r="AQ553" s="1">
        <v>1770846.57</v>
      </c>
      <c r="AR553" s="1">
        <f>+(K553*13.29+L553*22.52)*12*0.85</f>
        <v>373624.95959999994</v>
      </c>
      <c r="AS553" s="1">
        <f>+(K553*13.29+L553*22.52)*12*30</f>
        <v>13186763.279999999</v>
      </c>
      <c r="AT553" s="29">
        <f t="shared" si="218"/>
        <v>0</v>
      </c>
      <c r="AU553" s="29">
        <f>+P553-'[6]Приложение №1'!$P523</f>
        <v>0</v>
      </c>
      <c r="AV553" s="29">
        <f>+Q553-'[6]Приложение №1'!$Q523</f>
        <v>0</v>
      </c>
      <c r="AW553" s="29">
        <f>+R553-'[6]Приложение №1'!$R523</f>
        <v>0</v>
      </c>
      <c r="AX553" s="29">
        <f>+S553-'[6]Приложение №1'!$S523</f>
        <v>0</v>
      </c>
      <c r="AY553" s="29">
        <f>+T553-'[6]Приложение №1'!$T523</f>
        <v>0</v>
      </c>
    </row>
    <row r="554" spans="1:51" x14ac:dyDescent="0.25">
      <c r="A554" s="133">
        <f t="shared" si="220"/>
        <v>536</v>
      </c>
      <c r="B554" s="132">
        <f t="shared" si="220"/>
        <v>74</v>
      </c>
      <c r="C554" s="77" t="s">
        <v>545</v>
      </c>
      <c r="D554" s="77" t="s">
        <v>168</v>
      </c>
      <c r="E554" s="78">
        <v>1991</v>
      </c>
      <c r="F554" s="78">
        <v>2010</v>
      </c>
      <c r="G554" s="78" t="s">
        <v>547</v>
      </c>
      <c r="H554" s="78">
        <v>5</v>
      </c>
      <c r="I554" s="78">
        <v>5</v>
      </c>
      <c r="J554" s="44">
        <v>4721.8999999999996</v>
      </c>
      <c r="K554" s="44">
        <v>4156.5</v>
      </c>
      <c r="L554" s="44">
        <v>0</v>
      </c>
      <c r="M554" s="79">
        <v>161</v>
      </c>
      <c r="N554" s="129">
        <f t="shared" si="215"/>
        <v>15044296.824234124</v>
      </c>
      <c r="O554" s="44"/>
      <c r="P554" s="68"/>
      <c r="Q554" s="68"/>
      <c r="R554" s="68">
        <f t="shared" si="216"/>
        <v>2445791.54</v>
      </c>
      <c r="S554" s="68">
        <f>+'Приложение №2'!E554-'Приложение №1'!R554</f>
        <v>12598505.284234125</v>
      </c>
      <c r="T554" s="68">
        <v>4.6566128730773926E-10</v>
      </c>
      <c r="U554" s="68">
        <f t="shared" si="217"/>
        <v>3619.4627268697518</v>
      </c>
      <c r="V554" s="68">
        <v>1240.2830200640001</v>
      </c>
      <c r="W554" s="80">
        <v>2024</v>
      </c>
      <c r="X554" s="29" t="e">
        <f>+#REF!-'[1]Приложение №1'!$P1361</f>
        <v>#REF!</v>
      </c>
      <c r="Z554" s="31">
        <f t="shared" si="219"/>
        <v>13211921.58052516</v>
      </c>
      <c r="AA554" s="27">
        <v>8244815.9026870374</v>
      </c>
      <c r="AB554" s="27">
        <v>0</v>
      </c>
      <c r="AC554" s="27">
        <v>0</v>
      </c>
      <c r="AD554" s="27">
        <v>3327296.3145816172</v>
      </c>
      <c r="AE554" s="27">
        <v>0</v>
      </c>
      <c r="AF554" s="27"/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1254631.4907482606</v>
      </c>
      <c r="AN554" s="32">
        <v>132119.21580525159</v>
      </c>
      <c r="AO554" s="33">
        <v>253058.65670299329</v>
      </c>
      <c r="AP554" s="84">
        <f>+N554-'Приложение №2'!E554</f>
        <v>0</v>
      </c>
      <c r="AQ554" s="1">
        <v>2021828.54</v>
      </c>
      <c r="AR554" s="1">
        <f>+(K554*10+L554*20)*12*0.85</f>
        <v>423963</v>
      </c>
      <c r="AS554" s="1">
        <f>+(K554*10+L554*20)*12*30</f>
        <v>14963400</v>
      </c>
      <c r="AT554" s="29">
        <f t="shared" si="218"/>
        <v>-2364894.7157658748</v>
      </c>
      <c r="AU554" s="29">
        <f>+P554-'[6]Приложение №1'!$P524</f>
        <v>0</v>
      </c>
      <c r="AV554" s="29">
        <f>+Q554-'[6]Приложение №1'!$Q524</f>
        <v>0</v>
      </c>
      <c r="AW554" s="29">
        <f>+R554-'[6]Приложение №1'!$R524</f>
        <v>0</v>
      </c>
      <c r="AX554" s="29">
        <f>+S554-'[6]Приложение №1'!$S524</f>
        <v>0</v>
      </c>
      <c r="AY554" s="29">
        <f>+T554-'[6]Приложение №1'!$T524</f>
        <v>0</v>
      </c>
    </row>
    <row r="555" spans="1:51" x14ac:dyDescent="0.25">
      <c r="A555" s="133">
        <f t="shared" si="220"/>
        <v>537</v>
      </c>
      <c r="B555" s="132">
        <f t="shared" si="220"/>
        <v>75</v>
      </c>
      <c r="C555" s="77" t="s">
        <v>545</v>
      </c>
      <c r="D555" s="77" t="s">
        <v>169</v>
      </c>
      <c r="E555" s="78">
        <v>1991</v>
      </c>
      <c r="F555" s="78">
        <v>1999</v>
      </c>
      <c r="G555" s="78" t="s">
        <v>44</v>
      </c>
      <c r="H555" s="78">
        <v>2</v>
      </c>
      <c r="I555" s="78">
        <v>8</v>
      </c>
      <c r="J555" s="44">
        <v>1042.9000000000001</v>
      </c>
      <c r="K555" s="44">
        <v>988.8</v>
      </c>
      <c r="L555" s="44">
        <v>54.1</v>
      </c>
      <c r="M555" s="79">
        <v>39</v>
      </c>
      <c r="N555" s="129">
        <f t="shared" si="215"/>
        <v>9909590.6884000003</v>
      </c>
      <c r="O555" s="44"/>
      <c r="P555" s="68">
        <v>1714925.7675000001</v>
      </c>
      <c r="Q555" s="68"/>
      <c r="R555" s="68">
        <f t="shared" si="216"/>
        <v>552771.29</v>
      </c>
      <c r="S555" s="68">
        <f>+AS555</f>
        <v>3949200</v>
      </c>
      <c r="T555" s="68">
        <f>+'Приложение №2'!E555-'Приложение №1'!P555-'Приложение №1'!R555-'Приложение №1'!S555</f>
        <v>3692693.6309000002</v>
      </c>
      <c r="U555" s="68">
        <f t="shared" si="217"/>
        <v>10021.835243122978</v>
      </c>
      <c r="V555" s="68">
        <v>1242.2830200640001</v>
      </c>
      <c r="W555" s="80">
        <v>2024</v>
      </c>
      <c r="X555" s="29" t="e">
        <f>+#REF!-'[1]Приложение №1'!$P606</f>
        <v>#REF!</v>
      </c>
      <c r="Z555" s="31">
        <f t="shared" si="219"/>
        <v>11134371.560000001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/>
      <c r="AG555" s="27">
        <v>0</v>
      </c>
      <c r="AH555" s="27">
        <v>0</v>
      </c>
      <c r="AI555" s="27">
        <v>0</v>
      </c>
      <c r="AJ555" s="27">
        <v>0</v>
      </c>
      <c r="AK555" s="27">
        <v>9697525.4476682395</v>
      </c>
      <c r="AL555" s="27">
        <v>0</v>
      </c>
      <c r="AM555" s="27">
        <v>1113437.1560000002</v>
      </c>
      <c r="AN555" s="32">
        <v>111343.71560000001</v>
      </c>
      <c r="AO555" s="33">
        <v>212065.24073176002</v>
      </c>
      <c r="AP555" s="84">
        <f>+N555-'Приложение №2'!E555</f>
        <v>0</v>
      </c>
      <c r="AQ555" s="1">
        <v>440877.29</v>
      </c>
      <c r="AR555" s="1">
        <f>+(K555*10+L555*20)*12*0.85</f>
        <v>111894</v>
      </c>
      <c r="AS555" s="1">
        <f>+(K555*10+L555*20)*12*30</f>
        <v>3949200</v>
      </c>
      <c r="AT555" s="29">
        <f t="shared" si="218"/>
        <v>0</v>
      </c>
      <c r="AU555" s="29">
        <f>+P555-'[6]Приложение №1'!$P525</f>
        <v>0</v>
      </c>
      <c r="AV555" s="29">
        <f>+Q555-'[6]Приложение №1'!$Q525</f>
        <v>0</v>
      </c>
      <c r="AW555" s="29">
        <f>+R555-'[6]Приложение №1'!$R525</f>
        <v>0</v>
      </c>
      <c r="AX555" s="29">
        <f>+S555-'[6]Приложение №1'!$S525</f>
        <v>0</v>
      </c>
      <c r="AY555" s="29">
        <f>+T555-'[6]Приложение №1'!$T525</f>
        <v>0</v>
      </c>
    </row>
    <row r="556" spans="1:51" x14ac:dyDescent="0.25">
      <c r="A556" s="133">
        <f t="shared" si="220"/>
        <v>538</v>
      </c>
      <c r="B556" s="132">
        <f t="shared" si="220"/>
        <v>76</v>
      </c>
      <c r="C556" s="77" t="s">
        <v>545</v>
      </c>
      <c r="D556" s="77" t="s">
        <v>69</v>
      </c>
      <c r="E556" s="78">
        <v>1991</v>
      </c>
      <c r="F556" s="78">
        <v>2017</v>
      </c>
      <c r="G556" s="78" t="s">
        <v>547</v>
      </c>
      <c r="H556" s="78">
        <v>9</v>
      </c>
      <c r="I556" s="78">
        <v>1</v>
      </c>
      <c r="J556" s="44">
        <v>3271</v>
      </c>
      <c r="K556" s="44">
        <v>2814.6</v>
      </c>
      <c r="L556" s="44">
        <v>0</v>
      </c>
      <c r="M556" s="79">
        <v>93</v>
      </c>
      <c r="N556" s="129">
        <f t="shared" si="215"/>
        <v>9825604.9005436506</v>
      </c>
      <c r="O556" s="44"/>
      <c r="P556" s="68"/>
      <c r="Q556" s="68"/>
      <c r="R556" s="68">
        <f t="shared" si="216"/>
        <v>2112725.9468</v>
      </c>
      <c r="S556" s="68">
        <f>+'Приложение №2'!E556-'Приложение №1'!R556</f>
        <v>7712878.9537436506</v>
      </c>
      <c r="T556" s="68">
        <v>0</v>
      </c>
      <c r="U556" s="68">
        <f t="shared" si="217"/>
        <v>3490.9418391756026</v>
      </c>
      <c r="V556" s="68">
        <v>1243.2830200640001</v>
      </c>
      <c r="W556" s="80">
        <v>2024</v>
      </c>
      <c r="X556" s="29" t="e">
        <f>+#REF!-'[1]Приложение №1'!$P980</f>
        <v>#REF!</v>
      </c>
      <c r="Z556" s="31">
        <f t="shared" si="219"/>
        <v>12536948.214155663</v>
      </c>
      <c r="AA556" s="27">
        <v>6765674.3157313084</v>
      </c>
      <c r="AB556" s="27">
        <v>2706914.9973932039</v>
      </c>
      <c r="AC556" s="27">
        <v>0</v>
      </c>
      <c r="AD556" s="27">
        <v>1277658.2356249997</v>
      </c>
      <c r="AE556" s="27">
        <v>0</v>
      </c>
      <c r="AF556" s="27"/>
      <c r="AG556" s="27">
        <v>300589.46674277715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1119082.2927209453</v>
      </c>
      <c r="AN556" s="32">
        <v>125369.48214155665</v>
      </c>
      <c r="AO556" s="33">
        <v>241659.42380087369</v>
      </c>
      <c r="AP556" s="84">
        <f>+N556-'Приложение №2'!E556</f>
        <v>0</v>
      </c>
      <c r="AQ556" s="1">
        <v>1731184.4</v>
      </c>
      <c r="AR556" s="1">
        <f t="shared" ref="AR556:AR561" si="221">+(K556*13.29+L556*22.52)*12*0.85</f>
        <v>381541.54680000001</v>
      </c>
      <c r="AS556" s="1">
        <f>+(K556*13.29+L556*22.52)*12*30</f>
        <v>13466172.24</v>
      </c>
      <c r="AT556" s="29">
        <f t="shared" si="218"/>
        <v>-5753293.2862563496</v>
      </c>
      <c r="AU556" s="29">
        <f>+P556-'[6]Приложение №1'!$P526</f>
        <v>0</v>
      </c>
      <c r="AV556" s="29">
        <f>+Q556-'[6]Приложение №1'!$Q526</f>
        <v>0</v>
      </c>
      <c r="AW556" s="29">
        <f>+R556-'[6]Приложение №1'!$R526</f>
        <v>0</v>
      </c>
      <c r="AX556" s="29">
        <f>+S556-'[6]Приложение №1'!$S526</f>
        <v>0</v>
      </c>
      <c r="AY556" s="29">
        <f>+T556-'[6]Приложение №1'!$T526</f>
        <v>0</v>
      </c>
    </row>
    <row r="557" spans="1:51" x14ac:dyDescent="0.25">
      <c r="A557" s="133">
        <f t="shared" si="220"/>
        <v>539</v>
      </c>
      <c r="B557" s="132">
        <f t="shared" si="220"/>
        <v>77</v>
      </c>
      <c r="C557" s="77" t="s">
        <v>545</v>
      </c>
      <c r="D557" s="77" t="s">
        <v>70</v>
      </c>
      <c r="E557" s="78">
        <v>1992</v>
      </c>
      <c r="F557" s="78">
        <v>2009</v>
      </c>
      <c r="G557" s="78" t="s">
        <v>547</v>
      </c>
      <c r="H557" s="78">
        <v>9</v>
      </c>
      <c r="I557" s="78">
        <v>1</v>
      </c>
      <c r="J557" s="44">
        <v>3320.9</v>
      </c>
      <c r="K557" s="44">
        <v>2870.8</v>
      </c>
      <c r="L557" s="44">
        <v>0</v>
      </c>
      <c r="M557" s="79">
        <v>115</v>
      </c>
      <c r="N557" s="129">
        <f t="shared" si="215"/>
        <v>14338181.03514342</v>
      </c>
      <c r="O557" s="44"/>
      <c r="P557" s="68">
        <f>+'Приложение №2'!E557-'Приложение №1'!R557-'Приложение №1'!S557</f>
        <v>3254083.8187434226</v>
      </c>
      <c r="Q557" s="68"/>
      <c r="R557" s="68">
        <f>+AR557</f>
        <v>389159.90639999998</v>
      </c>
      <c r="S557" s="68">
        <f>+AS557-3040118.21</f>
        <v>10694937.309999999</v>
      </c>
      <c r="T557" s="68"/>
      <c r="U557" s="68">
        <f t="shared" si="217"/>
        <v>4994.489701526898</v>
      </c>
      <c r="V557" s="68">
        <v>1244.2830200640001</v>
      </c>
      <c r="W557" s="80">
        <v>2024</v>
      </c>
      <c r="X557" s="29" t="e">
        <f>+#REF!-'[1]Приложение №1'!$P372</f>
        <v>#REF!</v>
      </c>
      <c r="Z557" s="31">
        <f t="shared" si="219"/>
        <v>14776696.027288169</v>
      </c>
      <c r="AA557" s="27">
        <v>6885723.9998886082</v>
      </c>
      <c r="AB557" s="27">
        <v>2754946.3207044839</v>
      </c>
      <c r="AC557" s="27">
        <v>2034797.5532993053</v>
      </c>
      <c r="AD557" s="27">
        <v>1300328.9200963341</v>
      </c>
      <c r="AE557" s="27">
        <v>0</v>
      </c>
      <c r="AF557" s="27"/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1369377.8775724771</v>
      </c>
      <c r="AN557" s="32">
        <v>147766.96027288167</v>
      </c>
      <c r="AO557" s="33">
        <v>283754.39545407612</v>
      </c>
      <c r="AP557" s="84">
        <f>+N557-'Приложение №2'!E557</f>
        <v>0</v>
      </c>
      <c r="AQ557" s="29">
        <f>1773302.69-R52</f>
        <v>-114882.9376605656</v>
      </c>
      <c r="AR557" s="1">
        <f t="shared" si="221"/>
        <v>389159.90639999998</v>
      </c>
      <c r="AS557" s="1">
        <f>+(K557*13.29+L557*22.52)*12*30-S52</f>
        <v>13735055.52</v>
      </c>
      <c r="AT557" s="29">
        <f t="shared" si="218"/>
        <v>-3040118.2100000009</v>
      </c>
      <c r="AU557" s="29">
        <f>+P557-'[6]Приложение №1'!$P527</f>
        <v>0</v>
      </c>
      <c r="AV557" s="29">
        <f>+Q557-'[6]Приложение №1'!$Q527</f>
        <v>0</v>
      </c>
      <c r="AW557" s="29">
        <f>+R557-'[6]Приложение №1'!$R527</f>
        <v>0</v>
      </c>
      <c r="AX557" s="29">
        <f>+S557-'[6]Приложение №1'!$S527</f>
        <v>0</v>
      </c>
      <c r="AY557" s="29">
        <f>+T557-'[6]Приложение №1'!$T527</f>
        <v>0</v>
      </c>
    </row>
    <row r="558" spans="1:51" x14ac:dyDescent="0.25">
      <c r="A558" s="133">
        <f t="shared" si="220"/>
        <v>540</v>
      </c>
      <c r="B558" s="132">
        <f t="shared" si="220"/>
        <v>78</v>
      </c>
      <c r="C558" s="77" t="s">
        <v>632</v>
      </c>
      <c r="D558" s="77" t="s">
        <v>633</v>
      </c>
      <c r="E558" s="78">
        <v>1993</v>
      </c>
      <c r="F558" s="78" t="s">
        <v>543</v>
      </c>
      <c r="G558" s="78" t="s">
        <v>44</v>
      </c>
      <c r="H558" s="78">
        <v>9</v>
      </c>
      <c r="I558" s="78">
        <v>3</v>
      </c>
      <c r="J558" s="44">
        <v>10078.200000000001</v>
      </c>
      <c r="K558" s="44">
        <v>8569.9</v>
      </c>
      <c r="L558" s="44">
        <v>245.1</v>
      </c>
      <c r="M558" s="79">
        <v>295</v>
      </c>
      <c r="N558" s="129">
        <f>SUM(O558:S558)</f>
        <v>9780000</v>
      </c>
      <c r="O558" s="44"/>
      <c r="P558" s="68">
        <f>+'Приложение №2'!E558-'Приложение №1'!R558</f>
        <v>3538238.8867999995</v>
      </c>
      <c r="Q558" s="68">
        <v>0</v>
      </c>
      <c r="R558" s="68">
        <v>6241761.1132000005</v>
      </c>
      <c r="S558" s="81"/>
      <c r="T558" s="81"/>
      <c r="U558" s="68">
        <f t="shared" si="217"/>
        <v>1141.2035146267751</v>
      </c>
      <c r="V558" s="68">
        <v>1245.2830200640001</v>
      </c>
      <c r="W558" s="80">
        <v>2024</v>
      </c>
      <c r="X558" s="29" t="e">
        <f>+#REF!-'[1]Приложение №1'!$P217</f>
        <v>#REF!</v>
      </c>
      <c r="Z558" s="31">
        <f t="shared" si="219"/>
        <v>9780000</v>
      </c>
      <c r="AA558" s="27"/>
      <c r="AB558" s="27"/>
      <c r="AC558" s="27"/>
      <c r="AD558" s="27"/>
      <c r="AE558" s="27"/>
      <c r="AF558" s="27"/>
      <c r="AG558" s="27"/>
      <c r="AH558" s="27">
        <v>9062814.5999999996</v>
      </c>
      <c r="AL558" s="27"/>
      <c r="AM558" s="27">
        <v>489000</v>
      </c>
      <c r="AN558" s="27">
        <v>30000</v>
      </c>
      <c r="AO558" s="27">
        <v>198185.4</v>
      </c>
      <c r="AP558" s="84">
        <f>+N558-'Приложение №2'!E558</f>
        <v>0</v>
      </c>
      <c r="AQ558" s="1">
        <v>2453</v>
      </c>
      <c r="AR558" s="1">
        <f t="shared" si="221"/>
        <v>1218018.9545999998</v>
      </c>
      <c r="AS558" s="1">
        <f>+(K558*13.29+L558*22.52)*12*30</f>
        <v>42988904.279999994</v>
      </c>
      <c r="AT558" s="29">
        <f t="shared" si="218"/>
        <v>-42988904.279999994</v>
      </c>
      <c r="AU558" s="29">
        <f>+P558-'[6]Приложение №1'!$P528</f>
        <v>0</v>
      </c>
      <c r="AV558" s="29">
        <f>+Q558-'[6]Приложение №1'!$Q528</f>
        <v>0</v>
      </c>
      <c r="AW558" s="29">
        <f>+R558-'[6]Приложение №1'!$R528</f>
        <v>0</v>
      </c>
      <c r="AX558" s="29">
        <f>+S558-'[6]Приложение №1'!$S528</f>
        <v>0</v>
      </c>
      <c r="AY558" s="29">
        <f>+T558-'[6]Приложение №1'!$T528</f>
        <v>0</v>
      </c>
    </row>
    <row r="559" spans="1:51" x14ac:dyDescent="0.25">
      <c r="A559" s="133">
        <f t="shared" si="220"/>
        <v>541</v>
      </c>
      <c r="B559" s="132">
        <f t="shared" si="220"/>
        <v>79</v>
      </c>
      <c r="C559" s="77" t="s">
        <v>545</v>
      </c>
      <c r="D559" s="77" t="s">
        <v>462</v>
      </c>
      <c r="E559" s="78">
        <v>1989</v>
      </c>
      <c r="F559" s="78">
        <v>2009</v>
      </c>
      <c r="G559" s="78" t="s">
        <v>547</v>
      </c>
      <c r="H559" s="78">
        <v>9</v>
      </c>
      <c r="I559" s="78">
        <v>1</v>
      </c>
      <c r="J559" s="44">
        <v>3239.5</v>
      </c>
      <c r="K559" s="44">
        <v>2720.9</v>
      </c>
      <c r="L559" s="44">
        <v>63.8</v>
      </c>
      <c r="M559" s="79">
        <v>112</v>
      </c>
      <c r="N559" s="129">
        <f>SUM(O559:T559)</f>
        <v>10436992.599520564</v>
      </c>
      <c r="O559" s="44"/>
      <c r="P559" s="68"/>
      <c r="Q559" s="68"/>
      <c r="R559" s="68">
        <f>+AQ559+AR559</f>
        <v>1949895.9373999999</v>
      </c>
      <c r="S559" s="68">
        <f>+'Приложение №2'!E559-'Приложение №1'!R559</f>
        <v>8487096.6621205639</v>
      </c>
      <c r="T559" s="68">
        <v>4.6566128730773926E-10</v>
      </c>
      <c r="U559" s="68">
        <f t="shared" si="217"/>
        <v>3835.8604136574531</v>
      </c>
      <c r="V559" s="68">
        <v>1246.2830200640001</v>
      </c>
      <c r="W559" s="80">
        <v>2024</v>
      </c>
      <c r="X559" s="29" t="e">
        <f>+#REF!-'[1]Приложение №1'!$P1364</f>
        <v>#REF!</v>
      </c>
      <c r="Z559" s="31">
        <f t="shared" si="219"/>
        <v>10076605.062258013</v>
      </c>
      <c r="AA559" s="27">
        <v>6679650.6897583138</v>
      </c>
      <c r="AB559" s="27">
        <v>0</v>
      </c>
      <c r="AC559" s="27">
        <v>1973900.9116011779</v>
      </c>
      <c r="AD559" s="27">
        <v>0</v>
      </c>
      <c r="AE559" s="27">
        <v>0</v>
      </c>
      <c r="AF559" s="27"/>
      <c r="AG559" s="27">
        <v>296767.5571071952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829794.50063330017</v>
      </c>
      <c r="AN559" s="32">
        <v>100766.05062258012</v>
      </c>
      <c r="AO559" s="33">
        <v>195725.35253544565</v>
      </c>
      <c r="AP559" s="84">
        <f>+N559-'Приложение №2'!E559</f>
        <v>0</v>
      </c>
      <c r="AQ559" s="1">
        <v>1566401.06</v>
      </c>
      <c r="AR559" s="1">
        <f t="shared" si="221"/>
        <v>383494.87739999994</v>
      </c>
      <c r="AS559" s="1">
        <f>+(K559*13.29+L559*22.52)*12*30</f>
        <v>13535113.319999998</v>
      </c>
      <c r="AT559" s="29">
        <f t="shared" si="218"/>
        <v>-5048016.6578794345</v>
      </c>
      <c r="AU559" s="29">
        <f>+P559-'[6]Приложение №1'!$P529</f>
        <v>0</v>
      </c>
      <c r="AV559" s="29">
        <f>+Q559-'[6]Приложение №1'!$Q529</f>
        <v>0</v>
      </c>
      <c r="AW559" s="29">
        <f>+R559-'[6]Приложение №1'!$R529</f>
        <v>0</v>
      </c>
      <c r="AX559" s="29">
        <f>+S559-'[6]Приложение №1'!$S529</f>
        <v>0</v>
      </c>
      <c r="AY559" s="29">
        <f>+T559-'[6]Приложение №1'!$T529</f>
        <v>0</v>
      </c>
    </row>
    <row r="560" spans="1:51" x14ac:dyDescent="0.25">
      <c r="A560" s="133">
        <f t="shared" si="220"/>
        <v>542</v>
      </c>
      <c r="B560" s="132">
        <f t="shared" si="220"/>
        <v>80</v>
      </c>
      <c r="C560" s="77" t="s">
        <v>546</v>
      </c>
      <c r="D560" s="77" t="s">
        <v>634</v>
      </c>
      <c r="E560" s="78">
        <v>1993</v>
      </c>
      <c r="F560" s="78">
        <v>2007</v>
      </c>
      <c r="G560" s="78" t="s">
        <v>547</v>
      </c>
      <c r="H560" s="78">
        <v>9</v>
      </c>
      <c r="I560" s="78">
        <v>1</v>
      </c>
      <c r="J560" s="44">
        <v>2855.54</v>
      </c>
      <c r="K560" s="44">
        <v>2487.9</v>
      </c>
      <c r="L560" s="44">
        <v>367.64</v>
      </c>
      <c r="M560" s="79">
        <v>94</v>
      </c>
      <c r="N560" s="129">
        <f>SUM(O560:S560)</f>
        <v>3591360</v>
      </c>
      <c r="O560" s="44"/>
      <c r="P560" s="68">
        <f>+'Приложение №2'!E560-'Приложение №1'!R560</f>
        <v>2200544.6488000001</v>
      </c>
      <c r="Q560" s="68"/>
      <c r="R560" s="68">
        <v>1390815.3511999999</v>
      </c>
      <c r="S560" s="81"/>
      <c r="T560" s="81"/>
      <c r="U560" s="68">
        <f t="shared" si="217"/>
        <v>1443.5306885324972</v>
      </c>
      <c r="V560" s="68">
        <v>1247.2830200640001</v>
      </c>
      <c r="W560" s="80">
        <v>2024</v>
      </c>
      <c r="X560" s="29" t="e">
        <f>+#REF!-'[1]Приложение №1'!$P219</f>
        <v>#REF!</v>
      </c>
      <c r="Z560" s="31">
        <f t="shared" si="219"/>
        <v>14648835.946255356</v>
      </c>
      <c r="AA560" s="27">
        <v>5957914.8640461573</v>
      </c>
      <c r="AB560" s="27">
        <v>2383734.1772688017</v>
      </c>
      <c r="AC560" s="27">
        <v>1760621.0455607576</v>
      </c>
      <c r="AD560" s="27">
        <v>1125117.5622659819</v>
      </c>
      <c r="AE560" s="27">
        <v>0</v>
      </c>
      <c r="AF560" s="27"/>
      <c r="AG560" s="27">
        <v>264701.84172454086</v>
      </c>
      <c r="AH560" s="27">
        <v>0</v>
      </c>
      <c r="AI560" s="27">
        <v>2607417.5209347345</v>
      </c>
      <c r="AJ560" s="27">
        <v>0</v>
      </c>
      <c r="AK560" s="27">
        <v>0</v>
      </c>
      <c r="AL560" s="27">
        <v>0</v>
      </c>
      <c r="AM560" s="27">
        <v>80780.05</v>
      </c>
      <c r="AN560" s="32">
        <v>160221.22243461735</v>
      </c>
      <c r="AO560" s="33">
        <v>308327.66201976384</v>
      </c>
      <c r="AP560" s="84">
        <f>+N560-'Приложение №2'!E560</f>
        <v>0</v>
      </c>
      <c r="AR560" s="1">
        <f t="shared" si="221"/>
        <v>421703.12675999996</v>
      </c>
      <c r="AS560" s="1">
        <f>+(K560*13.29+L560*22.52)*12*30</f>
        <v>14883639.767999999</v>
      </c>
      <c r="AT560" s="29">
        <f t="shared" si="218"/>
        <v>-14883639.767999999</v>
      </c>
      <c r="AU560" s="29">
        <f>+P560-'[6]Приложение №1'!$P530</f>
        <v>0</v>
      </c>
      <c r="AV560" s="29">
        <f>+Q560-'[6]Приложение №1'!$Q530</f>
        <v>0</v>
      </c>
      <c r="AW560" s="29">
        <f>+R560-'[6]Приложение №1'!$R530</f>
        <v>0</v>
      </c>
      <c r="AX560" s="29">
        <f>+S560-'[6]Приложение №1'!$S530</f>
        <v>0</v>
      </c>
      <c r="AY560" s="29">
        <f>+T560-'[6]Приложение №1'!$T530</f>
        <v>0</v>
      </c>
    </row>
    <row r="561" spans="1:51" s="35" customFormat="1" x14ac:dyDescent="0.25">
      <c r="A561" s="133">
        <f t="shared" si="220"/>
        <v>543</v>
      </c>
      <c r="B561" s="132">
        <f t="shared" si="220"/>
        <v>81</v>
      </c>
      <c r="C561" s="77" t="s">
        <v>546</v>
      </c>
      <c r="D561" s="77" t="s">
        <v>655</v>
      </c>
      <c r="E561" s="78" t="s">
        <v>605</v>
      </c>
      <c r="F561" s="78"/>
      <c r="G561" s="78" t="s">
        <v>573</v>
      </c>
      <c r="H561" s="78" t="s">
        <v>571</v>
      </c>
      <c r="I561" s="78" t="s">
        <v>572</v>
      </c>
      <c r="J561" s="44">
        <v>7245.1</v>
      </c>
      <c r="K561" s="44">
        <v>6191.5</v>
      </c>
      <c r="L561" s="44">
        <v>105</v>
      </c>
      <c r="M561" s="79">
        <v>262</v>
      </c>
      <c r="N561" s="129">
        <f>SUM(O561:S561)</f>
        <v>7182720</v>
      </c>
      <c r="O561" s="44">
        <v>0</v>
      </c>
      <c r="P561" s="68">
        <f>+'Приложение №2'!E561-'Приложение №1'!R561</f>
        <v>4650735.0838000001</v>
      </c>
      <c r="Q561" s="68">
        <v>0</v>
      </c>
      <c r="R561" s="68">
        <v>2531984.9161999999</v>
      </c>
      <c r="S561" s="94"/>
      <c r="T561" s="94"/>
      <c r="U561" s="68">
        <f t="shared" si="217"/>
        <v>1160.0936768149884</v>
      </c>
      <c r="V561" s="68">
        <v>1248.2830200640001</v>
      </c>
      <c r="W561" s="80">
        <v>2024</v>
      </c>
      <c r="Y561" s="35">
        <f>+(K561*12.08+L561*20.47)*12</f>
        <v>923312.04000000015</v>
      </c>
      <c r="AA561" s="36">
        <f>+N561-'[5]Приложение № 2'!E496</f>
        <v>1277439.5331905074</v>
      </c>
      <c r="AD561" s="36">
        <f>+N561-'[5]Приложение № 2'!E496</f>
        <v>1277439.5331905074</v>
      </c>
      <c r="AP561" s="84">
        <f>+N561-'Приложение №2'!E561</f>
        <v>0</v>
      </c>
      <c r="AR561" s="1">
        <f t="shared" si="221"/>
        <v>863426.27699999989</v>
      </c>
      <c r="AS561" s="1">
        <f>+(K561*13.29+L561*22.52)*12*30</f>
        <v>30473868.599999998</v>
      </c>
      <c r="AT561" s="29">
        <f t="shared" si="218"/>
        <v>-30473868.599999998</v>
      </c>
      <c r="AU561" s="29">
        <f>+P561-'[6]Приложение №1'!$P531</f>
        <v>0</v>
      </c>
      <c r="AV561" s="29">
        <f>+Q561-'[6]Приложение №1'!$Q531</f>
        <v>0</v>
      </c>
      <c r="AW561" s="29">
        <f>+R561-'[6]Приложение №1'!$R531</f>
        <v>0</v>
      </c>
      <c r="AX561" s="29">
        <f>+S561-'[6]Приложение №1'!$S531</f>
        <v>0</v>
      </c>
      <c r="AY561" s="29">
        <f>+T561-'[6]Приложение №1'!$T531</f>
        <v>0</v>
      </c>
    </row>
    <row r="562" spans="1:51" x14ac:dyDescent="0.25">
      <c r="A562" s="133">
        <f t="shared" ref="A562:B577" si="222">+A561+1</f>
        <v>544</v>
      </c>
      <c r="B562" s="132">
        <f t="shared" si="222"/>
        <v>82</v>
      </c>
      <c r="C562" s="77" t="s">
        <v>72</v>
      </c>
      <c r="D562" s="77" t="s">
        <v>74</v>
      </c>
      <c r="E562" s="78">
        <v>1985</v>
      </c>
      <c r="F562" s="78">
        <v>2016</v>
      </c>
      <c r="G562" s="78" t="s">
        <v>44</v>
      </c>
      <c r="H562" s="78">
        <v>5</v>
      </c>
      <c r="I562" s="78">
        <v>4</v>
      </c>
      <c r="J562" s="44">
        <v>3419.8</v>
      </c>
      <c r="K562" s="44">
        <v>2847.6</v>
      </c>
      <c r="L562" s="44">
        <v>0</v>
      </c>
      <c r="M562" s="79">
        <v>127</v>
      </c>
      <c r="N562" s="129">
        <f t="shared" ref="N562:N593" si="223">SUM(O562:T562)</f>
        <v>2983684.0700000003</v>
      </c>
      <c r="O562" s="44"/>
      <c r="P562" s="68"/>
      <c r="Q562" s="68"/>
      <c r="R562" s="68">
        <f t="shared" ref="R562:R575" si="224">+AQ562+AR562</f>
        <v>1572282.99</v>
      </c>
      <c r="S562" s="68">
        <f>+'Приложение №2'!E562-'Приложение №1'!R562</f>
        <v>1411401.0800000003</v>
      </c>
      <c r="T562" s="68">
        <v>0</v>
      </c>
      <c r="U562" s="68">
        <f t="shared" si="217"/>
        <v>1047.7890398932436</v>
      </c>
      <c r="V562" s="68">
        <v>1249.2830200640001</v>
      </c>
      <c r="W562" s="80">
        <v>2024</v>
      </c>
      <c r="X562" s="29" t="e">
        <f>+#REF!-'[1]Приложение №1'!$P375</f>
        <v>#REF!</v>
      </c>
      <c r="Z562" s="31">
        <f t="shared" ref="Z562:Z567" si="225">SUM(AA562:AO562)</f>
        <v>3028949.7</v>
      </c>
      <c r="AA562" s="27">
        <v>0</v>
      </c>
      <c r="AB562" s="27">
        <v>0</v>
      </c>
      <c r="AC562" s="27">
        <v>2925994.6940138005</v>
      </c>
      <c r="AD562" s="27">
        <v>0</v>
      </c>
      <c r="AE562" s="27">
        <v>0</v>
      </c>
      <c r="AF562" s="27"/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40">
        <v>41985.58</v>
      </c>
      <c r="AN562" s="27">
        <v>3280.05</v>
      </c>
      <c r="AO562" s="33">
        <v>57689.375986200001</v>
      </c>
      <c r="AP562" s="84">
        <f>+N562-'Приложение №2'!E562</f>
        <v>0</v>
      </c>
      <c r="AQ562" s="1">
        <v>1281827.79</v>
      </c>
      <c r="AR562" s="1">
        <f t="shared" ref="AR562:AR567" si="226">+(K562*10+L562*20)*12*0.85</f>
        <v>290455.2</v>
      </c>
      <c r="AS562" s="1">
        <f>+(K562*10+L562*20)*12*30</f>
        <v>10251360</v>
      </c>
      <c r="AT562" s="29">
        <f t="shared" si="218"/>
        <v>-8839958.9199999999</v>
      </c>
      <c r="AU562" s="29">
        <f>+P562-'[6]Приложение №1'!$P532</f>
        <v>0</v>
      </c>
      <c r="AV562" s="29">
        <f>+Q562-'[6]Приложение №1'!$Q532</f>
        <v>0</v>
      </c>
      <c r="AW562" s="29">
        <f>+R562-'[6]Приложение №1'!$R532</f>
        <v>0</v>
      </c>
      <c r="AX562" s="29">
        <f>+S562-'[6]Приложение №1'!$S532</f>
        <v>0</v>
      </c>
      <c r="AY562" s="29">
        <f>+T562-'[6]Приложение №1'!$T532</f>
        <v>0</v>
      </c>
    </row>
    <row r="563" spans="1:51" x14ac:dyDescent="0.25">
      <c r="A563" s="133">
        <f t="shared" si="222"/>
        <v>545</v>
      </c>
      <c r="B563" s="132">
        <f t="shared" si="222"/>
        <v>83</v>
      </c>
      <c r="C563" s="77" t="s">
        <v>72</v>
      </c>
      <c r="D563" s="77" t="s">
        <v>318</v>
      </c>
      <c r="E563" s="78">
        <v>1996</v>
      </c>
      <c r="F563" s="78">
        <v>2013</v>
      </c>
      <c r="G563" s="78" t="s">
        <v>51</v>
      </c>
      <c r="H563" s="78">
        <v>2</v>
      </c>
      <c r="I563" s="78">
        <v>2</v>
      </c>
      <c r="J563" s="44">
        <v>1125</v>
      </c>
      <c r="K563" s="44">
        <v>1125</v>
      </c>
      <c r="L563" s="44">
        <v>0</v>
      </c>
      <c r="M563" s="79">
        <v>54</v>
      </c>
      <c r="N563" s="129">
        <f t="shared" si="223"/>
        <v>3390546.88</v>
      </c>
      <c r="O563" s="44"/>
      <c r="P563" s="68"/>
      <c r="Q563" s="68"/>
      <c r="R563" s="68">
        <f t="shared" si="224"/>
        <v>650714.24</v>
      </c>
      <c r="S563" s="68">
        <f>+'Приложение №2'!E563-'Приложение №1'!R563</f>
        <v>2739832.6399999997</v>
      </c>
      <c r="T563" s="68">
        <v>0</v>
      </c>
      <c r="U563" s="68">
        <f t="shared" si="217"/>
        <v>3013.8194488888889</v>
      </c>
      <c r="V563" s="68">
        <v>1250.2830200640001</v>
      </c>
      <c r="W563" s="80">
        <v>2024</v>
      </c>
      <c r="X563" s="29" t="e">
        <f>+#REF!-'[1]Приложение №1'!$P1004</f>
        <v>#REF!</v>
      </c>
      <c r="Z563" s="31">
        <f t="shared" si="225"/>
        <v>3390546.88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/>
      <c r="AG563" s="27">
        <v>0</v>
      </c>
      <c r="AH563" s="27">
        <v>0</v>
      </c>
      <c r="AI563" s="27">
        <v>3197890.5015539997</v>
      </c>
      <c r="AJ563" s="27">
        <v>0</v>
      </c>
      <c r="AK563" s="27">
        <v>0</v>
      </c>
      <c r="AL563" s="27">
        <v>0</v>
      </c>
      <c r="AM563" s="27">
        <v>85155.99</v>
      </c>
      <c r="AN563" s="27">
        <v>37569</v>
      </c>
      <c r="AO563" s="33">
        <v>69931.388445999997</v>
      </c>
      <c r="AP563" s="84">
        <f>+N563-'Приложение №2'!E563</f>
        <v>0</v>
      </c>
      <c r="AQ563" s="1">
        <v>535964.24</v>
      </c>
      <c r="AR563" s="1">
        <f t="shared" si="226"/>
        <v>114750</v>
      </c>
      <c r="AS563" s="1">
        <f>+(K563*10+L563*20)*12*30</f>
        <v>4050000</v>
      </c>
      <c r="AT563" s="29">
        <f t="shared" si="218"/>
        <v>-1310167.3600000003</v>
      </c>
      <c r="AU563" s="29">
        <f>+P563-'[6]Приложение №1'!$P533</f>
        <v>0</v>
      </c>
      <c r="AV563" s="29">
        <f>+Q563-'[6]Приложение №1'!$Q533</f>
        <v>0</v>
      </c>
      <c r="AW563" s="29">
        <f>+R563-'[6]Приложение №1'!$R533</f>
        <v>0</v>
      </c>
      <c r="AX563" s="29">
        <f>+S563-'[6]Приложение №1'!$S533</f>
        <v>0</v>
      </c>
      <c r="AY563" s="29">
        <f>+T563-'[6]Приложение №1'!$T533</f>
        <v>0</v>
      </c>
    </row>
    <row r="564" spans="1:51" x14ac:dyDescent="0.25">
      <c r="A564" s="133">
        <f t="shared" si="222"/>
        <v>546</v>
      </c>
      <c r="B564" s="132">
        <f t="shared" si="222"/>
        <v>84</v>
      </c>
      <c r="C564" s="77" t="s">
        <v>72</v>
      </c>
      <c r="D564" s="77" t="s">
        <v>173</v>
      </c>
      <c r="E564" s="78">
        <v>1986</v>
      </c>
      <c r="F564" s="78">
        <v>2013</v>
      </c>
      <c r="G564" s="78" t="s">
        <v>51</v>
      </c>
      <c r="H564" s="78">
        <v>2</v>
      </c>
      <c r="I564" s="78">
        <v>2</v>
      </c>
      <c r="J564" s="44">
        <v>1112.5</v>
      </c>
      <c r="K564" s="44">
        <v>1000.4</v>
      </c>
      <c r="L564" s="44">
        <v>0</v>
      </c>
      <c r="M564" s="79">
        <v>40</v>
      </c>
      <c r="N564" s="129">
        <f t="shared" si="223"/>
        <v>589567.59499999997</v>
      </c>
      <c r="O564" s="44"/>
      <c r="P564" s="68"/>
      <c r="Q564" s="68"/>
      <c r="R564" s="68">
        <f t="shared" si="224"/>
        <v>393369.2</v>
      </c>
      <c r="S564" s="68">
        <f>+'Приложение №2'!E564-'Приложение №1'!R564</f>
        <v>196198.39499999996</v>
      </c>
      <c r="T564" s="68">
        <v>0</v>
      </c>
      <c r="U564" s="68">
        <f t="shared" si="217"/>
        <v>589.33186225509792</v>
      </c>
      <c r="V564" s="68">
        <v>1251.2830200640001</v>
      </c>
      <c r="W564" s="80">
        <v>2024</v>
      </c>
      <c r="X564" s="29" t="e">
        <f>+#REF!-'[1]Приложение №1'!$P631</f>
        <v>#REF!</v>
      </c>
      <c r="Z564" s="31">
        <f t="shared" si="225"/>
        <v>2293840.42</v>
      </c>
      <c r="AA564" s="27">
        <v>943755.90929256007</v>
      </c>
      <c r="AB564" s="27">
        <v>0</v>
      </c>
      <c r="AC564" s="27">
        <v>576950.84846699995</v>
      </c>
      <c r="AD564" s="27">
        <v>439929.92612436</v>
      </c>
      <c r="AE564" s="27">
        <v>0</v>
      </c>
      <c r="AF564" s="27"/>
      <c r="AG564" s="27">
        <v>46894.9827066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219469.69759999998</v>
      </c>
      <c r="AN564" s="32">
        <v>22938.404200000004</v>
      </c>
      <c r="AO564" s="33">
        <v>43900.65160948001</v>
      </c>
      <c r="AP564" s="84">
        <f>+N564-'Приложение №2'!E564</f>
        <v>0</v>
      </c>
      <c r="AQ564" s="1">
        <v>291328.40000000002</v>
      </c>
      <c r="AR564" s="1">
        <f t="shared" si="226"/>
        <v>102040.8</v>
      </c>
      <c r="AS564" s="1">
        <f>+(K564*10+L564*20)*12*30</f>
        <v>3601440</v>
      </c>
      <c r="AT564" s="29">
        <f t="shared" si="218"/>
        <v>-3405241.605</v>
      </c>
      <c r="AU564" s="29">
        <f>+P564-'[6]Приложение №1'!$P534</f>
        <v>0</v>
      </c>
      <c r="AV564" s="29">
        <f>+Q564-'[6]Приложение №1'!$Q534</f>
        <v>0</v>
      </c>
      <c r="AW564" s="29">
        <f>+R564-'[6]Приложение №1'!$R534</f>
        <v>0</v>
      </c>
      <c r="AX564" s="29">
        <f>+S564-'[6]Приложение №1'!$S534</f>
        <v>0</v>
      </c>
      <c r="AY564" s="29">
        <f>+T564-'[6]Приложение №1'!$T534</f>
        <v>0</v>
      </c>
    </row>
    <row r="565" spans="1:51" x14ac:dyDescent="0.25">
      <c r="A565" s="133">
        <f t="shared" si="222"/>
        <v>547</v>
      </c>
      <c r="B565" s="132">
        <f t="shared" si="222"/>
        <v>85</v>
      </c>
      <c r="C565" s="77" t="s">
        <v>72</v>
      </c>
      <c r="D565" s="77" t="s">
        <v>174</v>
      </c>
      <c r="E565" s="78">
        <v>1991</v>
      </c>
      <c r="F565" s="78">
        <v>2013</v>
      </c>
      <c r="G565" s="78" t="s">
        <v>44</v>
      </c>
      <c r="H565" s="78">
        <v>2</v>
      </c>
      <c r="I565" s="78">
        <v>2</v>
      </c>
      <c r="J565" s="44">
        <v>1131.9000000000001</v>
      </c>
      <c r="K565" s="44">
        <v>1004.5</v>
      </c>
      <c r="L565" s="44">
        <v>0</v>
      </c>
      <c r="M565" s="79">
        <v>46</v>
      </c>
      <c r="N565" s="129">
        <f t="shared" si="223"/>
        <v>510140.45280000003</v>
      </c>
      <c r="O565" s="44"/>
      <c r="P565" s="68"/>
      <c r="Q565" s="68"/>
      <c r="R565" s="68">
        <f t="shared" si="224"/>
        <v>214406.8</v>
      </c>
      <c r="S565" s="68">
        <f>+'Приложение №2'!E565-'Приложение №1'!R565</f>
        <v>295733.65280000004</v>
      </c>
      <c r="T565" s="68">
        <v>0</v>
      </c>
      <c r="U565" s="68">
        <f t="shared" si="217"/>
        <v>507.85510482827283</v>
      </c>
      <c r="V565" s="68">
        <v>1252.2830200640001</v>
      </c>
      <c r="W565" s="80">
        <v>2024</v>
      </c>
      <c r="X565" s="29" t="e">
        <f>+#REF!-'[1]Приложение №1'!$P632</f>
        <v>#REF!</v>
      </c>
      <c r="Z565" s="31">
        <f t="shared" si="225"/>
        <v>1478022.6186027201</v>
      </c>
      <c r="AA565" s="27"/>
      <c r="AB565" s="27">
        <v>0</v>
      </c>
      <c r="AC565" s="27">
        <v>499223.44711008004</v>
      </c>
      <c r="AD565" s="27">
        <v>425443.60992000002</v>
      </c>
      <c r="AE565" s="27">
        <v>0</v>
      </c>
      <c r="AF565" s="27"/>
      <c r="AG565" s="27">
        <v>177679.34772671998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281303.4768</v>
      </c>
      <c r="AN565" s="32">
        <v>32191.570400000001</v>
      </c>
      <c r="AO565" s="33">
        <v>62181.166645920006</v>
      </c>
      <c r="AP565" s="84">
        <f>+N565-'Приложение №2'!E565</f>
        <v>0</v>
      </c>
      <c r="AQ565" s="1">
        <f>247290.43-135342.63</f>
        <v>111947.79999999999</v>
      </c>
      <c r="AR565" s="1">
        <f t="shared" si="226"/>
        <v>102459</v>
      </c>
      <c r="AS565" s="1">
        <f>+(K565*10+L565*20)*12*30-748881.44</f>
        <v>2867318.56</v>
      </c>
      <c r="AT565" s="29">
        <f t="shared" si="218"/>
        <v>-2571584.9072000002</v>
      </c>
      <c r="AU565" s="29">
        <f>+P565-'[6]Приложение №1'!$P535</f>
        <v>0</v>
      </c>
      <c r="AV565" s="29">
        <f>+Q565-'[6]Приложение №1'!$Q535</f>
        <v>0</v>
      </c>
      <c r="AW565" s="29">
        <f>+R565-'[6]Приложение №1'!$R535</f>
        <v>0</v>
      </c>
      <c r="AX565" s="29">
        <f>+S565-'[6]Приложение №1'!$S535</f>
        <v>0</v>
      </c>
      <c r="AY565" s="29">
        <f>+T565-'[6]Приложение №1'!$T535</f>
        <v>0</v>
      </c>
    </row>
    <row r="566" spans="1:51" x14ac:dyDescent="0.25">
      <c r="A566" s="133">
        <f t="shared" si="222"/>
        <v>548</v>
      </c>
      <c r="B566" s="132">
        <f t="shared" si="222"/>
        <v>86</v>
      </c>
      <c r="C566" s="77" t="s">
        <v>72</v>
      </c>
      <c r="D566" s="77" t="s">
        <v>175</v>
      </c>
      <c r="E566" s="78">
        <v>1982</v>
      </c>
      <c r="F566" s="78">
        <v>2013</v>
      </c>
      <c r="G566" s="78" t="s">
        <v>44</v>
      </c>
      <c r="H566" s="78">
        <v>2</v>
      </c>
      <c r="I566" s="78">
        <v>2</v>
      </c>
      <c r="J566" s="44">
        <v>711.8</v>
      </c>
      <c r="K566" s="44">
        <v>585</v>
      </c>
      <c r="L566" s="44">
        <v>0</v>
      </c>
      <c r="M566" s="79">
        <v>35</v>
      </c>
      <c r="N566" s="129">
        <f t="shared" si="223"/>
        <v>386646.94530000002</v>
      </c>
      <c r="O566" s="44"/>
      <c r="P566" s="68"/>
      <c r="Q566" s="68"/>
      <c r="R566" s="68">
        <f t="shared" si="224"/>
        <v>306771.38</v>
      </c>
      <c r="S566" s="68">
        <f>+'Приложение №2'!E566-'Приложение №1'!R566</f>
        <v>79875.565300000017</v>
      </c>
      <c r="T566" s="68">
        <v>0</v>
      </c>
      <c r="U566" s="68">
        <f t="shared" si="217"/>
        <v>660.93494923076923</v>
      </c>
      <c r="V566" s="68">
        <v>1253.2830200640001</v>
      </c>
      <c r="W566" s="80">
        <v>2024</v>
      </c>
      <c r="X566" s="29" t="e">
        <f>+#REF!-'[1]Приложение №1'!$P633</f>
        <v>#REF!</v>
      </c>
      <c r="Z566" s="31">
        <f t="shared" si="225"/>
        <v>6351355.9299999997</v>
      </c>
      <c r="AA566" s="27">
        <v>1319645.0192616598</v>
      </c>
      <c r="AB566" s="27">
        <v>802983.70469520008</v>
      </c>
      <c r="AC566" s="27">
        <v>378372.70067058003</v>
      </c>
      <c r="AD566" s="27">
        <v>0</v>
      </c>
      <c r="AE566" s="27">
        <v>0</v>
      </c>
      <c r="AF566" s="27"/>
      <c r="AG566" s="27">
        <v>134667.18168371997</v>
      </c>
      <c r="AH566" s="27">
        <v>0</v>
      </c>
      <c r="AI566" s="27">
        <v>0</v>
      </c>
      <c r="AJ566" s="27">
        <v>0</v>
      </c>
      <c r="AK566" s="27">
        <v>0</v>
      </c>
      <c r="AL566" s="27">
        <v>2937440.8278188398</v>
      </c>
      <c r="AM566" s="27">
        <v>592860.32070000004</v>
      </c>
      <c r="AN566" s="32">
        <v>63513.559300000001</v>
      </c>
      <c r="AO566" s="33">
        <v>121872.61587000001</v>
      </c>
      <c r="AP566" s="84">
        <f>+N566-'Приложение №2'!E566</f>
        <v>0</v>
      </c>
      <c r="AQ566" s="1">
        <v>247101.38</v>
      </c>
      <c r="AR566" s="1">
        <f t="shared" si="226"/>
        <v>59670</v>
      </c>
      <c r="AS566" s="1">
        <f>+(K566*10+L566*20)*12*30</f>
        <v>2106000</v>
      </c>
      <c r="AT566" s="29">
        <f t="shared" si="218"/>
        <v>-2026124.4347000001</v>
      </c>
      <c r="AU566" s="29">
        <f>+P566-'[6]Приложение №1'!$P536</f>
        <v>0</v>
      </c>
      <c r="AV566" s="29">
        <f>+Q566-'[6]Приложение №1'!$Q536</f>
        <v>0</v>
      </c>
      <c r="AW566" s="29">
        <f>+R566-'[6]Приложение №1'!$R536</f>
        <v>0</v>
      </c>
      <c r="AX566" s="29">
        <f>+S566-'[6]Приложение №1'!$S536</f>
        <v>0</v>
      </c>
      <c r="AY566" s="29">
        <f>+T566-'[6]Приложение №1'!$T536</f>
        <v>0</v>
      </c>
    </row>
    <row r="567" spans="1:51" x14ac:dyDescent="0.25">
      <c r="A567" s="133">
        <f t="shared" si="222"/>
        <v>549</v>
      </c>
      <c r="B567" s="132">
        <f t="shared" si="222"/>
        <v>87</v>
      </c>
      <c r="C567" s="77" t="s">
        <v>72</v>
      </c>
      <c r="D567" s="77" t="s">
        <v>75</v>
      </c>
      <c r="E567" s="78">
        <v>1988</v>
      </c>
      <c r="F567" s="78">
        <v>2013</v>
      </c>
      <c r="G567" s="78" t="s">
        <v>44</v>
      </c>
      <c r="H567" s="78">
        <v>2</v>
      </c>
      <c r="I567" s="78">
        <v>2</v>
      </c>
      <c r="J567" s="44">
        <v>661.79</v>
      </c>
      <c r="K567" s="44">
        <v>596.70000000000005</v>
      </c>
      <c r="L567" s="44">
        <v>0</v>
      </c>
      <c r="M567" s="79">
        <v>38</v>
      </c>
      <c r="N567" s="129">
        <f t="shared" si="223"/>
        <v>2038756.5126</v>
      </c>
      <c r="O567" s="44"/>
      <c r="P567" s="68">
        <f>+'Приложение №2'!E567-'Приложение №1'!R567-'Приложение №1'!S567</f>
        <v>0</v>
      </c>
      <c r="Q567" s="68"/>
      <c r="R567" s="68">
        <f t="shared" si="224"/>
        <v>172568.74000000002</v>
      </c>
      <c r="S567" s="68">
        <f>+'Приложение №2'!E567-'Приложение №1'!R567</f>
        <v>1866187.7726</v>
      </c>
      <c r="T567" s="68">
        <f>+'Приложение №2'!E567-'Приложение №1'!P567-'Приложение №1'!R567-'Приложение №1'!S567</f>
        <v>0</v>
      </c>
      <c r="U567" s="68">
        <f t="shared" si="217"/>
        <v>3416.719478129713</v>
      </c>
      <c r="V567" s="68">
        <v>1254.2830200640001</v>
      </c>
      <c r="W567" s="80">
        <v>2024</v>
      </c>
      <c r="X567" s="29" t="e">
        <f>+#REF!-'[1]Приложение №1'!$P388</f>
        <v>#REF!</v>
      </c>
      <c r="Z567" s="31">
        <f t="shared" si="225"/>
        <v>2270607.88</v>
      </c>
      <c r="AA567" s="27">
        <v>1303091.9754052199</v>
      </c>
      <c r="AB567" s="27">
        <v>0</v>
      </c>
      <c r="AC567" s="27">
        <v>373626.55878113996</v>
      </c>
      <c r="AD567" s="27">
        <v>318408.58904399996</v>
      </c>
      <c r="AE567" s="27">
        <v>0</v>
      </c>
      <c r="AF567" s="27"/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209145.2886</v>
      </c>
      <c r="AN567" s="32">
        <v>22706.078799999999</v>
      </c>
      <c r="AO567" s="33">
        <v>43629.389369639997</v>
      </c>
      <c r="AP567" s="84">
        <f>+N567-'Приложение №2'!E567</f>
        <v>0</v>
      </c>
      <c r="AQ567" s="1">
        <f>143197.73-31492.39</f>
        <v>111705.34000000001</v>
      </c>
      <c r="AR567" s="1">
        <f t="shared" si="226"/>
        <v>60863.4</v>
      </c>
      <c r="AS567" s="1">
        <f>+(K567*10+L567*20)*12*30</f>
        <v>2148120</v>
      </c>
      <c r="AT567" s="29">
        <f t="shared" si="218"/>
        <v>-281932.22739999997</v>
      </c>
      <c r="AU567" s="29">
        <f>+P567-'[6]Приложение №1'!$P537</f>
        <v>0</v>
      </c>
      <c r="AV567" s="29">
        <f>+Q567-'[6]Приложение №1'!$Q537</f>
        <v>0</v>
      </c>
      <c r="AW567" s="29">
        <f>+R567-'[6]Приложение №1'!$R537</f>
        <v>0</v>
      </c>
      <c r="AX567" s="29">
        <f>+S567-'[6]Приложение №1'!$S537</f>
        <v>0</v>
      </c>
      <c r="AY567" s="29">
        <f>+T567-'[6]Приложение №1'!$T537</f>
        <v>0</v>
      </c>
    </row>
    <row r="568" spans="1:51" s="35" customFormat="1" x14ac:dyDescent="0.25">
      <c r="A568" s="133">
        <f t="shared" si="222"/>
        <v>550</v>
      </c>
      <c r="B568" s="132">
        <f t="shared" si="222"/>
        <v>88</v>
      </c>
      <c r="C568" s="77" t="s">
        <v>568</v>
      </c>
      <c r="D568" s="77" t="s">
        <v>660</v>
      </c>
      <c r="E568" s="78" t="s">
        <v>620</v>
      </c>
      <c r="F568" s="78"/>
      <c r="G568" s="78" t="s">
        <v>573</v>
      </c>
      <c r="H568" s="78" t="s">
        <v>571</v>
      </c>
      <c r="I568" s="78" t="s">
        <v>583</v>
      </c>
      <c r="J568" s="44">
        <v>17927.330000000002</v>
      </c>
      <c r="K568" s="44">
        <v>15026.75</v>
      </c>
      <c r="L568" s="44">
        <v>72.8</v>
      </c>
      <c r="M568" s="79">
        <v>571</v>
      </c>
      <c r="N568" s="129">
        <f t="shared" si="223"/>
        <v>21536888.215718932</v>
      </c>
      <c r="O568" s="44">
        <v>0</v>
      </c>
      <c r="P568" s="68"/>
      <c r="Q568" s="68">
        <v>0</v>
      </c>
      <c r="R568" s="68">
        <f t="shared" si="224"/>
        <v>11169257.9377</v>
      </c>
      <c r="S568" s="68">
        <f>+'Приложение №2'!E568-'Приложение №1'!R568</f>
        <v>10367630.278018933</v>
      </c>
      <c r="T568" s="68">
        <v>0</v>
      </c>
      <c r="U568" s="68">
        <f t="shared" si="217"/>
        <v>1433.2366090950427</v>
      </c>
      <c r="V568" s="68">
        <v>1255.2830200640001</v>
      </c>
      <c r="W568" s="80">
        <v>2024</v>
      </c>
      <c r="X568" s="35">
        <v>7106067.9400000004</v>
      </c>
      <c r="Y568" s="35">
        <f>+(K568*12.08+L568*20.47)*12</f>
        <v>2196160.2719999999</v>
      </c>
      <c r="AA568" s="36">
        <f>+N568-'[5]Приложение № 2'!E503</f>
        <v>16116091.425718933</v>
      </c>
      <c r="AD568" s="36">
        <f>+N568-'[5]Приложение № 2'!E503</f>
        <v>16116091.425718933</v>
      </c>
      <c r="AP568" s="84">
        <f>+N568-'Приложение №2'!E568</f>
        <v>0</v>
      </c>
      <c r="AQ568" s="35">
        <v>9115539.3100000005</v>
      </c>
      <c r="AR568" s="1">
        <f>+(K568*13.29+L568*22.52)*12*0.85</f>
        <v>2053718.6276999998</v>
      </c>
      <c r="AS568" s="1">
        <f>+(K568*13.29+L568*22.52)*12*30</f>
        <v>72484186.859999999</v>
      </c>
      <c r="AT568" s="29">
        <f t="shared" si="218"/>
        <v>-62116556.581981063</v>
      </c>
      <c r="AU568" s="29">
        <f>+P568-'[6]Приложение №1'!$P538</f>
        <v>0</v>
      </c>
      <c r="AV568" s="29">
        <f>+Q568-'[6]Приложение №1'!$Q538</f>
        <v>0</v>
      </c>
      <c r="AW568" s="29">
        <f>+R568-'[6]Приложение №1'!$R538</f>
        <v>0</v>
      </c>
      <c r="AX568" s="29">
        <f>+S568-'[6]Приложение №1'!$S538</f>
        <v>0</v>
      </c>
      <c r="AY568" s="29">
        <f>+T568-'[6]Приложение №1'!$T538</f>
        <v>0</v>
      </c>
    </row>
    <row r="569" spans="1:51" s="35" customFormat="1" x14ac:dyDescent="0.25">
      <c r="A569" s="133">
        <f t="shared" si="222"/>
        <v>551</v>
      </c>
      <c r="B569" s="132">
        <f t="shared" si="222"/>
        <v>89</v>
      </c>
      <c r="C569" s="77" t="s">
        <v>568</v>
      </c>
      <c r="D569" s="77" t="s">
        <v>661</v>
      </c>
      <c r="E569" s="78" t="s">
        <v>621</v>
      </c>
      <c r="F569" s="78"/>
      <c r="G569" s="78" t="s">
        <v>573</v>
      </c>
      <c r="H569" s="78" t="s">
        <v>571</v>
      </c>
      <c r="I569" s="78" t="s">
        <v>622</v>
      </c>
      <c r="J569" s="44">
        <v>20643.599999999999</v>
      </c>
      <c r="K569" s="44">
        <v>17405.5</v>
      </c>
      <c r="L569" s="44">
        <v>146.19999999999999</v>
      </c>
      <c r="M569" s="79">
        <v>665</v>
      </c>
      <c r="N569" s="129">
        <f t="shared" si="223"/>
        <v>25139520</v>
      </c>
      <c r="O569" s="44">
        <v>0</v>
      </c>
      <c r="P569" s="68"/>
      <c r="Q569" s="68">
        <v>0</v>
      </c>
      <c r="R569" s="68">
        <f t="shared" si="224"/>
        <v>13086959.943799999</v>
      </c>
      <c r="S569" s="68">
        <f>+'Приложение №2'!E569-'Приложение №1'!R569</f>
        <v>12052560.056200001</v>
      </c>
      <c r="T569" s="68">
        <v>0</v>
      </c>
      <c r="U569" s="68">
        <f t="shared" si="217"/>
        <v>1444.3434546551377</v>
      </c>
      <c r="V569" s="68">
        <v>1256.2830200640001</v>
      </c>
      <c r="W569" s="80">
        <v>2024</v>
      </c>
      <c r="X569" s="35">
        <v>8381860.3899999997</v>
      </c>
      <c r="Y569" s="35">
        <f>+(K569*12.08+L569*20.47)*12</f>
        <v>2559013.8480000002</v>
      </c>
      <c r="AA569" s="36">
        <f>+N569-'[5]Приложение № 2'!E504</f>
        <v>17984501.98</v>
      </c>
      <c r="AD569" s="36">
        <f>+N569-'[5]Приложение № 2'!E504</f>
        <v>17984501.98</v>
      </c>
      <c r="AP569" s="84">
        <f>+N569-'Приложение №2'!E569</f>
        <v>0</v>
      </c>
      <c r="AQ569" s="35">
        <v>10693922.449999999</v>
      </c>
      <c r="AR569" s="1">
        <f>+(K569*13.29+L569*22.52)*12*0.85</f>
        <v>2393037.4937999998</v>
      </c>
      <c r="AS569" s="1">
        <f>+(K569*13.29+L569*22.52)*12*30</f>
        <v>84460146.839999989</v>
      </c>
      <c r="AT569" s="29">
        <f t="shared" si="218"/>
        <v>-72407586.783799991</v>
      </c>
      <c r="AU569" s="29">
        <f>+P569-'[6]Приложение №1'!$P539</f>
        <v>0</v>
      </c>
      <c r="AV569" s="29">
        <f>+Q569-'[6]Приложение №1'!$Q539</f>
        <v>0</v>
      </c>
      <c r="AW569" s="29">
        <f>+R569-'[6]Приложение №1'!$R539</f>
        <v>0</v>
      </c>
      <c r="AX569" s="29">
        <f>+S569-'[6]Приложение №1'!$S539</f>
        <v>0</v>
      </c>
      <c r="AY569" s="29">
        <f>+T569-'[6]Приложение №1'!$T539</f>
        <v>0</v>
      </c>
    </row>
    <row r="570" spans="1:51" s="35" customFormat="1" x14ac:dyDescent="0.25">
      <c r="A570" s="133">
        <f t="shared" si="222"/>
        <v>552</v>
      </c>
      <c r="B570" s="132">
        <f t="shared" si="222"/>
        <v>90</v>
      </c>
      <c r="C570" s="77" t="s">
        <v>568</v>
      </c>
      <c r="D570" s="77" t="s">
        <v>662</v>
      </c>
      <c r="E570" s="78" t="s">
        <v>620</v>
      </c>
      <c r="F570" s="78"/>
      <c r="G570" s="78" t="s">
        <v>573</v>
      </c>
      <c r="H570" s="78" t="s">
        <v>571</v>
      </c>
      <c r="I570" s="78" t="s">
        <v>579</v>
      </c>
      <c r="J570" s="44">
        <v>11180.28</v>
      </c>
      <c r="K570" s="44">
        <v>9305.33</v>
      </c>
      <c r="L570" s="44">
        <v>0</v>
      </c>
      <c r="M570" s="79">
        <v>347</v>
      </c>
      <c r="N570" s="129">
        <f t="shared" si="223"/>
        <v>14391493.255421314</v>
      </c>
      <c r="O570" s="44">
        <v>0</v>
      </c>
      <c r="P570" s="68"/>
      <c r="Q570" s="68">
        <v>0</v>
      </c>
      <c r="R570" s="68">
        <f t="shared" si="224"/>
        <v>6693999.8041399997</v>
      </c>
      <c r="S570" s="68">
        <f>+'Приложение №2'!E570-'Приложение №1'!R570</f>
        <v>7697493.4512813147</v>
      </c>
      <c r="T570" s="68">
        <v>0</v>
      </c>
      <c r="U570" s="68">
        <f t="shared" si="217"/>
        <v>1546.5860163391642</v>
      </c>
      <c r="V570" s="68">
        <v>1257.2830200640001</v>
      </c>
      <c r="W570" s="80">
        <v>2024</v>
      </c>
      <c r="X570" s="35">
        <v>4241666.0199999996</v>
      </c>
      <c r="Y570" s="35">
        <f>+(K570*12.08+L570*20.47)*12</f>
        <v>1348900.6368</v>
      </c>
      <c r="AA570" s="36">
        <f>+N570-'[5]Приложение № 2'!E505</f>
        <v>4500633.5797061138</v>
      </c>
      <c r="AD570" s="36">
        <f>+N570-'[5]Приложение № 2'!E505</f>
        <v>4500633.5797061138</v>
      </c>
      <c r="AP570" s="84">
        <f>+N570-'Приложение №2'!E570</f>
        <v>0</v>
      </c>
      <c r="AQ570" s="35">
        <v>5432587.8799999999</v>
      </c>
      <c r="AR570" s="1">
        <f>+(K570*13.29+L570*22.52)*12*0.85</f>
        <v>1261411.92414</v>
      </c>
      <c r="AS570" s="1">
        <f>+(K570*13.29+L570*22.52)*12*30</f>
        <v>44520420.851999998</v>
      </c>
      <c r="AT570" s="29">
        <f t="shared" si="218"/>
        <v>-36822927.400718682</v>
      </c>
      <c r="AU570" s="29">
        <f>+P570-'[6]Приложение №1'!$P540</f>
        <v>0</v>
      </c>
      <c r="AV570" s="29">
        <f>+Q570-'[6]Приложение №1'!$Q540</f>
        <v>0</v>
      </c>
      <c r="AW570" s="29">
        <f>+R570-'[6]Приложение №1'!$R540</f>
        <v>0</v>
      </c>
      <c r="AX570" s="29">
        <f>+S570-'[6]Приложение №1'!$S540</f>
        <v>0</v>
      </c>
      <c r="AY570" s="29">
        <f>+T570-'[6]Приложение №1'!$T540</f>
        <v>0</v>
      </c>
    </row>
    <row r="571" spans="1:51" x14ac:dyDescent="0.25">
      <c r="A571" s="133">
        <f t="shared" si="222"/>
        <v>553</v>
      </c>
      <c r="B571" s="132">
        <f t="shared" si="222"/>
        <v>91</v>
      </c>
      <c r="C571" s="77" t="s">
        <v>72</v>
      </c>
      <c r="D571" s="77" t="s">
        <v>314</v>
      </c>
      <c r="E571" s="78">
        <v>1964</v>
      </c>
      <c r="F571" s="78">
        <v>2013</v>
      </c>
      <c r="G571" s="78" t="s">
        <v>44</v>
      </c>
      <c r="H571" s="78">
        <v>5</v>
      </c>
      <c r="I571" s="78">
        <v>7</v>
      </c>
      <c r="J571" s="44">
        <v>6384.4</v>
      </c>
      <c r="K571" s="44">
        <v>5253.8</v>
      </c>
      <c r="L571" s="44">
        <v>1130.5999999999999</v>
      </c>
      <c r="M571" s="79">
        <v>210</v>
      </c>
      <c r="N571" s="129">
        <f t="shared" si="223"/>
        <v>39603482.628111437</v>
      </c>
      <c r="O571" s="44"/>
      <c r="P571" s="68">
        <v>127594.26226869</v>
      </c>
      <c r="Q571" s="68"/>
      <c r="R571" s="68">
        <f t="shared" si="224"/>
        <v>4101886.91</v>
      </c>
      <c r="S571" s="68">
        <f>+AS571</f>
        <v>27054000</v>
      </c>
      <c r="T571" s="68">
        <f>+'Приложение №2'!E571-'Приложение №1'!P571-'Приложение №1'!R571-'Приложение №1'!S571</f>
        <v>8320001.4558427483</v>
      </c>
      <c r="U571" s="68">
        <f t="shared" si="217"/>
        <v>7538.0643778049098</v>
      </c>
      <c r="V571" s="68">
        <v>1258.2830200640001</v>
      </c>
      <c r="W571" s="80">
        <v>2024</v>
      </c>
      <c r="X571" s="29" t="e">
        <f>+#REF!-'[1]Приложение №1'!$P1405</f>
        <v>#REF!</v>
      </c>
      <c r="Z571" s="31">
        <f t="shared" ref="Z571:Z579" si="227">SUM(AA571:AO571)</f>
        <v>31039639.368981633</v>
      </c>
      <c r="AA571" s="27">
        <v>13616559.511674002</v>
      </c>
      <c r="AB571" s="27">
        <v>4892953.0885143364</v>
      </c>
      <c r="AC571" s="27">
        <v>5159278.8563651238</v>
      </c>
      <c r="AD571" s="27">
        <v>3303637.3136041779</v>
      </c>
      <c r="AE571" s="27">
        <v>2454070.4593860004</v>
      </c>
      <c r="AF571" s="27"/>
      <c r="AG571" s="27">
        <v>488558.85729000001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425297.73</v>
      </c>
      <c r="AN571" s="27">
        <v>45101.82</v>
      </c>
      <c r="AO571" s="33">
        <v>654181.73214800004</v>
      </c>
      <c r="AP571" s="84">
        <f>+N571-'Приложение №2'!E571</f>
        <v>0</v>
      </c>
      <c r="AQ571" s="1">
        <v>3335356.91</v>
      </c>
      <c r="AR571" s="1">
        <f>+(K571*10+L571*20)*12*0.85</f>
        <v>766530</v>
      </c>
      <c r="AS571" s="1">
        <f>+(K571*10+L571*20)*12*30</f>
        <v>27054000</v>
      </c>
      <c r="AT571" s="29">
        <f t="shared" si="218"/>
        <v>0</v>
      </c>
      <c r="AU571" s="29">
        <f>+P571-'[6]Приложение №1'!$P541</f>
        <v>0</v>
      </c>
      <c r="AV571" s="29">
        <f>+Q571-'[6]Приложение №1'!$Q541</f>
        <v>0</v>
      </c>
      <c r="AW571" s="29">
        <f>+R571-'[6]Приложение №1'!$R541</f>
        <v>0</v>
      </c>
      <c r="AX571" s="29">
        <f>+S571-'[6]Приложение №1'!$S541</f>
        <v>0</v>
      </c>
      <c r="AY571" s="29">
        <f>+T571-'[6]Приложение №1'!$T541</f>
        <v>0</v>
      </c>
    </row>
    <row r="572" spans="1:51" x14ac:dyDescent="0.25">
      <c r="A572" s="133">
        <f t="shared" si="222"/>
        <v>554</v>
      </c>
      <c r="B572" s="132">
        <f t="shared" si="222"/>
        <v>92</v>
      </c>
      <c r="C572" s="77" t="s">
        <v>72</v>
      </c>
      <c r="D572" s="77" t="s">
        <v>464</v>
      </c>
      <c r="E572" s="78">
        <v>1968</v>
      </c>
      <c r="F572" s="78">
        <v>2013</v>
      </c>
      <c r="G572" s="78" t="s">
        <v>44</v>
      </c>
      <c r="H572" s="78">
        <v>5</v>
      </c>
      <c r="I572" s="78">
        <v>4</v>
      </c>
      <c r="J572" s="44">
        <v>3228.9</v>
      </c>
      <c r="K572" s="44">
        <v>2518.9</v>
      </c>
      <c r="L572" s="44">
        <v>710</v>
      </c>
      <c r="M572" s="79">
        <v>136</v>
      </c>
      <c r="N572" s="129">
        <f t="shared" si="223"/>
        <v>23235694.261726003</v>
      </c>
      <c r="O572" s="44"/>
      <c r="P572" s="68">
        <v>3200622.2373585771</v>
      </c>
      <c r="Q572" s="68"/>
      <c r="R572" s="68">
        <f t="shared" si="224"/>
        <v>1252471.0624331201</v>
      </c>
      <c r="S572" s="68">
        <f>+AS572</f>
        <v>14180040</v>
      </c>
      <c r="T572" s="68">
        <f>+'Приложение №2'!E572-'Приложение №1'!P572-'Приложение №1'!R572-'Приложение №1'!S572</f>
        <v>4602560.9619343057</v>
      </c>
      <c r="U572" s="68">
        <f t="shared" si="217"/>
        <v>9224.540180922626</v>
      </c>
      <c r="V572" s="68">
        <v>1259.2830200640001</v>
      </c>
      <c r="W572" s="80">
        <v>2024</v>
      </c>
      <c r="X572" s="29" t="e">
        <f>+#REF!-'[1]Приложение №1'!$P1591</f>
        <v>#REF!</v>
      </c>
      <c r="Z572" s="31">
        <f t="shared" si="227"/>
        <v>27107198.400000002</v>
      </c>
      <c r="AA572" s="27">
        <v>5940143.1063865805</v>
      </c>
      <c r="AB572" s="27">
        <v>2116717.1923795803</v>
      </c>
      <c r="AC572" s="27">
        <v>2211498.4827243001</v>
      </c>
      <c r="AD572" s="27">
        <v>1384537.88247348</v>
      </c>
      <c r="AE572" s="27">
        <v>847110.81731472013</v>
      </c>
      <c r="AF572" s="27"/>
      <c r="AG572" s="27">
        <v>227939.55009504</v>
      </c>
      <c r="AH572" s="27">
        <v>0</v>
      </c>
      <c r="AI572" s="27">
        <v>10859485.412210401</v>
      </c>
      <c r="AJ572" s="27">
        <v>0</v>
      </c>
      <c r="AK572" s="27">
        <v>0</v>
      </c>
      <c r="AL572" s="27">
        <v>0</v>
      </c>
      <c r="AM572" s="27">
        <v>2732884.5975000001</v>
      </c>
      <c r="AN572" s="32">
        <v>271071.984</v>
      </c>
      <c r="AO572" s="33">
        <v>515809.3749159</v>
      </c>
      <c r="AP572" s="84">
        <f>+N572-'Приложение №2'!E572</f>
        <v>0</v>
      </c>
      <c r="AQ572" s="29">
        <f>1993779.07-R68</f>
        <v>850703.26243312005</v>
      </c>
      <c r="AR572" s="1">
        <f>+(K572*10+L572*20)*12*0.85</f>
        <v>401767.8</v>
      </c>
      <c r="AS572" s="1">
        <f>+(K572*10+L572*20)*12*30</f>
        <v>14180040</v>
      </c>
      <c r="AT572" s="29">
        <f t="shared" si="218"/>
        <v>0</v>
      </c>
      <c r="AU572" s="29">
        <f>+P572-'[6]Приложение №1'!$P542</f>
        <v>0</v>
      </c>
      <c r="AV572" s="29">
        <f>+Q572-'[6]Приложение №1'!$Q542</f>
        <v>0</v>
      </c>
      <c r="AW572" s="29">
        <f>+R572-'[6]Приложение №1'!$R542</f>
        <v>-1399.0099999997765</v>
      </c>
      <c r="AX572" s="29">
        <f>+S572-'[6]Приложение №1'!$S542</f>
        <v>0</v>
      </c>
      <c r="AY572" s="29">
        <f>+T572-'[6]Приложение №1'!$T542</f>
        <v>1399.0100000016391</v>
      </c>
    </row>
    <row r="573" spans="1:51" x14ac:dyDescent="0.25">
      <c r="A573" s="133">
        <f t="shared" si="222"/>
        <v>555</v>
      </c>
      <c r="B573" s="132">
        <f t="shared" si="222"/>
        <v>93</v>
      </c>
      <c r="C573" s="77" t="s">
        <v>72</v>
      </c>
      <c r="D573" s="77" t="s">
        <v>76</v>
      </c>
      <c r="E573" s="78">
        <v>1971</v>
      </c>
      <c r="F573" s="78">
        <v>1971</v>
      </c>
      <c r="G573" s="78" t="s">
        <v>51</v>
      </c>
      <c r="H573" s="78">
        <v>1</v>
      </c>
      <c r="I573" s="78">
        <v>5</v>
      </c>
      <c r="J573" s="44">
        <v>672.9</v>
      </c>
      <c r="K573" s="44">
        <v>672.9</v>
      </c>
      <c r="L573" s="44">
        <v>0</v>
      </c>
      <c r="M573" s="79">
        <v>33</v>
      </c>
      <c r="N573" s="129">
        <f t="shared" si="223"/>
        <v>4184287.1891999999</v>
      </c>
      <c r="O573" s="44"/>
      <c r="P573" s="68">
        <v>566089.32750000013</v>
      </c>
      <c r="Q573" s="68"/>
      <c r="R573" s="68">
        <f t="shared" si="224"/>
        <v>273418.77</v>
      </c>
      <c r="S573" s="68">
        <f>+AS573</f>
        <v>2422440</v>
      </c>
      <c r="T573" s="68">
        <f>+'Приложение №2'!E573-'Приложение №1'!P573-'Приложение №1'!R573-'Приложение №1'!S573</f>
        <v>922339.09169999976</v>
      </c>
      <c r="U573" s="68">
        <f t="shared" si="217"/>
        <v>6218.2897744092734</v>
      </c>
      <c r="V573" s="68">
        <v>1260.2830200640001</v>
      </c>
      <c r="W573" s="80">
        <v>2024</v>
      </c>
      <c r="X573" s="29" t="e">
        <f>+#REF!-'[1]Приложение №1'!$P392</f>
        <v>#REF!</v>
      </c>
      <c r="Z573" s="31">
        <f t="shared" si="227"/>
        <v>10663801.74</v>
      </c>
      <c r="AA573" s="27">
        <v>1006695.2324683799</v>
      </c>
      <c r="AB573" s="27">
        <v>582199.37404272018</v>
      </c>
      <c r="AC573" s="27">
        <v>615427.84556945995</v>
      </c>
      <c r="AD573" s="27">
        <v>469268.96418359998</v>
      </c>
      <c r="AE573" s="27">
        <v>0</v>
      </c>
      <c r="AF573" s="27"/>
      <c r="AG573" s="27">
        <v>0</v>
      </c>
      <c r="AH573" s="27">
        <v>0</v>
      </c>
      <c r="AI573" s="27">
        <v>1792070.7864570001</v>
      </c>
      <c r="AJ573" s="27">
        <v>0</v>
      </c>
      <c r="AK573" s="27">
        <v>3479315.59778166</v>
      </c>
      <c r="AL573" s="27">
        <v>1368370.2001410001</v>
      </c>
      <c r="AM573" s="27">
        <v>1040151.6639000002</v>
      </c>
      <c r="AN573" s="32">
        <v>106638.01740000001</v>
      </c>
      <c r="AO573" s="33">
        <v>203664.05805617999</v>
      </c>
      <c r="AP573" s="84">
        <f>+N573-'Приложение №2'!E573</f>
        <v>0</v>
      </c>
      <c r="AQ573" s="1">
        <v>204782.97</v>
      </c>
      <c r="AR573" s="1">
        <f>+(K573*10+L573*20)*12*0.85</f>
        <v>68635.8</v>
      </c>
      <c r="AS573" s="1">
        <f>+(K573*10+L573*20)*12*30</f>
        <v>2422440</v>
      </c>
      <c r="AT573" s="29">
        <f t="shared" si="218"/>
        <v>0</v>
      </c>
      <c r="AU573" s="29">
        <f>+P573-'[6]Приложение №1'!$P543</f>
        <v>0</v>
      </c>
      <c r="AV573" s="29">
        <f>+Q573-'[6]Приложение №1'!$Q543</f>
        <v>0</v>
      </c>
      <c r="AW573" s="29">
        <f>+R573-'[6]Приложение №1'!$R543</f>
        <v>0</v>
      </c>
      <c r="AX573" s="29">
        <f>+S573-'[6]Приложение №1'!$S543</f>
        <v>0</v>
      </c>
      <c r="AY573" s="29">
        <f>+T573-'[6]Приложение №1'!$T543</f>
        <v>0</v>
      </c>
    </row>
    <row r="574" spans="1:51" x14ac:dyDescent="0.25">
      <c r="A574" s="133">
        <f t="shared" si="222"/>
        <v>556</v>
      </c>
      <c r="B574" s="132">
        <f t="shared" si="222"/>
        <v>94</v>
      </c>
      <c r="C574" s="77" t="s">
        <v>72</v>
      </c>
      <c r="D574" s="77" t="s">
        <v>319</v>
      </c>
      <c r="E574" s="78">
        <v>1989</v>
      </c>
      <c r="F574" s="78">
        <v>2017</v>
      </c>
      <c r="G574" s="78" t="s">
        <v>51</v>
      </c>
      <c r="H574" s="78">
        <v>9</v>
      </c>
      <c r="I574" s="78">
        <v>3</v>
      </c>
      <c r="J574" s="44">
        <v>7106.9</v>
      </c>
      <c r="K574" s="44">
        <v>6247.4</v>
      </c>
      <c r="L574" s="44">
        <v>0</v>
      </c>
      <c r="M574" s="79">
        <v>249</v>
      </c>
      <c r="N574" s="129">
        <f t="shared" si="223"/>
        <v>41194600.280000001</v>
      </c>
      <c r="O574" s="44"/>
      <c r="P574" s="68">
        <f>2236700.608-203764.38</f>
        <v>2032936.2280000001</v>
      </c>
      <c r="Q574" s="68"/>
      <c r="R574" s="68">
        <f t="shared" si="224"/>
        <v>1722849.2049833797</v>
      </c>
      <c r="S574" s="68">
        <f>+AS574</f>
        <v>28881616.399999999</v>
      </c>
      <c r="T574" s="68">
        <f>+'Приложение №2'!E574-'Приложение №1'!P574-'Приложение №1'!Q574-'Приложение №1'!R574-'Приложение №1'!S574</f>
        <v>8557198.4470166191</v>
      </c>
      <c r="U574" s="68">
        <f t="shared" si="217"/>
        <v>6593.8790985049791</v>
      </c>
      <c r="V574" s="68">
        <v>1261.2830200640001</v>
      </c>
      <c r="W574" s="80">
        <v>2024</v>
      </c>
      <c r="X574" s="29" t="e">
        <f>+#REF!-'[1]Приложение №1'!$P718</f>
        <v>#REF!</v>
      </c>
      <c r="Z574" s="31">
        <f t="shared" si="227"/>
        <v>25881031.239999995</v>
      </c>
      <c r="AA574" s="27"/>
      <c r="AB574" s="27"/>
      <c r="AC574" s="27"/>
      <c r="AD574" s="27"/>
      <c r="AE574" s="27">
        <v>0</v>
      </c>
      <c r="AF574" s="27"/>
      <c r="AG574" s="27"/>
      <c r="AH574" s="27">
        <v>0</v>
      </c>
      <c r="AI574" s="27"/>
      <c r="AJ574" s="27">
        <v>0</v>
      </c>
      <c r="AK574" s="27">
        <v>25881031.239999995</v>
      </c>
      <c r="AL574" s="27">
        <v>0</v>
      </c>
      <c r="AM574" s="27"/>
      <c r="AN574" s="32"/>
      <c r="AO574" s="33"/>
      <c r="AP574" s="84">
        <f>+N574-'Приложение №2'!E574</f>
        <v>0</v>
      </c>
      <c r="AQ574" s="29">
        <f>2787898.61-R71</f>
        <v>875964.15578337968</v>
      </c>
      <c r="AR574" s="1">
        <f>+(K574*13.29+L574*22.52)*12*0.85</f>
        <v>846885.04919999989</v>
      </c>
      <c r="AS574" s="1">
        <f>+(K574*13.29+L574*22.52)*12*30-S71</f>
        <v>28881616.399999999</v>
      </c>
      <c r="AT574" s="29">
        <f t="shared" si="218"/>
        <v>0</v>
      </c>
      <c r="AU574" s="29">
        <f>+P574-'[6]Приложение №1'!$P544</f>
        <v>0</v>
      </c>
      <c r="AV574" s="29">
        <f>+Q574-'[6]Приложение №1'!$Q544</f>
        <v>0</v>
      </c>
      <c r="AW574" s="29">
        <f>+R574-'[6]Приложение №1'!$R544</f>
        <v>0</v>
      </c>
      <c r="AX574" s="29">
        <f>+S574-'[6]Приложение №1'!$S544</f>
        <v>-1008444.1600000001</v>
      </c>
      <c r="AY574" s="29">
        <f>+T574-'[6]Приложение №1'!$T544</f>
        <v>1008444.1600000001</v>
      </c>
    </row>
    <row r="575" spans="1:51" x14ac:dyDescent="0.25">
      <c r="A575" s="133">
        <f t="shared" si="222"/>
        <v>557</v>
      </c>
      <c r="B575" s="132">
        <f t="shared" si="222"/>
        <v>95</v>
      </c>
      <c r="C575" s="77" t="s">
        <v>72</v>
      </c>
      <c r="D575" s="77" t="s">
        <v>322</v>
      </c>
      <c r="E575" s="78">
        <v>1985</v>
      </c>
      <c r="F575" s="78">
        <v>2013</v>
      </c>
      <c r="G575" s="78" t="s">
        <v>51</v>
      </c>
      <c r="H575" s="78">
        <v>3</v>
      </c>
      <c r="I575" s="78">
        <v>3</v>
      </c>
      <c r="J575" s="44">
        <v>1439.1</v>
      </c>
      <c r="K575" s="44">
        <v>1284.3</v>
      </c>
      <c r="L575" s="44">
        <v>0</v>
      </c>
      <c r="M575" s="79">
        <v>55</v>
      </c>
      <c r="N575" s="129">
        <f t="shared" si="223"/>
        <v>17444911.509005461</v>
      </c>
      <c r="O575" s="44"/>
      <c r="P575" s="68">
        <v>3038566.1072513652</v>
      </c>
      <c r="Q575" s="68"/>
      <c r="R575" s="68">
        <f t="shared" si="224"/>
        <v>648286.88</v>
      </c>
      <c r="S575" s="68">
        <f>+AS575</f>
        <v>4623480</v>
      </c>
      <c r="T575" s="68">
        <f>+'Приложение №2'!E575-'Приложение №1'!P575-'Приложение №1'!R575-'Приложение №1'!S575</f>
        <v>9134578.5217540953</v>
      </c>
      <c r="U575" s="68">
        <f t="shared" si="217"/>
        <v>13583.206033641252</v>
      </c>
      <c r="V575" s="68">
        <v>1262.2830200640001</v>
      </c>
      <c r="W575" s="80">
        <v>2024</v>
      </c>
      <c r="X575" s="29" t="e">
        <f>+#REF!-'[1]Приложение №1'!$P1012</f>
        <v>#REF!</v>
      </c>
      <c r="Z575" s="31">
        <f t="shared" si="227"/>
        <v>17444911.509005461</v>
      </c>
      <c r="AA575" s="27">
        <v>0</v>
      </c>
      <c r="AB575" s="27">
        <v>0</v>
      </c>
      <c r="AC575" s="27">
        <v>0</v>
      </c>
      <c r="AD575" s="27">
        <v>1124212.3435180259</v>
      </c>
      <c r="AE575" s="27">
        <v>0</v>
      </c>
      <c r="AF575" s="27"/>
      <c r="AG575" s="27">
        <v>0</v>
      </c>
      <c r="AH575" s="27">
        <v>0</v>
      </c>
      <c r="AI575" s="27">
        <v>4206748.5157533297</v>
      </c>
      <c r="AJ575" s="27">
        <v>0</v>
      </c>
      <c r="AK575" s="27">
        <v>8272430.9336326644</v>
      </c>
      <c r="AL575" s="27">
        <v>3193396.3000122053</v>
      </c>
      <c r="AM575" s="27">
        <v>215153.97</v>
      </c>
      <c r="AN575" s="27">
        <v>65657.709721273903</v>
      </c>
      <c r="AO575" s="33">
        <v>367311.73636796477</v>
      </c>
      <c r="AP575" s="84">
        <f>+N575-'Приложение №2'!E575</f>
        <v>0</v>
      </c>
      <c r="AQ575" s="1">
        <v>517288.28</v>
      </c>
      <c r="AR575" s="1">
        <f t="shared" ref="AR575:AR596" si="228">+(K575*10+L575*20)*12*0.85</f>
        <v>130998.59999999999</v>
      </c>
      <c r="AS575" s="1">
        <f t="shared" ref="AS575:AS581" si="229">+(K575*10+L575*20)*12*30</f>
        <v>4623480</v>
      </c>
      <c r="AT575" s="29">
        <f t="shared" si="218"/>
        <v>0</v>
      </c>
      <c r="AU575" s="29">
        <f>+P575-'[6]Приложение №1'!$P545</f>
        <v>0</v>
      </c>
      <c r="AV575" s="29">
        <f>+Q575-'[6]Приложение №1'!$Q545</f>
        <v>0</v>
      </c>
      <c r="AW575" s="29">
        <f>+R575-'[6]Приложение №1'!$R545</f>
        <v>0</v>
      </c>
      <c r="AX575" s="29">
        <f>+S575-'[6]Приложение №1'!$S545</f>
        <v>0</v>
      </c>
      <c r="AY575" s="29">
        <f>+T575-'[6]Приложение №1'!$T545</f>
        <v>0</v>
      </c>
    </row>
    <row r="576" spans="1:51" x14ac:dyDescent="0.25">
      <c r="A576" s="133">
        <f t="shared" si="222"/>
        <v>558</v>
      </c>
      <c r="B576" s="132">
        <f t="shared" si="222"/>
        <v>96</v>
      </c>
      <c r="C576" s="77" t="s">
        <v>72</v>
      </c>
      <c r="D576" s="77" t="s">
        <v>77</v>
      </c>
      <c r="E576" s="78">
        <v>1973</v>
      </c>
      <c r="F576" s="78">
        <v>2017</v>
      </c>
      <c r="G576" s="78" t="s">
        <v>44</v>
      </c>
      <c r="H576" s="78">
        <v>5</v>
      </c>
      <c r="I576" s="78">
        <v>2</v>
      </c>
      <c r="J576" s="44">
        <v>2354.6</v>
      </c>
      <c r="K576" s="44">
        <v>2141.8000000000002</v>
      </c>
      <c r="L576" s="44">
        <v>0</v>
      </c>
      <c r="M576" s="79">
        <v>96</v>
      </c>
      <c r="N576" s="129">
        <f t="shared" si="223"/>
        <v>4999499.0118000004</v>
      </c>
      <c r="O576" s="44"/>
      <c r="P576" s="68"/>
      <c r="Q576" s="68"/>
      <c r="R576" s="68">
        <f>+'Приложение №2'!E576-'Приложение №1'!S576</f>
        <v>928129.97294748016</v>
      </c>
      <c r="S576" s="68">
        <v>4071369.0388525194</v>
      </c>
      <c r="T576" s="68">
        <v>4.6566128730773926E-10</v>
      </c>
      <c r="U576" s="68">
        <f t="shared" si="217"/>
        <v>2334.2511027173405</v>
      </c>
      <c r="V576" s="68">
        <v>1263.2830200640001</v>
      </c>
      <c r="W576" s="80">
        <v>2024</v>
      </c>
      <c r="X576" s="29" t="e">
        <f>+#REF!-'[1]Приложение №1'!$P397</f>
        <v>#REF!</v>
      </c>
      <c r="Z576" s="31">
        <f t="shared" si="227"/>
        <v>5617414.6200000001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/>
      <c r="AG576" s="27">
        <v>0</v>
      </c>
      <c r="AH576" s="27">
        <v>0</v>
      </c>
      <c r="AI576" s="27">
        <v>0</v>
      </c>
      <c r="AJ576" s="27">
        <v>0</v>
      </c>
      <c r="AK576" s="27">
        <v>4892509.7329474799</v>
      </c>
      <c r="AL576" s="27">
        <v>0</v>
      </c>
      <c r="AM576" s="27">
        <v>561741.46200000006</v>
      </c>
      <c r="AN576" s="32">
        <v>56174.146200000003</v>
      </c>
      <c r="AO576" s="33">
        <v>106989.27885251999</v>
      </c>
      <c r="AP576" s="84">
        <f>+N576-'Приложение №2'!E576</f>
        <v>0</v>
      </c>
      <c r="AQ576" s="1">
        <v>892579.22</v>
      </c>
      <c r="AR576" s="1">
        <f t="shared" si="228"/>
        <v>218463.6</v>
      </c>
      <c r="AS576" s="1">
        <f t="shared" si="229"/>
        <v>7710480</v>
      </c>
      <c r="AT576" s="29">
        <f t="shared" si="218"/>
        <v>-3639110.9611474806</v>
      </c>
      <c r="AU576" s="29">
        <f>+P576-'[6]Приложение №1'!$P546</f>
        <v>0</v>
      </c>
      <c r="AV576" s="29">
        <f>+Q576-'[6]Приложение №1'!$Q546</f>
        <v>0</v>
      </c>
      <c r="AW576" s="29">
        <f>+R576-'[6]Приложение №1'!$R546</f>
        <v>0</v>
      </c>
      <c r="AX576" s="29">
        <f>+S576-'[6]Приложение №1'!$S546</f>
        <v>0</v>
      </c>
      <c r="AY576" s="29">
        <f>+T576-'[6]Приложение №1'!$T546</f>
        <v>0</v>
      </c>
    </row>
    <row r="577" spans="1:51" x14ac:dyDescent="0.25">
      <c r="A577" s="133">
        <f t="shared" si="222"/>
        <v>559</v>
      </c>
      <c r="B577" s="132">
        <f t="shared" si="222"/>
        <v>97</v>
      </c>
      <c r="C577" s="77" t="s">
        <v>72</v>
      </c>
      <c r="D577" s="77" t="s">
        <v>78</v>
      </c>
      <c r="E577" s="78">
        <v>1972</v>
      </c>
      <c r="F577" s="78">
        <v>2013</v>
      </c>
      <c r="G577" s="78" t="s">
        <v>44</v>
      </c>
      <c r="H577" s="78">
        <v>5</v>
      </c>
      <c r="I577" s="78">
        <v>2</v>
      </c>
      <c r="J577" s="44">
        <v>3331.95</v>
      </c>
      <c r="K577" s="44">
        <v>2549.4499999999998</v>
      </c>
      <c r="L577" s="44">
        <v>780.8</v>
      </c>
      <c r="M577" s="79">
        <v>190</v>
      </c>
      <c r="N577" s="129">
        <f t="shared" si="223"/>
        <v>2312595.8024999998</v>
      </c>
      <c r="O577" s="44"/>
      <c r="P577" s="68"/>
      <c r="Q577" s="68"/>
      <c r="R577" s="68">
        <f>+AQ577+AR577</f>
        <v>2221077.79</v>
      </c>
      <c r="S577" s="68">
        <f>+'Приложение №2'!E577-'Приложение №1'!R577</f>
        <v>91518.012499999721</v>
      </c>
      <c r="T577" s="68">
        <v>0</v>
      </c>
      <c r="U577" s="68">
        <f t="shared" si="217"/>
        <v>907.09596285473333</v>
      </c>
      <c r="V577" s="68">
        <v>1264.2830200640001</v>
      </c>
      <c r="W577" s="80">
        <v>2024</v>
      </c>
      <c r="X577" s="29" t="e">
        <f>+#REF!-'[1]Приложение №1'!$P399</f>
        <v>#REF!</v>
      </c>
      <c r="Z577" s="31">
        <f t="shared" si="227"/>
        <v>34440876.640000001</v>
      </c>
      <c r="AA577" s="27">
        <v>0</v>
      </c>
      <c r="AB577" s="27">
        <v>2166113.1307510799</v>
      </c>
      <c r="AC577" s="27">
        <v>2263106.2523264997</v>
      </c>
      <c r="AD577" s="27">
        <v>1416847.6029254398</v>
      </c>
      <c r="AE577" s="27">
        <v>866879.08268850006</v>
      </c>
      <c r="AF577" s="27"/>
      <c r="AG577" s="27">
        <v>0</v>
      </c>
      <c r="AH577" s="27">
        <v>0</v>
      </c>
      <c r="AI577" s="27">
        <v>11112903.524356199</v>
      </c>
      <c r="AJ577" s="27">
        <v>0</v>
      </c>
      <c r="AK577" s="27">
        <v>5769870.9583057202</v>
      </c>
      <c r="AL577" s="27">
        <v>6223481.2118761791</v>
      </c>
      <c r="AM577" s="27">
        <v>3625180.5618999996</v>
      </c>
      <c r="AN577" s="32">
        <v>344408.76640000002</v>
      </c>
      <c r="AO577" s="33">
        <v>652085.54847038013</v>
      </c>
      <c r="AP577" s="84">
        <f>+N577-'Приложение №2'!E577</f>
        <v>0</v>
      </c>
      <c r="AQ577" s="1">
        <v>1801750.69</v>
      </c>
      <c r="AR577" s="1">
        <f t="shared" si="228"/>
        <v>419327.1</v>
      </c>
      <c r="AS577" s="1">
        <f t="shared" si="229"/>
        <v>14799780</v>
      </c>
      <c r="AT577" s="29">
        <f t="shared" si="218"/>
        <v>-14708261.987500001</v>
      </c>
      <c r="AU577" s="29">
        <f>+P577-'[6]Приложение №1'!$P547</f>
        <v>0</v>
      </c>
      <c r="AV577" s="29">
        <f>+Q577-'[6]Приложение №1'!$Q547</f>
        <v>0</v>
      </c>
      <c r="AW577" s="29">
        <f>+R577-'[6]Приложение №1'!$R547</f>
        <v>0</v>
      </c>
      <c r="AX577" s="29">
        <f>+S577-'[6]Приложение №1'!$S547</f>
        <v>0</v>
      </c>
      <c r="AY577" s="29">
        <f>+T577-'[6]Приложение №1'!$T547</f>
        <v>0</v>
      </c>
    </row>
    <row r="578" spans="1:51" x14ac:dyDescent="0.25">
      <c r="A578" s="133">
        <f t="shared" ref="A578:B593" si="230">+A577+1</f>
        <v>560</v>
      </c>
      <c r="B578" s="132">
        <f t="shared" si="230"/>
        <v>98</v>
      </c>
      <c r="C578" s="77" t="s">
        <v>72</v>
      </c>
      <c r="D578" s="77" t="s">
        <v>179</v>
      </c>
      <c r="E578" s="78">
        <v>1978</v>
      </c>
      <c r="F578" s="78">
        <v>2012</v>
      </c>
      <c r="G578" s="78" t="s">
        <v>51</v>
      </c>
      <c r="H578" s="78">
        <v>4</v>
      </c>
      <c r="I578" s="78">
        <v>6</v>
      </c>
      <c r="J578" s="44">
        <v>5689.4</v>
      </c>
      <c r="K578" s="44">
        <v>4976.8</v>
      </c>
      <c r="L578" s="44">
        <v>71.5</v>
      </c>
      <c r="M578" s="79">
        <v>227</v>
      </c>
      <c r="N578" s="129">
        <f t="shared" si="223"/>
        <v>1578343.95</v>
      </c>
      <c r="O578" s="44"/>
      <c r="P578" s="68"/>
      <c r="Q578" s="68"/>
      <c r="R578" s="68">
        <f>+'Приложение №2'!E578</f>
        <v>1578343.95</v>
      </c>
      <c r="S578" s="68">
        <f>+'Приложение №2'!E578-'Приложение №1'!R578</f>
        <v>0</v>
      </c>
      <c r="T578" s="68">
        <v>0</v>
      </c>
      <c r="U578" s="68">
        <f t="shared" si="217"/>
        <v>317.14032108985691</v>
      </c>
      <c r="V578" s="68">
        <v>1265.2830200640001</v>
      </c>
      <c r="W578" s="80">
        <v>2024</v>
      </c>
      <c r="X578" s="29" t="e">
        <f>+#REF!-'[1]Приложение №1'!$P651</f>
        <v>#REF!</v>
      </c>
      <c r="Z578" s="31">
        <f t="shared" si="227"/>
        <v>2287454.9999999995</v>
      </c>
      <c r="AA578" s="27">
        <v>0</v>
      </c>
      <c r="AB578" s="27">
        <v>0</v>
      </c>
      <c r="AC578" s="27">
        <v>0</v>
      </c>
      <c r="AD578" s="27">
        <v>0</v>
      </c>
      <c r="AE578" s="27">
        <v>1544567.3894700001</v>
      </c>
      <c r="AF578" s="27"/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686236.5</v>
      </c>
      <c r="AN578" s="32">
        <v>22874.55</v>
      </c>
      <c r="AO578" s="33">
        <v>33776.560530000002</v>
      </c>
      <c r="AP578" s="84">
        <f>+N578-'Приложение №2'!E578</f>
        <v>0</v>
      </c>
      <c r="AQ578" s="1">
        <v>2455899.29</v>
      </c>
      <c r="AR578" s="1">
        <f t="shared" si="228"/>
        <v>522219.6</v>
      </c>
      <c r="AS578" s="1">
        <f t="shared" si="229"/>
        <v>18431280</v>
      </c>
      <c r="AT578" s="29">
        <f t="shared" si="218"/>
        <v>-18431280</v>
      </c>
      <c r="AU578" s="29">
        <f>+P578-'[6]Приложение №1'!$P548</f>
        <v>0</v>
      </c>
      <c r="AV578" s="29">
        <f>+Q578-'[6]Приложение №1'!$Q548</f>
        <v>0</v>
      </c>
      <c r="AW578" s="29">
        <f>+R578-'[6]Приложение №1'!$R548</f>
        <v>0</v>
      </c>
      <c r="AX578" s="29">
        <f>+S578-'[6]Приложение №1'!$S548</f>
        <v>0</v>
      </c>
      <c r="AY578" s="29">
        <f>+T578-'[6]Приложение №1'!$T548</f>
        <v>0</v>
      </c>
    </row>
    <row r="579" spans="1:51" x14ac:dyDescent="0.25">
      <c r="A579" s="133">
        <f t="shared" si="230"/>
        <v>561</v>
      </c>
      <c r="B579" s="132">
        <f t="shared" si="230"/>
        <v>99</v>
      </c>
      <c r="C579" s="77" t="s">
        <v>72</v>
      </c>
      <c r="D579" s="77" t="s">
        <v>180</v>
      </c>
      <c r="E579" s="78">
        <v>1974</v>
      </c>
      <c r="F579" s="78">
        <v>2013</v>
      </c>
      <c r="G579" s="78" t="s">
        <v>51</v>
      </c>
      <c r="H579" s="78">
        <v>4</v>
      </c>
      <c r="I579" s="78">
        <v>4</v>
      </c>
      <c r="J579" s="44">
        <v>4783.3599999999997</v>
      </c>
      <c r="K579" s="44">
        <v>3510.2</v>
      </c>
      <c r="L579" s="44">
        <v>0</v>
      </c>
      <c r="M579" s="79">
        <v>164</v>
      </c>
      <c r="N579" s="129">
        <f t="shared" si="223"/>
        <v>8241862.8259200007</v>
      </c>
      <c r="O579" s="44"/>
      <c r="P579" s="68"/>
      <c r="Q579" s="68"/>
      <c r="R579" s="68">
        <f>+AQ579+AR579</f>
        <v>960081.54</v>
      </c>
      <c r="S579" s="68">
        <f>+'Приложение №2'!E579-'Приложение №1'!R579</f>
        <v>7281781.2859200006</v>
      </c>
      <c r="T579" s="68">
        <v>0</v>
      </c>
      <c r="U579" s="68">
        <f t="shared" si="217"/>
        <v>2347.9752794484648</v>
      </c>
      <c r="V579" s="68">
        <v>1266.2830200640001</v>
      </c>
      <c r="W579" s="80">
        <v>2024</v>
      </c>
      <c r="X579" s="29" t="e">
        <f>+#REF!-'[1]Приложение №1'!$P1133</f>
        <v>#REF!</v>
      </c>
      <c r="Z579" s="31">
        <f t="shared" si="227"/>
        <v>10786909.546420002</v>
      </c>
      <c r="AA579" s="27">
        <v>0</v>
      </c>
      <c r="AB579" s="27">
        <v>0</v>
      </c>
      <c r="AC579" s="27">
        <v>0</v>
      </c>
      <c r="AD579" s="27">
        <v>0</v>
      </c>
      <c r="AE579" s="27">
        <v>1314097.3999999999</v>
      </c>
      <c r="AF579" s="27"/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8060676.2652087007</v>
      </c>
      <c r="AM579" s="27">
        <v>1135899.3550000002</v>
      </c>
      <c r="AN579" s="32">
        <v>95049.965500000006</v>
      </c>
      <c r="AO579" s="33">
        <v>181186.5607113</v>
      </c>
      <c r="AP579" s="84">
        <f>+N579-'Приложение №2'!E579</f>
        <v>0</v>
      </c>
      <c r="AQ579" s="29">
        <f>1511669.96-R280</f>
        <v>602041.14000000013</v>
      </c>
      <c r="AR579" s="1">
        <f t="shared" si="228"/>
        <v>358040.39999999997</v>
      </c>
      <c r="AS579" s="1">
        <f t="shared" si="229"/>
        <v>12636720</v>
      </c>
      <c r="AT579" s="29">
        <f t="shared" si="218"/>
        <v>-5354938.7140799994</v>
      </c>
      <c r="AU579" s="29">
        <f>+P579-'[6]Приложение №1'!$P549</f>
        <v>0</v>
      </c>
      <c r="AV579" s="29">
        <f>+Q579-'[6]Приложение №1'!$Q549</f>
        <v>0</v>
      </c>
      <c r="AW579" s="29">
        <f>+R579-'[6]Приложение №1'!$R549</f>
        <v>0</v>
      </c>
      <c r="AX579" s="29">
        <f>+S579-'[6]Приложение №1'!$S549</f>
        <v>0</v>
      </c>
      <c r="AY579" s="29">
        <f>+T579-'[6]Приложение №1'!$T549</f>
        <v>0</v>
      </c>
    </row>
    <row r="580" spans="1:51" s="35" customFormat="1" x14ac:dyDescent="0.25">
      <c r="A580" s="133">
        <f t="shared" si="230"/>
        <v>562</v>
      </c>
      <c r="B580" s="132">
        <f t="shared" si="230"/>
        <v>100</v>
      </c>
      <c r="C580" s="77" t="s">
        <v>72</v>
      </c>
      <c r="D580" s="77" t="s">
        <v>613</v>
      </c>
      <c r="E580" s="78" t="s">
        <v>623</v>
      </c>
      <c r="F580" s="78"/>
      <c r="G580" s="78" t="s">
        <v>570</v>
      </c>
      <c r="H580" s="78" t="s">
        <v>579</v>
      </c>
      <c r="I580" s="78" t="s">
        <v>572</v>
      </c>
      <c r="J580" s="44">
        <v>1276.4000000000001</v>
      </c>
      <c r="K580" s="44">
        <v>1181.5</v>
      </c>
      <c r="L580" s="44">
        <v>48.4</v>
      </c>
      <c r="M580" s="79">
        <v>69</v>
      </c>
      <c r="N580" s="129">
        <f t="shared" si="223"/>
        <v>19282609.969906949</v>
      </c>
      <c r="O580" s="44">
        <v>0</v>
      </c>
      <c r="P580" s="68">
        <f>+'Приложение №2'!E580-'Приложение №1'!R580-'Приложение №1'!S580-'Приложение №1'!T580</f>
        <v>2512560.0679270476</v>
      </c>
      <c r="Q580" s="68">
        <v>0</v>
      </c>
      <c r="R580" s="68">
        <f>+AQ580+AR580</f>
        <v>682851.66</v>
      </c>
      <c r="S580" s="68">
        <f>+AS580</f>
        <v>4601880</v>
      </c>
      <c r="T580" s="68">
        <v>11485318.241979901</v>
      </c>
      <c r="U580" s="68">
        <f t="shared" si="217"/>
        <v>16320.448556840414</v>
      </c>
      <c r="V580" s="68">
        <v>1267.2830200640001</v>
      </c>
      <c r="W580" s="80">
        <v>2024</v>
      </c>
      <c r="X580" s="35">
        <v>424539.75</v>
      </c>
      <c r="Y580" s="35">
        <f>+(K580*9.1+L580*18.19)*12</f>
        <v>139584.552</v>
      </c>
      <c r="AA580" s="36">
        <f>+N580-'[5]Приложение № 2'!E515</f>
        <v>14628658.748450948</v>
      </c>
      <c r="AD580" s="36">
        <f>+N580-'[5]Приложение № 2'!E515</f>
        <v>14628658.748450948</v>
      </c>
      <c r="AP580" s="84">
        <f>+N580-'Приложение №2'!E580</f>
        <v>0</v>
      </c>
      <c r="AQ580" s="35">
        <v>552465.06000000006</v>
      </c>
      <c r="AR580" s="1">
        <f t="shared" si="228"/>
        <v>130386.59999999999</v>
      </c>
      <c r="AS580" s="1">
        <f t="shared" si="229"/>
        <v>4601880</v>
      </c>
      <c r="AT580" s="29">
        <f t="shared" si="218"/>
        <v>0</v>
      </c>
      <c r="AU580" s="29">
        <f>+P580-'[6]Приложение №1'!$P550</f>
        <v>0</v>
      </c>
      <c r="AV580" s="29">
        <f>+Q580-'[6]Приложение №1'!$Q550</f>
        <v>0</v>
      </c>
      <c r="AW580" s="29">
        <f>+R580-'[6]Приложение №1'!$R550</f>
        <v>0</v>
      </c>
      <c r="AX580" s="29">
        <f>+S580-'[6]Приложение №1'!$S550</f>
        <v>0</v>
      </c>
      <c r="AY580" s="29">
        <f>+T580-'[6]Приложение №1'!$T550</f>
        <v>0</v>
      </c>
    </row>
    <row r="581" spans="1:51" x14ac:dyDescent="0.25">
      <c r="A581" s="133">
        <f t="shared" si="230"/>
        <v>563</v>
      </c>
      <c r="B581" s="132">
        <f t="shared" si="230"/>
        <v>101</v>
      </c>
      <c r="C581" s="77" t="s">
        <v>72</v>
      </c>
      <c r="D581" s="77" t="s">
        <v>181</v>
      </c>
      <c r="E581" s="78">
        <v>1973</v>
      </c>
      <c r="F581" s="78">
        <v>2013</v>
      </c>
      <c r="G581" s="78" t="s">
        <v>44</v>
      </c>
      <c r="H581" s="78">
        <v>5</v>
      </c>
      <c r="I581" s="78">
        <v>6</v>
      </c>
      <c r="J581" s="44">
        <v>5136.8500000000004</v>
      </c>
      <c r="K581" s="44">
        <v>4692.05</v>
      </c>
      <c r="L581" s="44">
        <v>0</v>
      </c>
      <c r="M581" s="79">
        <v>215</v>
      </c>
      <c r="N581" s="129">
        <f t="shared" si="223"/>
        <v>11822611.090756001</v>
      </c>
      <c r="O581" s="44"/>
      <c r="P581" s="68"/>
      <c r="Q581" s="68"/>
      <c r="R581" s="68">
        <f>+AQ581+AR581</f>
        <v>764918.96504399984</v>
      </c>
      <c r="S581" s="68">
        <f>+'Приложение №2'!E581-'Приложение №1'!R581</f>
        <v>11057692.125712002</v>
      </c>
      <c r="T581" s="68">
        <v>0</v>
      </c>
      <c r="U581" s="68">
        <f t="shared" si="217"/>
        <v>2519.7112329911233</v>
      </c>
      <c r="V581" s="68">
        <v>1268.2830200640001</v>
      </c>
      <c r="W581" s="80">
        <v>2024</v>
      </c>
      <c r="X581" s="29" t="e">
        <f>+#REF!-'[1]Приложение №1'!$P1134</f>
        <v>#REF!</v>
      </c>
      <c r="Z581" s="31">
        <f>SUM(AA581:AO581)</f>
        <v>27853394.144955996</v>
      </c>
      <c r="AA581" s="27">
        <v>0</v>
      </c>
      <c r="AB581" s="27">
        <v>0</v>
      </c>
      <c r="AC581" s="27">
        <v>0</v>
      </c>
      <c r="AD581" s="27">
        <v>0</v>
      </c>
      <c r="AE581" s="27">
        <v>1990543.04</v>
      </c>
      <c r="AF581" s="27"/>
      <c r="AG581" s="27">
        <v>0</v>
      </c>
      <c r="AH581" s="27">
        <v>0</v>
      </c>
      <c r="AI581" s="27">
        <v>0</v>
      </c>
      <c r="AJ581" s="27">
        <v>0</v>
      </c>
      <c r="AK581" s="27">
        <v>10718809.191245399</v>
      </c>
      <c r="AL581" s="27">
        <v>11561490.38701188</v>
      </c>
      <c r="AM581" s="27">
        <v>2826217.2920000004</v>
      </c>
      <c r="AN581" s="32">
        <v>260814.88320000001</v>
      </c>
      <c r="AO581" s="33">
        <v>495519.35149872006</v>
      </c>
      <c r="AP581" s="84">
        <f>+N581-'Приложение №2'!E581</f>
        <v>0</v>
      </c>
      <c r="AQ581" s="29">
        <f>2285167.23-R283</f>
        <v>286329.86504399986</v>
      </c>
      <c r="AR581" s="1">
        <f t="shared" si="228"/>
        <v>478589.1</v>
      </c>
      <c r="AS581" s="1">
        <f t="shared" si="229"/>
        <v>16891380</v>
      </c>
      <c r="AT581" s="29">
        <f t="shared" si="218"/>
        <v>-5833687.8742879983</v>
      </c>
      <c r="AU581" s="29">
        <f>+P581-'[6]Приложение №1'!$P551</f>
        <v>0</v>
      </c>
      <c r="AV581" s="29">
        <f>+Q581-'[6]Приложение №1'!$Q551</f>
        <v>0</v>
      </c>
      <c r="AW581" s="29">
        <f>+R581-'[6]Приложение №1'!$R551</f>
        <v>0</v>
      </c>
      <c r="AX581" s="29">
        <f>+S581-'[6]Приложение №1'!$S551</f>
        <v>0</v>
      </c>
      <c r="AY581" s="29">
        <f>+T581-'[6]Приложение №1'!$T551</f>
        <v>0</v>
      </c>
    </row>
    <row r="582" spans="1:51" x14ac:dyDescent="0.25">
      <c r="A582" s="133">
        <f t="shared" si="230"/>
        <v>564</v>
      </c>
      <c r="B582" s="132">
        <f t="shared" si="230"/>
        <v>102</v>
      </c>
      <c r="C582" s="77" t="s">
        <v>72</v>
      </c>
      <c r="D582" s="77" t="s">
        <v>183</v>
      </c>
      <c r="E582" s="78">
        <v>1976</v>
      </c>
      <c r="F582" s="78">
        <v>2005</v>
      </c>
      <c r="G582" s="78" t="s">
        <v>51</v>
      </c>
      <c r="H582" s="78">
        <v>5</v>
      </c>
      <c r="I582" s="78">
        <v>6</v>
      </c>
      <c r="J582" s="44">
        <v>3918.8</v>
      </c>
      <c r="K582" s="44">
        <v>3433.8</v>
      </c>
      <c r="L582" s="44">
        <v>0</v>
      </c>
      <c r="M582" s="79">
        <v>155</v>
      </c>
      <c r="N582" s="129">
        <f t="shared" si="223"/>
        <v>1090383.0156</v>
      </c>
      <c r="O582" s="44"/>
      <c r="P582" s="68"/>
      <c r="Q582" s="68"/>
      <c r="R582" s="68">
        <f>+'Приложение №2'!E582</f>
        <v>1090383.0156</v>
      </c>
      <c r="S582" s="68">
        <f>+'Приложение №2'!E582-'Приложение №1'!R582</f>
        <v>0</v>
      </c>
      <c r="T582" s="68">
        <v>0</v>
      </c>
      <c r="U582" s="68">
        <f t="shared" si="217"/>
        <v>317.54412475974141</v>
      </c>
      <c r="V582" s="68">
        <v>1269.2830200640001</v>
      </c>
      <c r="W582" s="80">
        <v>2024</v>
      </c>
      <c r="X582" s="29">
        <f>+S582-'[1]Приложение №1'!$P655</f>
        <v>-1580265.24</v>
      </c>
      <c r="Z582" s="31">
        <f>SUM(AA582:AO582)</f>
        <v>1580265.24</v>
      </c>
      <c r="AA582" s="27">
        <v>0</v>
      </c>
      <c r="AB582" s="27">
        <v>0</v>
      </c>
      <c r="AC582" s="27">
        <v>0</v>
      </c>
      <c r="AD582" s="27">
        <v>0</v>
      </c>
      <c r="AE582" s="27">
        <v>1067048.8190661601</v>
      </c>
      <c r="AF582" s="27"/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474079.57199999999</v>
      </c>
      <c r="AN582" s="32">
        <v>15802.652400000001</v>
      </c>
      <c r="AO582" s="33">
        <v>23334.19653384</v>
      </c>
      <c r="AP582" s="84">
        <f>+N582-'Приложение №2'!E582</f>
        <v>0</v>
      </c>
      <c r="AQ582" s="1">
        <f>1718197.1-846033</f>
        <v>872164.10000000009</v>
      </c>
      <c r="AR582" s="1">
        <f t="shared" si="228"/>
        <v>350247.6</v>
      </c>
      <c r="AS582" s="1">
        <f>+(K582*10+L582*20)*12*30-62340.65-1126498.46</f>
        <v>11172840.890000001</v>
      </c>
      <c r="AT582" s="29">
        <f t="shared" si="218"/>
        <v>-11172840.890000001</v>
      </c>
      <c r="AU582" s="29">
        <f>+P582-'[6]Приложение №1'!$P552</f>
        <v>0</v>
      </c>
      <c r="AV582" s="29">
        <f>+Q582-'[6]Приложение №1'!$Q552</f>
        <v>0</v>
      </c>
      <c r="AW582" s="29">
        <f>+R582-'[6]Приложение №1'!$R552</f>
        <v>0</v>
      </c>
      <c r="AX582" s="29">
        <f>+S582-'[6]Приложение №1'!$S552</f>
        <v>0</v>
      </c>
      <c r="AY582" s="29">
        <f>+T582-'[6]Приложение №1'!$T552</f>
        <v>0</v>
      </c>
    </row>
    <row r="583" spans="1:51" x14ac:dyDescent="0.25">
      <c r="A583" s="133">
        <f t="shared" si="230"/>
        <v>565</v>
      </c>
      <c r="B583" s="132">
        <f t="shared" si="230"/>
        <v>103</v>
      </c>
      <c r="C583" s="77" t="s">
        <v>72</v>
      </c>
      <c r="D583" s="77" t="s">
        <v>324</v>
      </c>
      <c r="E583" s="78">
        <v>1986</v>
      </c>
      <c r="F583" s="78">
        <v>2005</v>
      </c>
      <c r="G583" s="78" t="s">
        <v>44</v>
      </c>
      <c r="H583" s="78">
        <v>5</v>
      </c>
      <c r="I583" s="78">
        <v>3</v>
      </c>
      <c r="J583" s="44">
        <v>5898.64</v>
      </c>
      <c r="K583" s="44">
        <v>4269.5</v>
      </c>
      <c r="L583" s="44">
        <v>369.2</v>
      </c>
      <c r="M583" s="79">
        <v>316</v>
      </c>
      <c r="N583" s="129">
        <f t="shared" si="223"/>
        <v>52616181.969999999</v>
      </c>
      <c r="O583" s="44"/>
      <c r="P583" s="68">
        <v>6350229.8080000002</v>
      </c>
      <c r="Q583" s="68"/>
      <c r="R583" s="68">
        <f t="shared" ref="R583:R589" si="231">+AQ583+AR583</f>
        <v>2630243.4499999997</v>
      </c>
      <c r="S583" s="68">
        <f>+AS583</f>
        <v>18028440</v>
      </c>
      <c r="T583" s="68">
        <f>+'Приложение №2'!E583-'Приложение №1'!P583-'Приложение №1'!R583-'Приложение №1'!S583</f>
        <v>25607268.711999997</v>
      </c>
      <c r="U583" s="68">
        <f t="shared" si="217"/>
        <v>12323.733919662724</v>
      </c>
      <c r="V583" s="68">
        <v>1270.2830200640001</v>
      </c>
      <c r="W583" s="80">
        <v>2024</v>
      </c>
      <c r="X583" s="29" t="e">
        <f>+#REF!-'[1]Приложение №1'!$P1017</f>
        <v>#REF!</v>
      </c>
      <c r="Z583" s="31">
        <f>SUM(AA583:AO583)</f>
        <v>52616181.970000006</v>
      </c>
      <c r="AA583" s="27">
        <v>12089576.8229145</v>
      </c>
      <c r="AB583" s="27">
        <v>4308013.2351488397</v>
      </c>
      <c r="AC583" s="27">
        <v>4500915.2712127808</v>
      </c>
      <c r="AD583" s="27">
        <v>2817857.5473652803</v>
      </c>
      <c r="AE583" s="27">
        <v>0</v>
      </c>
      <c r="AF583" s="27"/>
      <c r="AG583" s="27">
        <v>463910.16369684006</v>
      </c>
      <c r="AH583" s="27">
        <v>0</v>
      </c>
      <c r="AI583" s="27">
        <v>22101585.911395203</v>
      </c>
      <c r="AJ583" s="27">
        <v>0</v>
      </c>
      <c r="AK583" s="27">
        <v>0</v>
      </c>
      <c r="AL583" s="27">
        <v>0</v>
      </c>
      <c r="AM583" s="27">
        <v>4796070.6798999999</v>
      </c>
      <c r="AN583" s="32">
        <v>526161.81969999999</v>
      </c>
      <c r="AO583" s="33">
        <v>1012090.5186665601</v>
      </c>
      <c r="AP583" s="84">
        <f>+N583-'Приложение №2'!E583</f>
        <v>0</v>
      </c>
      <c r="AQ583" s="1">
        <v>2119437.65</v>
      </c>
      <c r="AR583" s="1">
        <f t="shared" si="228"/>
        <v>510805.8</v>
      </c>
      <c r="AS583" s="1">
        <f>+(K583*10+L583*20)*12*30</f>
        <v>18028440</v>
      </c>
      <c r="AT583" s="29">
        <f t="shared" si="218"/>
        <v>0</v>
      </c>
      <c r="AU583" s="29">
        <f>+P583-'[6]Приложение №1'!$P553</f>
        <v>0</v>
      </c>
      <c r="AV583" s="29">
        <f>+Q583-'[6]Приложение №1'!$Q553</f>
        <v>0</v>
      </c>
      <c r="AW583" s="29">
        <f>+R583-'[6]Приложение №1'!$R553</f>
        <v>0</v>
      </c>
      <c r="AX583" s="29">
        <f>+S583-'[6]Приложение №1'!$S553</f>
        <v>0</v>
      </c>
      <c r="AY583" s="29">
        <f>+T583-'[6]Приложение №1'!$T553</f>
        <v>0</v>
      </c>
    </row>
    <row r="584" spans="1:51" x14ac:dyDescent="0.25">
      <c r="A584" s="133">
        <f t="shared" si="230"/>
        <v>566</v>
      </c>
      <c r="B584" s="132">
        <f t="shared" si="230"/>
        <v>104</v>
      </c>
      <c r="C584" s="77" t="s">
        <v>72</v>
      </c>
      <c r="D584" s="77" t="s">
        <v>184</v>
      </c>
      <c r="E584" s="78">
        <v>1976</v>
      </c>
      <c r="F584" s="78">
        <v>2013</v>
      </c>
      <c r="G584" s="78" t="s">
        <v>44</v>
      </c>
      <c r="H584" s="78">
        <v>4</v>
      </c>
      <c r="I584" s="78">
        <v>4</v>
      </c>
      <c r="J584" s="44">
        <v>2991.3</v>
      </c>
      <c r="K584" s="44">
        <v>2484.4</v>
      </c>
      <c r="L584" s="44">
        <v>250.6</v>
      </c>
      <c r="M584" s="79">
        <v>122</v>
      </c>
      <c r="N584" s="129">
        <f t="shared" si="223"/>
        <v>25712471.723851997</v>
      </c>
      <c r="O584" s="44"/>
      <c r="P584" s="68">
        <v>3677895.9417703999</v>
      </c>
      <c r="Q584" s="68"/>
      <c r="R584" s="68">
        <f t="shared" si="231"/>
        <v>1462998.8499999999</v>
      </c>
      <c r="S584" s="68">
        <f>+AS584</f>
        <v>9807202.6400000006</v>
      </c>
      <c r="T584" s="68">
        <f>+'Приложение №2'!E584-'Приложение №1'!P584-'Приложение №1'!R584-'Приложение №1'!S584</f>
        <v>10764374.292081598</v>
      </c>
      <c r="U584" s="68">
        <f t="shared" si="217"/>
        <v>10349.570006380614</v>
      </c>
      <c r="V584" s="68">
        <v>1271.2830200640001</v>
      </c>
      <c r="W584" s="80">
        <v>2024</v>
      </c>
      <c r="X584" s="29" t="e">
        <f>+#REF!-'[1]Приложение №1'!$P1137</f>
        <v>#REF!</v>
      </c>
      <c r="Z584" s="31">
        <f>SUM(AA584:AO584)</f>
        <v>37022548.278852001</v>
      </c>
      <c r="AA584" s="27">
        <v>6531079.8989818199</v>
      </c>
      <c r="AB584" s="27">
        <v>0</v>
      </c>
      <c r="AC584" s="27">
        <v>0</v>
      </c>
      <c r="AD584" s="27">
        <v>0</v>
      </c>
      <c r="AE584" s="27">
        <v>1171020.99</v>
      </c>
      <c r="AF584" s="27"/>
      <c r="AG584" s="27">
        <v>0</v>
      </c>
      <c r="AH584" s="27">
        <v>0</v>
      </c>
      <c r="AI584" s="27">
        <v>11939807.781027</v>
      </c>
      <c r="AJ584" s="27">
        <v>0</v>
      </c>
      <c r="AK584" s="27">
        <v>6199203.4736406608</v>
      </c>
      <c r="AL584" s="27">
        <v>6686566.5827221796</v>
      </c>
      <c r="AM584" s="27">
        <v>3445210.5711000003</v>
      </c>
      <c r="AN584" s="32">
        <v>359077.49579999998</v>
      </c>
      <c r="AO584" s="33">
        <v>690581.48558034003</v>
      </c>
      <c r="AP584" s="84">
        <f>+N584-'Приложение №2'!E584</f>
        <v>0</v>
      </c>
      <c r="AQ584" s="1">
        <f>1388531.28-230063.63</f>
        <v>1158467.6499999999</v>
      </c>
      <c r="AR584" s="1">
        <f t="shared" si="228"/>
        <v>304531.20000000001</v>
      </c>
      <c r="AS584" s="1">
        <f>+(K584*10+L584*20)*12*30-940957.36</f>
        <v>9807202.6400000006</v>
      </c>
      <c r="AT584" s="29">
        <f t="shared" si="218"/>
        <v>0</v>
      </c>
      <c r="AU584" s="29">
        <f>+P584-'[6]Приложение №1'!$P554</f>
        <v>0</v>
      </c>
      <c r="AV584" s="29">
        <f>+Q584-'[6]Приложение №1'!$Q554</f>
        <v>0</v>
      </c>
      <c r="AW584" s="29">
        <f>+R584-'[6]Приложение №1'!$R554</f>
        <v>0</v>
      </c>
      <c r="AX584" s="29">
        <f>+S584-'[6]Приложение №1'!$S554</f>
        <v>0</v>
      </c>
      <c r="AY584" s="29">
        <f>+T584-'[6]Приложение №1'!$T554</f>
        <v>0</v>
      </c>
    </row>
    <row r="585" spans="1:51" x14ac:dyDescent="0.25">
      <c r="A585" s="133">
        <f t="shared" si="230"/>
        <v>567</v>
      </c>
      <c r="B585" s="132">
        <f t="shared" si="230"/>
        <v>105</v>
      </c>
      <c r="C585" s="77" t="s">
        <v>72</v>
      </c>
      <c r="D585" s="77" t="s">
        <v>79</v>
      </c>
      <c r="E585" s="78">
        <v>1970</v>
      </c>
      <c r="F585" s="78">
        <v>2017</v>
      </c>
      <c r="G585" s="78" t="s">
        <v>44</v>
      </c>
      <c r="H585" s="78">
        <v>5</v>
      </c>
      <c r="I585" s="78">
        <v>2</v>
      </c>
      <c r="J585" s="44">
        <v>1774.6</v>
      </c>
      <c r="K585" s="44">
        <v>1596.4</v>
      </c>
      <c r="L585" s="44">
        <v>0</v>
      </c>
      <c r="M585" s="79">
        <v>61</v>
      </c>
      <c r="N585" s="129">
        <f t="shared" si="223"/>
        <v>5272414.5245999992</v>
      </c>
      <c r="O585" s="44"/>
      <c r="P585" s="68">
        <f>+'Приложение №2'!E585-'Приложение №1'!R585-'Приложение №1'!S585</f>
        <v>0</v>
      </c>
      <c r="Q585" s="68"/>
      <c r="R585" s="68">
        <f t="shared" si="231"/>
        <v>449546.89999999997</v>
      </c>
      <c r="S585" s="68">
        <f>+'Приложение №2'!E585-'Приложение №1'!R585</f>
        <v>4822867.6245999988</v>
      </c>
      <c r="T585" s="68">
        <f>+'Приложение №2'!E585-'Приложение №1'!P585-'Приложение №1'!R585-'Приложение №1'!S585</f>
        <v>0</v>
      </c>
      <c r="U585" s="68">
        <f t="shared" si="217"/>
        <v>3302.6901306690047</v>
      </c>
      <c r="V585" s="68">
        <v>1272.2830200640001</v>
      </c>
      <c r="W585" s="80">
        <v>2024</v>
      </c>
      <c r="X585" s="29" t="e">
        <f>+#REF!-'[1]Приложение №1'!$P409</f>
        <v>#REF!</v>
      </c>
      <c r="Z585" s="31">
        <f>SUM(AA585:AO585)</f>
        <v>9973803.0700000003</v>
      </c>
      <c r="AA585" s="27">
        <v>3804046.6453625998</v>
      </c>
      <c r="AB585" s="27">
        <v>1355538.2084109599</v>
      </c>
      <c r="AC585" s="27">
        <v>0</v>
      </c>
      <c r="AD585" s="27">
        <v>0</v>
      </c>
      <c r="AE585" s="27"/>
      <c r="AF585" s="27"/>
      <c r="AG585" s="27">
        <v>0</v>
      </c>
      <c r="AH585" s="27">
        <v>0</v>
      </c>
      <c r="AI585" s="27">
        <v>0</v>
      </c>
      <c r="AJ585" s="27">
        <v>0</v>
      </c>
      <c r="AK585" s="27">
        <v>3610744.2460324201</v>
      </c>
      <c r="AL585" s="27">
        <v>0</v>
      </c>
      <c r="AM585" s="27">
        <v>911946.60499999998</v>
      </c>
      <c r="AN585" s="32">
        <v>99738.030700000003</v>
      </c>
      <c r="AO585" s="33">
        <v>191789.33449402</v>
      </c>
      <c r="AP585" s="84">
        <f>+N585-'Приложение №2'!E585</f>
        <v>0</v>
      </c>
      <c r="AQ585" s="1">
        <f>638025.43-84643.55-266667.78</f>
        <v>286714.09999999998</v>
      </c>
      <c r="AR585" s="1">
        <f t="shared" si="228"/>
        <v>162832.79999999999</v>
      </c>
      <c r="AS585" s="1">
        <f>+(K585*10+L585*20)*12*30-19875.37-568427.42</f>
        <v>5158737.21</v>
      </c>
      <c r="AT585" s="29">
        <f t="shared" si="218"/>
        <v>-335869.58540000115</v>
      </c>
      <c r="AU585" s="29">
        <f>+P585-'[6]Приложение №1'!$P555</f>
        <v>0</v>
      </c>
      <c r="AV585" s="29">
        <f>+Q585-'[6]Приложение №1'!$Q555</f>
        <v>0</v>
      </c>
      <c r="AW585" s="29">
        <f>+R585-'[6]Приложение №1'!$R555</f>
        <v>0</v>
      </c>
      <c r="AX585" s="29">
        <f>+S585-'[6]Приложение №1'!$S555</f>
        <v>0</v>
      </c>
      <c r="AY585" s="29">
        <f>+T585-'[6]Приложение №1'!$T555</f>
        <v>0</v>
      </c>
    </row>
    <row r="586" spans="1:51" s="35" customFormat="1" x14ac:dyDescent="0.25">
      <c r="A586" s="133">
        <f t="shared" si="230"/>
        <v>568</v>
      </c>
      <c r="B586" s="132">
        <f t="shared" si="230"/>
        <v>106</v>
      </c>
      <c r="C586" s="77" t="s">
        <v>72</v>
      </c>
      <c r="D586" s="77" t="s">
        <v>614</v>
      </c>
      <c r="E586" s="78" t="s">
        <v>593</v>
      </c>
      <c r="F586" s="78"/>
      <c r="G586" s="78" t="s">
        <v>573</v>
      </c>
      <c r="H586" s="78" t="s">
        <v>579</v>
      </c>
      <c r="I586" s="78" t="s">
        <v>579</v>
      </c>
      <c r="J586" s="44">
        <v>3893.1</v>
      </c>
      <c r="K586" s="44">
        <v>3553.5</v>
      </c>
      <c r="L586" s="44">
        <v>0</v>
      </c>
      <c r="M586" s="79">
        <v>150</v>
      </c>
      <c r="N586" s="129">
        <f t="shared" si="223"/>
        <v>54110859.14588251</v>
      </c>
      <c r="O586" s="44">
        <v>0</v>
      </c>
      <c r="P586" s="68">
        <v>8517894.7578108646</v>
      </c>
      <c r="Q586" s="68">
        <v>0</v>
      </c>
      <c r="R586" s="68">
        <f t="shared" si="231"/>
        <v>1208620.8999999999</v>
      </c>
      <c r="S586" s="68">
        <f>+AS586</f>
        <v>12792600</v>
      </c>
      <c r="T586" s="68">
        <f>+'Приложение №2'!E586-'Приложение №1'!P586-'Приложение №1'!Q586-'Приложение №1'!R586-'Приложение №1'!S586</f>
        <v>31591743.488071643</v>
      </c>
      <c r="U586" s="68">
        <f t="shared" si="217"/>
        <v>15227.482523113131</v>
      </c>
      <c r="V586" s="68">
        <v>1273.2830200640001</v>
      </c>
      <c r="W586" s="80">
        <v>2024</v>
      </c>
      <c r="X586" s="35">
        <v>609180.44999999995</v>
      </c>
      <c r="Y586" s="35">
        <f>+(K586*9.1+L586*18.19)*12</f>
        <v>388042.19999999995</v>
      </c>
      <c r="AA586" s="36">
        <f>+N586-'[5]Приложение № 2'!E521</f>
        <v>45362338.425882511</v>
      </c>
      <c r="AD586" s="36">
        <f>+N586-'[5]Приложение № 2'!E521</f>
        <v>45362338.425882511</v>
      </c>
      <c r="AP586" s="84">
        <f>+N586-'Приложение №2'!E586</f>
        <v>0</v>
      </c>
      <c r="AQ586" s="35">
        <v>846163.9</v>
      </c>
      <c r="AR586" s="1">
        <f t="shared" si="228"/>
        <v>362457</v>
      </c>
      <c r="AS586" s="1">
        <f>+(K586*10+L586*20)*12*30</f>
        <v>12792600</v>
      </c>
      <c r="AT586" s="29">
        <f t="shared" si="218"/>
        <v>0</v>
      </c>
      <c r="AU586" s="29">
        <f>+P586-'[6]Приложение №1'!$P556</f>
        <v>0</v>
      </c>
      <c r="AV586" s="29">
        <f>+Q586-'[6]Приложение №1'!$Q556</f>
        <v>0</v>
      </c>
      <c r="AW586" s="29">
        <f>+R586-'[6]Приложение №1'!$R556</f>
        <v>0</v>
      </c>
      <c r="AX586" s="29">
        <f>+S586-'[6]Приложение №1'!$S556</f>
        <v>0</v>
      </c>
      <c r="AY586" s="29">
        <f>+T586-'[6]Приложение №1'!$T556</f>
        <v>0</v>
      </c>
    </row>
    <row r="587" spans="1:51" s="35" customFormat="1" x14ac:dyDescent="0.25">
      <c r="A587" s="133">
        <f t="shared" si="230"/>
        <v>569</v>
      </c>
      <c r="B587" s="132">
        <f t="shared" si="230"/>
        <v>107</v>
      </c>
      <c r="C587" s="77" t="s">
        <v>72</v>
      </c>
      <c r="D587" s="77" t="s">
        <v>612</v>
      </c>
      <c r="E587" s="78" t="s">
        <v>609</v>
      </c>
      <c r="F587" s="78"/>
      <c r="G587" s="78" t="s">
        <v>570</v>
      </c>
      <c r="H587" s="78" t="s">
        <v>582</v>
      </c>
      <c r="I587" s="78" t="s">
        <v>579</v>
      </c>
      <c r="J587" s="44">
        <v>4021.68</v>
      </c>
      <c r="K587" s="44">
        <v>3212.2</v>
      </c>
      <c r="L587" s="44">
        <v>201.5</v>
      </c>
      <c r="M587" s="79">
        <v>152</v>
      </c>
      <c r="N587" s="129">
        <f t="shared" si="223"/>
        <v>37259456.808583044</v>
      </c>
      <c r="O587" s="44">
        <v>0</v>
      </c>
      <c r="P587" s="68">
        <v>4581465.5337166088</v>
      </c>
      <c r="Q587" s="68">
        <v>0</v>
      </c>
      <c r="R587" s="68">
        <f t="shared" si="231"/>
        <v>2060779.94</v>
      </c>
      <c r="S587" s="68">
        <f>+AS587</f>
        <v>13014720</v>
      </c>
      <c r="T587" s="68">
        <f>+'Приложение №2'!E587-'Приложение №1'!P587-'Приложение №1'!R587-'Приложение №1'!S587</f>
        <v>17602491.334866434</v>
      </c>
      <c r="U587" s="68">
        <f t="shared" si="217"/>
        <v>11599.35770144544</v>
      </c>
      <c r="V587" s="68">
        <v>1274.2830200640001</v>
      </c>
      <c r="W587" s="80">
        <v>2024</v>
      </c>
      <c r="X587" s="35">
        <v>1358102.97</v>
      </c>
      <c r="Y587" s="35">
        <f>+(K587*9.1+L587*18.19)*12</f>
        <v>394755.66000000003</v>
      </c>
      <c r="AA587" s="36">
        <f>+N587-'[5]Приложение № 2'!E522</f>
        <v>34588001.443902083</v>
      </c>
      <c r="AD587" s="36">
        <f>+N587-'[5]Приложение № 2'!E522</f>
        <v>34588001.443902083</v>
      </c>
      <c r="AP587" s="84">
        <f>+N587-'Приложение №2'!E587</f>
        <v>0</v>
      </c>
      <c r="AQ587" s="1">
        <v>1692029.54</v>
      </c>
      <c r="AR587" s="1">
        <f t="shared" si="228"/>
        <v>368750.39999999997</v>
      </c>
      <c r="AS587" s="1">
        <f>+(K587*10+L587*20)*12*30</f>
        <v>13014720</v>
      </c>
      <c r="AT587" s="29">
        <f t="shared" si="218"/>
        <v>0</v>
      </c>
      <c r="AU587" s="29">
        <f>+P587-'[6]Приложение №1'!$P557</f>
        <v>0</v>
      </c>
      <c r="AV587" s="29">
        <f>+Q587-'[6]Приложение №1'!$Q557</f>
        <v>0</v>
      </c>
      <c r="AW587" s="29">
        <f>+R587-'[6]Приложение №1'!$R557</f>
        <v>0</v>
      </c>
      <c r="AX587" s="29">
        <f>+S587-'[6]Приложение №1'!$S557</f>
        <v>0</v>
      </c>
      <c r="AY587" s="29">
        <f>+T587-'[6]Приложение №1'!$T557</f>
        <v>0</v>
      </c>
    </row>
    <row r="588" spans="1:51" x14ac:dyDescent="0.25">
      <c r="A588" s="133">
        <f t="shared" si="230"/>
        <v>570</v>
      </c>
      <c r="B588" s="132">
        <f t="shared" si="230"/>
        <v>108</v>
      </c>
      <c r="C588" s="77" t="s">
        <v>72</v>
      </c>
      <c r="D588" s="77" t="s">
        <v>185</v>
      </c>
      <c r="E588" s="78">
        <v>1974</v>
      </c>
      <c r="F588" s="78">
        <v>2012</v>
      </c>
      <c r="G588" s="78" t="s">
        <v>44</v>
      </c>
      <c r="H588" s="78">
        <v>4</v>
      </c>
      <c r="I588" s="78">
        <v>4</v>
      </c>
      <c r="J588" s="44">
        <v>3917</v>
      </c>
      <c r="K588" s="44">
        <v>3431.9</v>
      </c>
      <c r="L588" s="44">
        <v>0</v>
      </c>
      <c r="M588" s="79">
        <v>163</v>
      </c>
      <c r="N588" s="129">
        <f t="shared" si="223"/>
        <v>20404912.125809953</v>
      </c>
      <c r="O588" s="44"/>
      <c r="P588" s="68">
        <v>1511702.0514524882</v>
      </c>
      <c r="Q588" s="68"/>
      <c r="R588" s="68">
        <f t="shared" si="231"/>
        <v>1989936.72</v>
      </c>
      <c r="S588" s="68">
        <f>+AS588</f>
        <v>12354840</v>
      </c>
      <c r="T588" s="68">
        <f>+'Приложение №2'!E588-'Приложение №1'!P588-'Приложение №1'!R588-'Приложение №1'!S588</f>
        <v>4548433.3543574661</v>
      </c>
      <c r="U588" s="68">
        <f t="shared" si="217"/>
        <v>5945.6604579999275</v>
      </c>
      <c r="V588" s="68">
        <v>1275.2830200640001</v>
      </c>
      <c r="W588" s="80">
        <v>2024</v>
      </c>
      <c r="X588" s="29" t="e">
        <f>+#REF!-'[1]Приложение №1'!$P657</f>
        <v>#REF!</v>
      </c>
      <c r="Z588" s="31">
        <f>SUM(AA588:AO588)</f>
        <v>9641868.1699999999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/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8397623.6501341797</v>
      </c>
      <c r="AM588" s="27">
        <v>964186.81700000004</v>
      </c>
      <c r="AN588" s="32">
        <v>96418.681700000001</v>
      </c>
      <c r="AO588" s="33">
        <v>183639.02116581998</v>
      </c>
      <c r="AP588" s="84">
        <f>+N588-'Приложение №2'!E588</f>
        <v>0</v>
      </c>
      <c r="AQ588" s="35">
        <v>1639882.92</v>
      </c>
      <c r="AR588" s="1">
        <f t="shared" si="228"/>
        <v>350053.8</v>
      </c>
      <c r="AS588" s="1">
        <f>+(K588*10+L588*20)*12*30</f>
        <v>12354840</v>
      </c>
      <c r="AT588" s="29">
        <f t="shared" si="218"/>
        <v>0</v>
      </c>
      <c r="AU588" s="29">
        <f>+P588-'[6]Приложение №1'!$P558</f>
        <v>0</v>
      </c>
      <c r="AV588" s="29">
        <f>+Q588-'[6]Приложение №1'!$Q558</f>
        <v>0</v>
      </c>
      <c r="AW588" s="29">
        <f>+R588-'[6]Приложение №1'!$R558</f>
        <v>0</v>
      </c>
      <c r="AX588" s="29">
        <f>+S588-'[6]Приложение №1'!$S558</f>
        <v>0</v>
      </c>
      <c r="AY588" s="29">
        <f>+T588-'[6]Приложение №1'!$T558</f>
        <v>0</v>
      </c>
    </row>
    <row r="589" spans="1:51" s="35" customFormat="1" x14ac:dyDescent="0.25">
      <c r="A589" s="133">
        <f t="shared" si="230"/>
        <v>571</v>
      </c>
      <c r="B589" s="132">
        <f t="shared" si="230"/>
        <v>109</v>
      </c>
      <c r="C589" s="77" t="s">
        <v>72</v>
      </c>
      <c r="D589" s="77" t="s">
        <v>611</v>
      </c>
      <c r="E589" s="78" t="s">
        <v>591</v>
      </c>
      <c r="F589" s="78"/>
      <c r="G589" s="78" t="s">
        <v>570</v>
      </c>
      <c r="H589" s="78" t="s">
        <v>579</v>
      </c>
      <c r="I589" s="78" t="s">
        <v>579</v>
      </c>
      <c r="J589" s="44">
        <v>3131.3</v>
      </c>
      <c r="K589" s="44">
        <v>2721.1</v>
      </c>
      <c r="L589" s="44">
        <v>64.900000000000006</v>
      </c>
      <c r="M589" s="79">
        <v>111</v>
      </c>
      <c r="N589" s="129">
        <f t="shared" si="223"/>
        <v>24475604.160000004</v>
      </c>
      <c r="O589" s="44">
        <v>0</v>
      </c>
      <c r="P589" s="68">
        <v>3119886.4825000009</v>
      </c>
      <c r="Q589" s="68">
        <v>0</v>
      </c>
      <c r="R589" s="68">
        <f t="shared" si="231"/>
        <v>1715789.03</v>
      </c>
      <c r="S589" s="68">
        <f>+AS589</f>
        <v>10263240</v>
      </c>
      <c r="T589" s="68">
        <f>+'Приложение №2'!E589-'Приложение №1'!P589-'Приложение №1'!R589-'Приложение №1'!S589</f>
        <v>9376688.6475000009</v>
      </c>
      <c r="U589" s="68">
        <f t="shared" si="217"/>
        <v>8994.7463011282216</v>
      </c>
      <c r="V589" s="68">
        <v>1276.2830200640001</v>
      </c>
      <c r="W589" s="80">
        <v>2024</v>
      </c>
      <c r="X589" s="35">
        <v>1106960.28</v>
      </c>
      <c r="Y589" s="35">
        <f>+(K589*9.1+L589*18.19)*12</f>
        <v>311310.49199999997</v>
      </c>
      <c r="AA589" s="36">
        <f>+N589-'[5]Приложение № 2'!E524</f>
        <v>2927444.1600000039</v>
      </c>
      <c r="AD589" s="36">
        <f>+N589-'[5]Приложение № 2'!E524</f>
        <v>2927444.1600000039</v>
      </c>
      <c r="AP589" s="84">
        <f>+N589-'Приложение №2'!E589</f>
        <v>0</v>
      </c>
      <c r="AQ589" s="35">
        <v>1424997.23</v>
      </c>
      <c r="AR589" s="1">
        <f t="shared" si="228"/>
        <v>290791.8</v>
      </c>
      <c r="AS589" s="1">
        <f>+(K589*10+L589*20)*12*30</f>
        <v>10263240</v>
      </c>
      <c r="AT589" s="29">
        <f t="shared" si="218"/>
        <v>0</v>
      </c>
      <c r="AU589" s="29">
        <f>+P589-'[6]Приложение №1'!$P559</f>
        <v>0</v>
      </c>
      <c r="AV589" s="29">
        <f>+Q589-'[6]Приложение №1'!$Q559</f>
        <v>0</v>
      </c>
      <c r="AW589" s="29">
        <f>+R589-'[6]Приложение №1'!$R559</f>
        <v>0</v>
      </c>
      <c r="AX589" s="29">
        <f>+S589-'[6]Приложение №1'!$S559</f>
        <v>0</v>
      </c>
      <c r="AY589" s="29">
        <f>+T589-'[6]Приложение №1'!$T559</f>
        <v>0</v>
      </c>
    </row>
    <row r="590" spans="1:51" x14ac:dyDescent="0.25">
      <c r="A590" s="133">
        <f t="shared" si="230"/>
        <v>572</v>
      </c>
      <c r="B590" s="132">
        <f t="shared" si="230"/>
        <v>110</v>
      </c>
      <c r="C590" s="77" t="s">
        <v>72</v>
      </c>
      <c r="D590" s="77" t="s">
        <v>187</v>
      </c>
      <c r="E590" s="78">
        <v>1974</v>
      </c>
      <c r="F590" s="78">
        <v>2013</v>
      </c>
      <c r="G590" s="78" t="s">
        <v>51</v>
      </c>
      <c r="H590" s="78">
        <v>4</v>
      </c>
      <c r="I590" s="78">
        <v>4</v>
      </c>
      <c r="J590" s="44">
        <v>3890.5</v>
      </c>
      <c r="K590" s="44">
        <v>3406.6</v>
      </c>
      <c r="L590" s="44">
        <v>0</v>
      </c>
      <c r="M590" s="79">
        <v>175</v>
      </c>
      <c r="N590" s="129">
        <f t="shared" si="223"/>
        <v>5807176.6843999997</v>
      </c>
      <c r="O590" s="44"/>
      <c r="P590" s="68">
        <f>+'Приложение №2'!E590-'Приложение №1'!T590-'Приложение №1'!R590</f>
        <v>1145305.2433538393</v>
      </c>
      <c r="Q590" s="68"/>
      <c r="R590" s="68">
        <f>+AR590</f>
        <v>347473.2</v>
      </c>
      <c r="S590" s="68"/>
      <c r="T590" s="68">
        <v>4314398.2410461605</v>
      </c>
      <c r="U590" s="68">
        <f t="shared" si="217"/>
        <v>1704.6840499031291</v>
      </c>
      <c r="V590" s="68">
        <v>1277.2830200640001</v>
      </c>
      <c r="W590" s="80">
        <v>2024</v>
      </c>
      <c r="X590" s="29" t="e">
        <f>+#REF!-'[1]Приложение №1'!$P1436</f>
        <v>#REF!</v>
      </c>
      <c r="Z590" s="31">
        <f t="shared" ref="Z590:Z596" si="232">SUM(AA590:AO590)</f>
        <v>6381512.8399999999</v>
      </c>
      <c r="AA590" s="27">
        <v>5682903.1033538394</v>
      </c>
      <c r="AB590" s="27">
        <v>0</v>
      </c>
      <c r="AC590" s="27">
        <v>0</v>
      </c>
      <c r="AD590" s="27">
        <v>0</v>
      </c>
      <c r="AE590" s="27">
        <v>0</v>
      </c>
      <c r="AF590" s="27"/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510521.02720000001</v>
      </c>
      <c r="AN590" s="32">
        <v>63815.128400000001</v>
      </c>
      <c r="AO590" s="33">
        <v>124273.58104615999</v>
      </c>
      <c r="AP590" s="84">
        <f>+N590-'Приложение №2'!E590</f>
        <v>0</v>
      </c>
      <c r="AQ590" s="29">
        <f>1535272.52-R288</f>
        <v>1187799.32</v>
      </c>
      <c r="AR590" s="1">
        <f t="shared" si="228"/>
        <v>347473.2</v>
      </c>
      <c r="AS590" s="1">
        <f>+(K590*10+L590*20)*12*30-S288</f>
        <v>12237276.051890001</v>
      </c>
      <c r="AT590" s="29">
        <f t="shared" si="218"/>
        <v>-12237276.051890001</v>
      </c>
      <c r="AU590" s="29">
        <f>+P590-'[6]Приложение №1'!$P560</f>
        <v>0</v>
      </c>
      <c r="AV590" s="29">
        <f>+Q590-'[6]Приложение №1'!$Q560</f>
        <v>0</v>
      </c>
      <c r="AW590" s="29">
        <f>+R590-'[6]Приложение №1'!$R560</f>
        <v>0</v>
      </c>
      <c r="AX590" s="29">
        <f>+S590-'[6]Приложение №1'!$S560</f>
        <v>0</v>
      </c>
      <c r="AY590" s="29">
        <f>+T590-'[6]Приложение №1'!$T560</f>
        <v>0</v>
      </c>
    </row>
    <row r="591" spans="1:51" x14ac:dyDescent="0.25">
      <c r="A591" s="133">
        <f t="shared" si="230"/>
        <v>573</v>
      </c>
      <c r="B591" s="132">
        <f t="shared" si="230"/>
        <v>111</v>
      </c>
      <c r="C591" s="77" t="s">
        <v>72</v>
      </c>
      <c r="D591" s="77" t="s">
        <v>326</v>
      </c>
      <c r="E591" s="78">
        <v>1979</v>
      </c>
      <c r="F591" s="78">
        <v>2013</v>
      </c>
      <c r="G591" s="78" t="s">
        <v>44</v>
      </c>
      <c r="H591" s="78">
        <v>5</v>
      </c>
      <c r="I591" s="78">
        <v>4</v>
      </c>
      <c r="J591" s="44">
        <v>3602.3</v>
      </c>
      <c r="K591" s="44">
        <v>3466.4</v>
      </c>
      <c r="L591" s="44">
        <v>0</v>
      </c>
      <c r="M591" s="79">
        <v>87</v>
      </c>
      <c r="N591" s="129">
        <f t="shared" si="223"/>
        <v>18827318.329567</v>
      </c>
      <c r="O591" s="44"/>
      <c r="P591" s="68">
        <v>1067670.11489175</v>
      </c>
      <c r="Q591" s="68"/>
      <c r="R591" s="68">
        <f>+AQ591+AR591</f>
        <v>2077227.6700000002</v>
      </c>
      <c r="S591" s="68">
        <f>+AS591</f>
        <v>12479040</v>
      </c>
      <c r="T591" s="68">
        <f>+'Приложение №2'!E591-'Приложение №1'!P591-'Приложение №1'!R591-'Приложение №1'!S591</f>
        <v>3203380.5446752515</v>
      </c>
      <c r="U591" s="68">
        <f t="shared" si="217"/>
        <v>5431.3750085295987</v>
      </c>
      <c r="V591" s="68">
        <v>1278.2830200640001</v>
      </c>
      <c r="W591" s="80">
        <v>2024</v>
      </c>
      <c r="X591" s="29" t="e">
        <f>+#REF!-'[1]Приложение №1'!$P1021</f>
        <v>#REF!</v>
      </c>
      <c r="Z591" s="31">
        <f t="shared" si="232"/>
        <v>20589034.119999997</v>
      </c>
      <c r="AA591" s="27">
        <v>9020010.4696379993</v>
      </c>
      <c r="AB591" s="27">
        <v>3231794.773788</v>
      </c>
      <c r="AC591" s="27">
        <v>3412556.6672820002</v>
      </c>
      <c r="AD591" s="27">
        <v>2178146.6737379995</v>
      </c>
      <c r="AE591" s="27">
        <v>1610487.0989339999</v>
      </c>
      <c r="AF591" s="27"/>
      <c r="AG591" s="27">
        <v>324068.03834999999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334025.17</v>
      </c>
      <c r="AN591" s="27">
        <v>45460.9</v>
      </c>
      <c r="AO591" s="33">
        <v>432484.32827000006</v>
      </c>
      <c r="AP591" s="84">
        <f>+N591-'Приложение №2'!E591</f>
        <v>0</v>
      </c>
      <c r="AQ591" s="1">
        <v>1723654.87</v>
      </c>
      <c r="AR591" s="1">
        <f t="shared" si="228"/>
        <v>353572.8</v>
      </c>
      <c r="AS591" s="1">
        <f>+(K591*10+L591*20)*12*30</f>
        <v>12479040</v>
      </c>
      <c r="AT591" s="29">
        <f t="shared" si="218"/>
        <v>0</v>
      </c>
      <c r="AU591" s="29">
        <f>+P591-'[6]Приложение №1'!$P561</f>
        <v>0</v>
      </c>
      <c r="AV591" s="29">
        <f>+Q591-'[6]Приложение №1'!$Q561</f>
        <v>0</v>
      </c>
      <c r="AW591" s="29">
        <f>+R591-'[6]Приложение №1'!$R561</f>
        <v>0</v>
      </c>
      <c r="AX591" s="29">
        <f>+S591-'[6]Приложение №1'!$S561</f>
        <v>0</v>
      </c>
      <c r="AY591" s="29">
        <f>+T591-'[6]Приложение №1'!$T561</f>
        <v>0</v>
      </c>
    </row>
    <row r="592" spans="1:51" x14ac:dyDescent="0.25">
      <c r="A592" s="133">
        <f t="shared" si="230"/>
        <v>574</v>
      </c>
      <c r="B592" s="132">
        <f t="shared" si="230"/>
        <v>112</v>
      </c>
      <c r="C592" s="77" t="s">
        <v>72</v>
      </c>
      <c r="D592" s="77" t="s">
        <v>330</v>
      </c>
      <c r="E592" s="78">
        <v>1977</v>
      </c>
      <c r="F592" s="78">
        <v>2013</v>
      </c>
      <c r="G592" s="78" t="s">
        <v>51</v>
      </c>
      <c r="H592" s="78">
        <v>5</v>
      </c>
      <c r="I592" s="78">
        <v>4</v>
      </c>
      <c r="J592" s="44">
        <v>3776.9</v>
      </c>
      <c r="K592" s="44">
        <v>3428.1</v>
      </c>
      <c r="L592" s="44">
        <v>0</v>
      </c>
      <c r="M592" s="79">
        <v>165</v>
      </c>
      <c r="N592" s="129">
        <f t="shared" si="223"/>
        <v>20234536.945299998</v>
      </c>
      <c r="O592" s="44"/>
      <c r="P592" s="68">
        <v>2077670.4749999989</v>
      </c>
      <c r="Q592" s="68"/>
      <c r="R592" s="68">
        <f>+AQ592+AR592</f>
        <v>2069895.47</v>
      </c>
      <c r="S592" s="68">
        <f>+AS592</f>
        <v>12341160</v>
      </c>
      <c r="T592" s="68">
        <f>+'Приложение №2'!E592-'Приложение №1'!P592-'Приложение №1'!R592-'Приложение №1'!S592</f>
        <v>3745811.0002999995</v>
      </c>
      <c r="U592" s="68">
        <f t="shared" si="217"/>
        <v>5902.5515432163584</v>
      </c>
      <c r="V592" s="68">
        <v>1279.2830200640001</v>
      </c>
      <c r="W592" s="80">
        <v>2024</v>
      </c>
      <c r="X592" s="29" t="e">
        <f>+#REF!-'[1]Приложение №1'!$P455</f>
        <v>#REF!</v>
      </c>
      <c r="Z592" s="31">
        <f t="shared" si="232"/>
        <v>11360184.469999999</v>
      </c>
      <c r="AA592" s="27">
        <v>3337702.3199999994</v>
      </c>
      <c r="AB592" s="27">
        <v>1996791.3600000003</v>
      </c>
      <c r="AC592" s="27">
        <v>1053038.83</v>
      </c>
      <c r="AD592" s="27">
        <v>1225903.6200000001</v>
      </c>
      <c r="AE592" s="27"/>
      <c r="AF592" s="27"/>
      <c r="AG592" s="27"/>
      <c r="AH592" s="27">
        <v>0</v>
      </c>
      <c r="AI592" s="27">
        <v>3746748.34</v>
      </c>
      <c r="AJ592" s="27">
        <v>0</v>
      </c>
      <c r="AK592" s="27"/>
      <c r="AL592" s="27"/>
      <c r="AM592" s="27"/>
      <c r="AN592" s="32"/>
      <c r="AO592" s="33"/>
      <c r="AP592" s="84">
        <f>+N592-'Приложение №2'!E592</f>
        <v>0</v>
      </c>
      <c r="AQ592" s="1">
        <v>1720229.27</v>
      </c>
      <c r="AR592" s="1">
        <f t="shared" si="228"/>
        <v>349666.2</v>
      </c>
      <c r="AS592" s="1">
        <f>+(K592*10+L592*20)*12*30</f>
        <v>12341160</v>
      </c>
      <c r="AT592" s="29">
        <f t="shared" si="218"/>
        <v>0</v>
      </c>
      <c r="AU592" s="29">
        <f>+P592-'[6]Приложение №1'!$P562</f>
        <v>0</v>
      </c>
      <c r="AV592" s="29">
        <f>+Q592-'[6]Приложение №1'!$Q562</f>
        <v>0</v>
      </c>
      <c r="AW592" s="29">
        <f>+R592-'[6]Приложение №1'!$R562</f>
        <v>0</v>
      </c>
      <c r="AX592" s="29">
        <f>+S592-'[6]Приложение №1'!$S562</f>
        <v>0</v>
      </c>
      <c r="AY592" s="29">
        <f>+T592-'[6]Приложение №1'!$T562</f>
        <v>0</v>
      </c>
    </row>
    <row r="593" spans="1:51" x14ac:dyDescent="0.25">
      <c r="A593" s="133">
        <f t="shared" si="230"/>
        <v>575</v>
      </c>
      <c r="B593" s="132">
        <f t="shared" si="230"/>
        <v>113</v>
      </c>
      <c r="C593" s="77" t="s">
        <v>72</v>
      </c>
      <c r="D593" s="77" t="s">
        <v>188</v>
      </c>
      <c r="E593" s="78">
        <v>1978</v>
      </c>
      <c r="F593" s="78">
        <v>2008</v>
      </c>
      <c r="G593" s="78" t="s">
        <v>51</v>
      </c>
      <c r="H593" s="78">
        <v>5</v>
      </c>
      <c r="I593" s="78">
        <v>4</v>
      </c>
      <c r="J593" s="44">
        <v>4929.7</v>
      </c>
      <c r="K593" s="44">
        <v>4335.1000000000004</v>
      </c>
      <c r="L593" s="44">
        <v>0</v>
      </c>
      <c r="M593" s="79">
        <v>213</v>
      </c>
      <c r="N593" s="129">
        <f t="shared" si="223"/>
        <v>4542546.6355299996</v>
      </c>
      <c r="O593" s="44"/>
      <c r="P593" s="68">
        <v>1222282.7049824998</v>
      </c>
      <c r="Q593" s="68"/>
      <c r="R593" s="68">
        <f>+AR593</f>
        <v>442180.2</v>
      </c>
      <c r="S593" s="68">
        <f>+AS593</f>
        <v>0</v>
      </c>
      <c r="T593" s="68">
        <f>+'Приложение №2'!E593-'Приложение №1'!P593-'Приложение №1'!R593-'Приложение №1'!S593</f>
        <v>2878083.7305474998</v>
      </c>
      <c r="U593" s="68">
        <f t="shared" si="217"/>
        <v>1047.8527912920115</v>
      </c>
      <c r="V593" s="68">
        <v>1280.2830200640001</v>
      </c>
      <c r="W593" s="80">
        <v>2024</v>
      </c>
      <c r="X593" s="29" t="e">
        <f>+#REF!-'[1]Приложение №1'!$P1140</f>
        <v>#REF!</v>
      </c>
      <c r="Z593" s="31">
        <f t="shared" si="232"/>
        <v>44837101.50993</v>
      </c>
      <c r="AA593" s="27">
        <v>0</v>
      </c>
      <c r="AB593" s="27">
        <v>4199173.3275891002</v>
      </c>
      <c r="AC593" s="27">
        <v>4438837.1277801599</v>
      </c>
      <c r="AD593" s="27">
        <v>3384651.0431630402</v>
      </c>
      <c r="AE593" s="27">
        <v>1471946.54</v>
      </c>
      <c r="AF593" s="27"/>
      <c r="AG593" s="27">
        <v>360791.89596239995</v>
      </c>
      <c r="AH593" s="27">
        <v>0</v>
      </c>
      <c r="AI593" s="27">
        <v>0</v>
      </c>
      <c r="AJ593" s="27">
        <v>0</v>
      </c>
      <c r="AK593" s="27">
        <v>25094924.378064241</v>
      </c>
      <c r="AL593" s="27">
        <v>0</v>
      </c>
      <c r="AM593" s="27">
        <v>4627048.3442000002</v>
      </c>
      <c r="AN593" s="32">
        <v>433511.50789999997</v>
      </c>
      <c r="AO593" s="33">
        <v>826217.34527106001</v>
      </c>
      <c r="AP593" s="84">
        <f>+N593-'Приложение №2'!E593</f>
        <v>0</v>
      </c>
      <c r="AQ593" s="29">
        <f>2077071.68-R290</f>
        <v>-442180.19999999995</v>
      </c>
      <c r="AR593" s="1">
        <f t="shared" si="228"/>
        <v>442180.2</v>
      </c>
      <c r="AS593" s="1">
        <f>+(K593*10+L593*20)*12*30-S290</f>
        <v>0</v>
      </c>
      <c r="AT593" s="29">
        <f t="shared" si="218"/>
        <v>0</v>
      </c>
      <c r="AU593" s="29">
        <f>+P593-'[6]Приложение №1'!$P563</f>
        <v>0</v>
      </c>
      <c r="AV593" s="29">
        <f>+Q593-'[6]Приложение №1'!$Q563</f>
        <v>0</v>
      </c>
      <c r="AW593" s="29">
        <f>+R593-'[6]Приложение №1'!$R563</f>
        <v>0</v>
      </c>
      <c r="AX593" s="29">
        <f>+S593-'[6]Приложение №1'!$S563</f>
        <v>0</v>
      </c>
      <c r="AY593" s="29">
        <f>+T593-'[6]Приложение №1'!$T563</f>
        <v>0</v>
      </c>
    </row>
    <row r="594" spans="1:51" x14ac:dyDescent="0.25">
      <c r="A594" s="133">
        <f t="shared" ref="A594:B609" si="233">+A593+1</f>
        <v>576</v>
      </c>
      <c r="B594" s="132">
        <f t="shared" si="233"/>
        <v>114</v>
      </c>
      <c r="C594" s="77" t="s">
        <v>72</v>
      </c>
      <c r="D594" s="77" t="s">
        <v>333</v>
      </c>
      <c r="E594" s="78">
        <v>1978</v>
      </c>
      <c r="F594" s="78">
        <v>2013</v>
      </c>
      <c r="G594" s="78" t="s">
        <v>51</v>
      </c>
      <c r="H594" s="78">
        <v>5</v>
      </c>
      <c r="I594" s="78">
        <v>4</v>
      </c>
      <c r="J594" s="44">
        <v>4866.6000000000004</v>
      </c>
      <c r="K594" s="44">
        <v>4226.8</v>
      </c>
      <c r="L594" s="44">
        <v>67</v>
      </c>
      <c r="M594" s="79">
        <v>317</v>
      </c>
      <c r="N594" s="129">
        <f t="shared" ref="N594:N616" si="234">SUM(O594:T594)</f>
        <v>25343583.591800004</v>
      </c>
      <c r="O594" s="44"/>
      <c r="P594" s="68">
        <v>4305404.6954799788</v>
      </c>
      <c r="Q594" s="68"/>
      <c r="R594" s="68">
        <f t="shared" ref="R594:R599" si="235">+AQ594+AR594</f>
        <v>1466157.9235001002</v>
      </c>
      <c r="S594" s="68">
        <f>+AS594</f>
        <v>6946044.4906000076</v>
      </c>
      <c r="T594" s="68">
        <f>+'Приложение №2'!E594-'Приложение №1'!P594-'Приложение №1'!R594-'Приложение №1'!S594</f>
        <v>12625976.482219916</v>
      </c>
      <c r="U594" s="68">
        <f t="shared" si="217"/>
        <v>5995.9268457935086</v>
      </c>
      <c r="V594" s="68">
        <v>1281.2830200640001</v>
      </c>
      <c r="W594" s="80">
        <v>2024</v>
      </c>
      <c r="X594" s="29" t="e">
        <f>+#REF!-'[1]Приложение №1'!$P455</f>
        <v>#REF!</v>
      </c>
      <c r="Z594" s="31">
        <f t="shared" si="232"/>
        <v>13545152.119999999</v>
      </c>
      <c r="AA594" s="27">
        <v>4053995.74</v>
      </c>
      <c r="AB594" s="27">
        <v>2307213.9</v>
      </c>
      <c r="AC594" s="27">
        <v>1224462.97</v>
      </c>
      <c r="AD594" s="27">
        <v>1111568.24</v>
      </c>
      <c r="AE594" s="27"/>
      <c r="AF594" s="27"/>
      <c r="AG594" s="27"/>
      <c r="AH594" s="27">
        <v>0</v>
      </c>
      <c r="AI594" s="27">
        <v>4847911.2699999996</v>
      </c>
      <c r="AJ594" s="27">
        <v>0</v>
      </c>
      <c r="AK594" s="27"/>
      <c r="AL594" s="27"/>
      <c r="AM594" s="27"/>
      <c r="AN594" s="32"/>
      <c r="AO594" s="33"/>
      <c r="AP594" s="84">
        <f>+N594-'Приложение №2'!E594</f>
        <v>0</v>
      </c>
      <c r="AQ594" s="29">
        <f>2064874.72-682951.44-R84</f>
        <v>1021356.3235001003</v>
      </c>
      <c r="AR594" s="1">
        <f t="shared" si="228"/>
        <v>444801.6</v>
      </c>
      <c r="AS594" s="1">
        <f>+(K594*10+L594*20)*12*30-4953727.17-S84</f>
        <v>6946044.4906000076</v>
      </c>
      <c r="AT594" s="29">
        <f t="shared" si="218"/>
        <v>0</v>
      </c>
      <c r="AU594" s="29">
        <f>+P594-'[6]Приложение №1'!$P564</f>
        <v>0</v>
      </c>
      <c r="AV594" s="29">
        <f>+Q594-'[6]Приложение №1'!$Q564</f>
        <v>0</v>
      </c>
      <c r="AW594" s="29">
        <f>+R594-'[6]Приложение №1'!$R564</f>
        <v>0</v>
      </c>
      <c r="AX594" s="29">
        <f>+S594-'[6]Приложение №1'!$S564</f>
        <v>0</v>
      </c>
      <c r="AY594" s="29">
        <f>+T594-'[6]Приложение №1'!$T564</f>
        <v>0</v>
      </c>
    </row>
    <row r="595" spans="1:51" x14ac:dyDescent="0.25">
      <c r="A595" s="133">
        <f t="shared" si="233"/>
        <v>577</v>
      </c>
      <c r="B595" s="132">
        <f t="shared" si="233"/>
        <v>115</v>
      </c>
      <c r="C595" s="77" t="s">
        <v>72</v>
      </c>
      <c r="D595" s="77" t="s">
        <v>334</v>
      </c>
      <c r="E595" s="78">
        <v>1981</v>
      </c>
      <c r="F595" s="78">
        <v>2009</v>
      </c>
      <c r="G595" s="78" t="s">
        <v>51</v>
      </c>
      <c r="H595" s="78">
        <v>5</v>
      </c>
      <c r="I595" s="78">
        <v>4</v>
      </c>
      <c r="J595" s="44">
        <v>6938.7</v>
      </c>
      <c r="K595" s="44">
        <v>6182.6</v>
      </c>
      <c r="L595" s="44">
        <v>0</v>
      </c>
      <c r="M595" s="79">
        <v>194</v>
      </c>
      <c r="N595" s="129">
        <f t="shared" si="234"/>
        <v>36759861.869206004</v>
      </c>
      <c r="O595" s="44"/>
      <c r="P595" s="68">
        <v>8300255.7228212012</v>
      </c>
      <c r="Q595" s="68"/>
      <c r="R595" s="68">
        <f t="shared" si="235"/>
        <v>1247336.0400000003</v>
      </c>
      <c r="S595" s="68">
        <f>+AS595</f>
        <v>3527838.873226203</v>
      </c>
      <c r="T595" s="68">
        <f>+'Приложение №2'!E595-'Приложение №1'!P595-'Приложение №1'!R595-'Приложение №1'!S595</f>
        <v>23684431.2331586</v>
      </c>
      <c r="U595" s="68">
        <f t="shared" si="217"/>
        <v>5945.6962878410377</v>
      </c>
      <c r="V595" s="68">
        <v>1282.2830200640001</v>
      </c>
      <c r="W595" s="80">
        <v>2024</v>
      </c>
      <c r="X595" s="29" t="e">
        <f>+#REF!-'[1]Приложение №1'!$P1386</f>
        <v>#REF!</v>
      </c>
      <c r="Z595" s="31">
        <f t="shared" si="232"/>
        <v>112490116.45000002</v>
      </c>
      <c r="AA595" s="27">
        <v>10300846.19123742</v>
      </c>
      <c r="AB595" s="27">
        <v>5957260.9616612401</v>
      </c>
      <c r="AC595" s="27">
        <v>6297265.9176991209</v>
      </c>
      <c r="AD595" s="27">
        <v>4801718.7991861207</v>
      </c>
      <c r="AE595" s="27">
        <v>1918188.3660231601</v>
      </c>
      <c r="AF595" s="27"/>
      <c r="AG595" s="27">
        <v>511846.3343322</v>
      </c>
      <c r="AH595" s="27">
        <v>0</v>
      </c>
      <c r="AI595" s="27">
        <v>18337074.5641356</v>
      </c>
      <c r="AJ595" s="27">
        <v>0</v>
      </c>
      <c r="AK595" s="27">
        <v>35601534.275782861</v>
      </c>
      <c r="AL595" s="27">
        <v>14001626.819054702</v>
      </c>
      <c r="AM595" s="27">
        <v>11500753.575800002</v>
      </c>
      <c r="AN595" s="32">
        <v>1124901.1645</v>
      </c>
      <c r="AO595" s="33">
        <v>2137099.4805875802</v>
      </c>
      <c r="AP595" s="84">
        <f>+N595-'Приложение №2'!E595</f>
        <v>0</v>
      </c>
      <c r="AQ595" s="29">
        <f>2933225.6-137130.98-R85</f>
        <v>616710.84000000032</v>
      </c>
      <c r="AR595" s="1">
        <f t="shared" si="228"/>
        <v>630625.19999999995</v>
      </c>
      <c r="AS595" s="1">
        <f>+(K595*10+L595*20)*12*30-S85</f>
        <v>3527838.873226203</v>
      </c>
      <c r="AT595" s="29">
        <f t="shared" si="218"/>
        <v>0</v>
      </c>
      <c r="AU595" s="29">
        <f>+P595-'[6]Приложение №1'!$P565</f>
        <v>0</v>
      </c>
      <c r="AV595" s="29">
        <f>+Q595-'[6]Приложение №1'!$Q565</f>
        <v>0</v>
      </c>
      <c r="AW595" s="29">
        <f>+R595-'[6]Приложение №1'!$R565</f>
        <v>-233304.36999999988</v>
      </c>
      <c r="AX595" s="29">
        <f>+S595-'[6]Приложение №1'!$S565</f>
        <v>-2046696.5399999954</v>
      </c>
      <c r="AY595" s="29">
        <f>+T595-'[6]Приложение №1'!$T565</f>
        <v>2280000.9099999964</v>
      </c>
    </row>
    <row r="596" spans="1:51" x14ac:dyDescent="0.25">
      <c r="A596" s="133">
        <f t="shared" si="233"/>
        <v>578</v>
      </c>
      <c r="B596" s="132">
        <f t="shared" si="233"/>
        <v>116</v>
      </c>
      <c r="C596" s="77" t="s">
        <v>72</v>
      </c>
      <c r="D596" s="77" t="s">
        <v>80</v>
      </c>
      <c r="E596" s="78">
        <v>1969</v>
      </c>
      <c r="F596" s="78">
        <v>2013</v>
      </c>
      <c r="G596" s="78" t="s">
        <v>44</v>
      </c>
      <c r="H596" s="78">
        <v>5</v>
      </c>
      <c r="I596" s="78">
        <v>1</v>
      </c>
      <c r="J596" s="44">
        <v>4537.3</v>
      </c>
      <c r="K596" s="44">
        <v>1650.2</v>
      </c>
      <c r="L596" s="44">
        <v>2887.1</v>
      </c>
      <c r="M596" s="79">
        <v>209</v>
      </c>
      <c r="N596" s="129">
        <f t="shared" si="234"/>
        <v>15639587.934363786</v>
      </c>
      <c r="O596" s="44"/>
      <c r="P596" s="68">
        <v>1952415.092709831</v>
      </c>
      <c r="Q596" s="68"/>
      <c r="R596" s="68">
        <f t="shared" si="235"/>
        <v>4622259.3600000003</v>
      </c>
      <c r="S596" s="68">
        <f>+'Приложение №2'!E596-'Приложение №1'!P596-'Приложение №1'!R596</f>
        <v>9064913.4816539548</v>
      </c>
      <c r="T596" s="68">
        <f>+'Приложение №2'!E596-'Приложение №1'!P596-'Приложение №1'!R596-'Приложение №1'!S596</f>
        <v>0</v>
      </c>
      <c r="U596" s="68">
        <f t="shared" si="217"/>
        <v>9477.3893675698619</v>
      </c>
      <c r="V596" s="68">
        <v>1283.2830200640001</v>
      </c>
      <c r="W596" s="80">
        <v>2024</v>
      </c>
      <c r="X596" s="29" t="e">
        <f>+#REF!-'[1]Приложение №1'!$P414</f>
        <v>#REF!</v>
      </c>
      <c r="Z596" s="31">
        <f t="shared" si="232"/>
        <v>18609674.18474108</v>
      </c>
      <c r="AA596" s="27">
        <v>3688251.5852036397</v>
      </c>
      <c r="AB596" s="27"/>
      <c r="AC596" s="27">
        <v>1373125.6438191601</v>
      </c>
      <c r="AD596" s="27">
        <v>859663.46708760003</v>
      </c>
      <c r="AE596" s="27">
        <v>0</v>
      </c>
      <c r="AF596" s="27"/>
      <c r="AG596" s="27">
        <v>0</v>
      </c>
      <c r="AH596" s="27">
        <v>0</v>
      </c>
      <c r="AI596" s="27">
        <v>6742685.0844485993</v>
      </c>
      <c r="AJ596" s="27">
        <v>0</v>
      </c>
      <c r="AK596" s="27">
        <v>3500833.3089198</v>
      </c>
      <c r="AL596" s="27">
        <v>0</v>
      </c>
      <c r="AM596" s="27">
        <v>1863648.8813</v>
      </c>
      <c r="AN596" s="32">
        <v>199239.49849999999</v>
      </c>
      <c r="AO596" s="33">
        <v>382226.71546227997</v>
      </c>
      <c r="AP596" s="84">
        <f>+N596-'Приложение №2'!E596</f>
        <v>0</v>
      </c>
      <c r="AQ596" s="1">
        <v>3864970.56</v>
      </c>
      <c r="AR596" s="1">
        <f t="shared" si="228"/>
        <v>757288.79999999993</v>
      </c>
      <c r="AS596" s="1">
        <f>+(K596*10+L596*20)*12*30</f>
        <v>26727840</v>
      </c>
      <c r="AT596" s="29">
        <f t="shared" si="218"/>
        <v>-17662926.518346045</v>
      </c>
      <c r="AU596" s="29">
        <f>+P596-'[6]Приложение №1'!$P566</f>
        <v>0</v>
      </c>
      <c r="AV596" s="29">
        <f>+Q596-'[6]Приложение №1'!$Q566</f>
        <v>0</v>
      </c>
      <c r="AW596" s="29">
        <f>+R596-'[6]Приложение №1'!$R566</f>
        <v>0</v>
      </c>
      <c r="AX596" s="29">
        <f>+S596-'[6]Приложение №1'!$S566</f>
        <v>0</v>
      </c>
      <c r="AY596" s="29">
        <f>+T596-'[6]Приложение №1'!$T566</f>
        <v>0</v>
      </c>
    </row>
    <row r="597" spans="1:51" x14ac:dyDescent="0.25">
      <c r="A597" s="133">
        <f t="shared" si="233"/>
        <v>579</v>
      </c>
      <c r="B597" s="132">
        <f t="shared" si="233"/>
        <v>117</v>
      </c>
      <c r="C597" s="77" t="s">
        <v>72</v>
      </c>
      <c r="D597" s="77" t="s">
        <v>615</v>
      </c>
      <c r="E597" s="78">
        <v>1999</v>
      </c>
      <c r="F597" s="78">
        <v>1999</v>
      </c>
      <c r="G597" s="78" t="s">
        <v>44</v>
      </c>
      <c r="H597" s="78">
        <v>9</v>
      </c>
      <c r="I597" s="78">
        <v>3</v>
      </c>
      <c r="J597" s="44">
        <v>8088.49</v>
      </c>
      <c r="K597" s="44">
        <v>6790.2</v>
      </c>
      <c r="L597" s="44">
        <v>225.6</v>
      </c>
      <c r="M597" s="79">
        <v>255</v>
      </c>
      <c r="N597" s="129">
        <f t="shared" si="234"/>
        <v>10774080</v>
      </c>
      <c r="O597" s="44"/>
      <c r="P597" s="68"/>
      <c r="Q597" s="68"/>
      <c r="R597" s="68">
        <f t="shared" si="235"/>
        <v>5319513.9239999996</v>
      </c>
      <c r="S597" s="68">
        <f>+'Приложение №2'!E597-'Приложение №1'!R597</f>
        <v>5454566.0760000004</v>
      </c>
      <c r="T597" s="68">
        <v>0</v>
      </c>
      <c r="U597" s="68">
        <f t="shared" si="217"/>
        <v>1586.710258902536</v>
      </c>
      <c r="V597" s="68">
        <v>1284.2830200640001</v>
      </c>
      <c r="W597" s="80">
        <v>2024</v>
      </c>
      <c r="X597" s="29"/>
      <c r="Z597" s="31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32"/>
      <c r="AO597" s="33"/>
      <c r="AP597" s="84">
        <f>+N597-'Приложение №2'!E597</f>
        <v>0</v>
      </c>
      <c r="AQ597" s="1">
        <v>4347226.7699999996</v>
      </c>
      <c r="AR597" s="1">
        <f>+(K597*13.29+L597*22.52)*12*0.85</f>
        <v>972287.15399999975</v>
      </c>
      <c r="AS597" s="1">
        <f>+(K597*13.29+L597*22.52)*12*30</f>
        <v>34316017.199999996</v>
      </c>
      <c r="AT597" s="29">
        <f t="shared" si="218"/>
        <v>-28861451.123999994</v>
      </c>
      <c r="AU597" s="29">
        <f>+P597-'[6]Приложение №1'!$P567</f>
        <v>0</v>
      </c>
      <c r="AV597" s="29">
        <f>+Q597-'[6]Приложение №1'!$Q567</f>
        <v>0</v>
      </c>
      <c r="AW597" s="29">
        <f>+R597-'[6]Приложение №1'!$R567</f>
        <v>0</v>
      </c>
      <c r="AX597" s="29">
        <f>+S597-'[6]Приложение №1'!$S567</f>
        <v>0</v>
      </c>
      <c r="AY597" s="29">
        <f>+T597-'[6]Приложение №1'!$T567</f>
        <v>0</v>
      </c>
    </row>
    <row r="598" spans="1:51" x14ac:dyDescent="0.25">
      <c r="A598" s="133">
        <f t="shared" si="233"/>
        <v>580</v>
      </c>
      <c r="B598" s="132">
        <f t="shared" si="233"/>
        <v>118</v>
      </c>
      <c r="C598" s="77" t="s">
        <v>72</v>
      </c>
      <c r="D598" s="77" t="s">
        <v>336</v>
      </c>
      <c r="E598" s="78">
        <v>1990</v>
      </c>
      <c r="F598" s="78">
        <v>2005</v>
      </c>
      <c r="G598" s="78" t="s">
        <v>51</v>
      </c>
      <c r="H598" s="78">
        <v>5</v>
      </c>
      <c r="I598" s="78">
        <v>4</v>
      </c>
      <c r="J598" s="44">
        <v>4982</v>
      </c>
      <c r="K598" s="44">
        <v>4404.6000000000004</v>
      </c>
      <c r="L598" s="44">
        <v>0</v>
      </c>
      <c r="M598" s="79">
        <v>212</v>
      </c>
      <c r="N598" s="129">
        <f t="shared" si="234"/>
        <v>4577622.6535999998</v>
      </c>
      <c r="O598" s="44"/>
      <c r="P598" s="68">
        <v>1226851.3124999998</v>
      </c>
      <c r="Q598" s="68"/>
      <c r="R598" s="68">
        <f t="shared" si="235"/>
        <v>109631.77999999962</v>
      </c>
      <c r="S598" s="68">
        <v>0</v>
      </c>
      <c r="T598" s="68">
        <f>+'Приложение №2'!E598-'Приложение №1'!P598-'Приложение №1'!R598-'Приложение №1'!S598</f>
        <v>3241139.561100001</v>
      </c>
      <c r="U598" s="68">
        <f t="shared" si="217"/>
        <v>1039.2822625437043</v>
      </c>
      <c r="V598" s="68">
        <v>1285.2830200640001</v>
      </c>
      <c r="W598" s="80">
        <v>2024</v>
      </c>
      <c r="X598" s="29" t="e">
        <f>+#REF!-'[1]Приложение №1'!$P1394</f>
        <v>#REF!</v>
      </c>
      <c r="Z598" s="31">
        <f t="shared" ref="Z598:Z607" si="236">SUM(AA598:AO598)</f>
        <v>49032236.020000011</v>
      </c>
      <c r="AA598" s="27">
        <v>0</v>
      </c>
      <c r="AB598" s="27">
        <v>0</v>
      </c>
      <c r="AC598" s="27">
        <v>4479661.5288129607</v>
      </c>
      <c r="AD598" s="27">
        <v>0</v>
      </c>
      <c r="AE598" s="27">
        <v>0</v>
      </c>
      <c r="AF598" s="27"/>
      <c r="AG598" s="27">
        <v>0</v>
      </c>
      <c r="AH598" s="27">
        <v>0</v>
      </c>
      <c r="AI598" s="27">
        <v>13044373.2933948</v>
      </c>
      <c r="AJ598" s="27">
        <v>0</v>
      </c>
      <c r="AK598" s="27">
        <v>25325724.749393042</v>
      </c>
      <c r="AL598" s="27">
        <v>0</v>
      </c>
      <c r="AM598" s="27">
        <v>4755116.6318000006</v>
      </c>
      <c r="AN598" s="32">
        <v>490322.3602</v>
      </c>
      <c r="AO598" s="33">
        <v>937037.45639919979</v>
      </c>
      <c r="AP598" s="84">
        <f>+N598-'Приложение №2'!E598</f>
        <v>0</v>
      </c>
      <c r="AQ598" s="29">
        <f>2210839.58-R87</f>
        <v>-339637.42000000039</v>
      </c>
      <c r="AR598" s="1">
        <f t="shared" ref="AR598:AR605" si="237">+(K598*10+L598*20)*12*0.85</f>
        <v>449269.2</v>
      </c>
      <c r="AS598" s="1">
        <f>+(K598*10+L598*20)*12*30-S87</f>
        <v>-381470.80161215551</v>
      </c>
      <c r="AT598" s="29">
        <f t="shared" si="218"/>
        <v>381470.80161215551</v>
      </c>
      <c r="AU598" s="29">
        <f>+P598-'[6]Приложение №1'!$P568</f>
        <v>0</v>
      </c>
      <c r="AV598" s="29">
        <f>+Q598-'[6]Приложение №1'!$Q568</f>
        <v>0</v>
      </c>
      <c r="AW598" s="29">
        <f>+R598-'[6]Приложение №1'!$R568</f>
        <v>0</v>
      </c>
      <c r="AX598" s="29">
        <f>+S598-'[6]Приложение №1'!$S568</f>
        <v>0</v>
      </c>
      <c r="AY598" s="29">
        <f>+T598-'[6]Приложение №1'!$T568</f>
        <v>0</v>
      </c>
    </row>
    <row r="599" spans="1:51" x14ac:dyDescent="0.25">
      <c r="A599" s="133">
        <f t="shared" si="233"/>
        <v>581</v>
      </c>
      <c r="B599" s="132">
        <f t="shared" si="233"/>
        <v>119</v>
      </c>
      <c r="C599" s="77" t="s">
        <v>72</v>
      </c>
      <c r="D599" s="77" t="s">
        <v>189</v>
      </c>
      <c r="E599" s="78">
        <v>1985</v>
      </c>
      <c r="F599" s="78">
        <v>2013</v>
      </c>
      <c r="G599" s="78" t="s">
        <v>44</v>
      </c>
      <c r="H599" s="78">
        <v>4</v>
      </c>
      <c r="I599" s="78">
        <v>3</v>
      </c>
      <c r="J599" s="44">
        <v>4161.1499999999996</v>
      </c>
      <c r="K599" s="44">
        <v>3740.02</v>
      </c>
      <c r="L599" s="44">
        <v>392.4</v>
      </c>
      <c r="M599" s="79">
        <v>277</v>
      </c>
      <c r="N599" s="129">
        <f t="shared" si="234"/>
        <v>3562517.4807000002</v>
      </c>
      <c r="O599" s="44"/>
      <c r="P599" s="68"/>
      <c r="Q599" s="68"/>
      <c r="R599" s="68">
        <f t="shared" si="235"/>
        <v>2278497.5199999996</v>
      </c>
      <c r="S599" s="68">
        <f>+'Приложение №2'!E599-'Приложение №1'!R599</f>
        <v>1284019.9607000006</v>
      </c>
      <c r="T599" s="68">
        <v>0</v>
      </c>
      <c r="U599" s="68">
        <f t="shared" ref="U599:U662" si="238">N599/K599</f>
        <v>952.5396871407105</v>
      </c>
      <c r="V599" s="68">
        <v>1286.2830200640001</v>
      </c>
      <c r="W599" s="80">
        <v>2024</v>
      </c>
      <c r="X599" s="29" t="e">
        <f>+#REF!-'[1]Приложение №1'!$P669</f>
        <v>#REF!</v>
      </c>
      <c r="Z599" s="31">
        <f t="shared" si="236"/>
        <v>14208184.490000004</v>
      </c>
      <c r="AA599" s="27">
        <v>0</v>
      </c>
      <c r="AB599" s="27">
        <v>0</v>
      </c>
      <c r="AC599" s="27">
        <v>3486279.6066130204</v>
      </c>
      <c r="AD599" s="27">
        <v>0</v>
      </c>
      <c r="AE599" s="27">
        <v>0</v>
      </c>
      <c r="AF599" s="27"/>
      <c r="AG599" s="27">
        <v>0</v>
      </c>
      <c r="AH599" s="27">
        <v>0</v>
      </c>
      <c r="AI599" s="27">
        <v>0</v>
      </c>
      <c r="AJ599" s="27">
        <v>0</v>
      </c>
      <c r="AK599" s="27">
        <v>8888395.5076904409</v>
      </c>
      <c r="AL599" s="27">
        <v>0</v>
      </c>
      <c r="AM599" s="27">
        <v>1420818.449</v>
      </c>
      <c r="AN599" s="32">
        <v>142081.8449</v>
      </c>
      <c r="AO599" s="33">
        <v>270609.08179653995</v>
      </c>
      <c r="AP599" s="84">
        <f>+N599-'Приложение №2'!E599</f>
        <v>0</v>
      </c>
      <c r="AQ599" s="1">
        <v>1816965.88</v>
      </c>
      <c r="AR599" s="1">
        <f t="shared" si="237"/>
        <v>461531.6399999999</v>
      </c>
      <c r="AS599" s="1">
        <f t="shared" ref="AS599:AS604" si="239">+(K599*10+L599*20)*12*30</f>
        <v>16289351.999999996</v>
      </c>
      <c r="AT599" s="29">
        <f t="shared" si="218"/>
        <v>-15005332.039299995</v>
      </c>
      <c r="AU599" s="29">
        <f>+P599-'[6]Приложение №1'!$P569</f>
        <v>0</v>
      </c>
      <c r="AV599" s="29">
        <f>+Q599-'[6]Приложение №1'!$Q569</f>
        <v>0</v>
      </c>
      <c r="AW599" s="29">
        <f>+R599-'[6]Приложение №1'!$R569</f>
        <v>0</v>
      </c>
      <c r="AX599" s="29">
        <f>+S599-'[6]Приложение №1'!$S569</f>
        <v>0</v>
      </c>
      <c r="AY599" s="29">
        <f>+T599-'[6]Приложение №1'!$T569</f>
        <v>0</v>
      </c>
    </row>
    <row r="600" spans="1:51" x14ac:dyDescent="0.25">
      <c r="A600" s="133">
        <f t="shared" si="233"/>
        <v>582</v>
      </c>
      <c r="B600" s="132">
        <f t="shared" si="233"/>
        <v>120</v>
      </c>
      <c r="C600" s="77" t="s">
        <v>72</v>
      </c>
      <c r="D600" s="77" t="s">
        <v>337</v>
      </c>
      <c r="E600" s="78">
        <v>1984</v>
      </c>
      <c r="F600" s="78">
        <v>2013</v>
      </c>
      <c r="G600" s="78" t="s">
        <v>51</v>
      </c>
      <c r="H600" s="78">
        <v>4</v>
      </c>
      <c r="I600" s="78">
        <v>6</v>
      </c>
      <c r="J600" s="44">
        <v>5500.86</v>
      </c>
      <c r="K600" s="44">
        <v>4979.26</v>
      </c>
      <c r="L600" s="44">
        <v>0</v>
      </c>
      <c r="M600" s="79">
        <v>210</v>
      </c>
      <c r="N600" s="129">
        <f t="shared" si="234"/>
        <v>2323481.64</v>
      </c>
      <c r="O600" s="44"/>
      <c r="P600" s="68"/>
      <c r="Q600" s="68"/>
      <c r="R600" s="68">
        <f>+'Приложение №2'!E600</f>
        <v>2323481.64</v>
      </c>
      <c r="S600" s="68">
        <f>+'Приложение №2'!E600-'Приложение №1'!R600</f>
        <v>0</v>
      </c>
      <c r="T600" s="68">
        <v>0</v>
      </c>
      <c r="U600" s="68">
        <f t="shared" si="238"/>
        <v>466.63191719251455</v>
      </c>
      <c r="V600" s="68">
        <v>1287.2830200640001</v>
      </c>
      <c r="W600" s="80">
        <v>2024</v>
      </c>
      <c r="X600" s="29" t="e">
        <f>+#REF!-'[1]Приложение №1'!$P1045</f>
        <v>#REF!</v>
      </c>
      <c r="Z600" s="31">
        <f t="shared" si="236"/>
        <v>2299959.7400000002</v>
      </c>
      <c r="AA600" s="27">
        <v>0</v>
      </c>
      <c r="AB600" s="27">
        <v>0</v>
      </c>
      <c r="AC600" s="27">
        <v>0</v>
      </c>
      <c r="AD600" s="27">
        <v>0</v>
      </c>
      <c r="AE600" s="27">
        <v>2156118.2507340005</v>
      </c>
      <c r="AF600" s="27"/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90857.4</v>
      </c>
      <c r="AN600" s="27">
        <v>5834.15</v>
      </c>
      <c r="AO600" s="33">
        <v>47149.939266000009</v>
      </c>
      <c r="AP600" s="84">
        <f>+N600-'Приложение №2'!E600</f>
        <v>0</v>
      </c>
      <c r="AQ600" s="1">
        <v>2318218.42</v>
      </c>
      <c r="AR600" s="1">
        <f t="shared" si="237"/>
        <v>507884.52</v>
      </c>
      <c r="AS600" s="1">
        <f t="shared" si="239"/>
        <v>17925336.000000004</v>
      </c>
      <c r="AT600" s="29">
        <f t="shared" si="218"/>
        <v>-17925336.000000004</v>
      </c>
      <c r="AU600" s="29">
        <f>+P600-'[6]Приложение №1'!$P570</f>
        <v>0</v>
      </c>
      <c r="AV600" s="29">
        <f>+Q600-'[6]Приложение №1'!$Q570</f>
        <v>0</v>
      </c>
      <c r="AW600" s="29">
        <f>+R600-'[6]Приложение №1'!$R570</f>
        <v>0</v>
      </c>
      <c r="AX600" s="29">
        <f>+S600-'[6]Приложение №1'!$S570</f>
        <v>0</v>
      </c>
      <c r="AY600" s="29">
        <f>+T600-'[6]Приложение №1'!$T570</f>
        <v>0</v>
      </c>
    </row>
    <row r="601" spans="1:51" x14ac:dyDescent="0.25">
      <c r="A601" s="133">
        <f t="shared" si="233"/>
        <v>583</v>
      </c>
      <c r="B601" s="132">
        <f t="shared" si="233"/>
        <v>121</v>
      </c>
      <c r="C601" s="77" t="s">
        <v>72</v>
      </c>
      <c r="D601" s="77" t="s">
        <v>338</v>
      </c>
      <c r="E601" s="78">
        <v>1987</v>
      </c>
      <c r="F601" s="78">
        <v>2010</v>
      </c>
      <c r="G601" s="78" t="s">
        <v>44</v>
      </c>
      <c r="H601" s="78">
        <v>5</v>
      </c>
      <c r="I601" s="78">
        <v>2</v>
      </c>
      <c r="J601" s="44">
        <v>3854.65</v>
      </c>
      <c r="K601" s="44">
        <v>3186.55</v>
      </c>
      <c r="L601" s="44">
        <v>663.3</v>
      </c>
      <c r="M601" s="79">
        <v>157</v>
      </c>
      <c r="N601" s="129">
        <f t="shared" si="234"/>
        <v>1630698.28</v>
      </c>
      <c r="O601" s="44"/>
      <c r="P601" s="68"/>
      <c r="Q601" s="68"/>
      <c r="R601" s="68">
        <f>+'Приложение №2'!E601</f>
        <v>1630698.28</v>
      </c>
      <c r="S601" s="68">
        <f>+'Приложение №2'!E601-'Приложение №1'!R601</f>
        <v>0</v>
      </c>
      <c r="T601" s="68">
        <v>0</v>
      </c>
      <c r="U601" s="68">
        <f t="shared" si="238"/>
        <v>511.74413707614815</v>
      </c>
      <c r="V601" s="68">
        <v>1288.2830200640001</v>
      </c>
      <c r="W601" s="80">
        <v>2024</v>
      </c>
      <c r="X601" s="29" t="e">
        <f>+#REF!-'[1]Приложение №1'!$P1046</f>
        <v>#REF!</v>
      </c>
      <c r="Z601" s="31">
        <f t="shared" si="236"/>
        <v>1607265</v>
      </c>
      <c r="AA601" s="27">
        <v>0</v>
      </c>
      <c r="AB601" s="27">
        <v>0</v>
      </c>
      <c r="AC601" s="27">
        <v>0</v>
      </c>
      <c r="AD601" s="27">
        <v>0</v>
      </c>
      <c r="AE601" s="27">
        <v>1460685.5846520001</v>
      </c>
      <c r="AF601" s="27"/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107698.68</v>
      </c>
      <c r="AN601" s="27">
        <v>6938.5</v>
      </c>
      <c r="AO601" s="33">
        <v>31942.235348000006</v>
      </c>
      <c r="AP601" s="84">
        <f>+N601-'Приложение №2'!E601</f>
        <v>0</v>
      </c>
      <c r="AQ601" s="1">
        <v>2073515.11</v>
      </c>
      <c r="AR601" s="1">
        <f t="shared" si="237"/>
        <v>460341.3</v>
      </c>
      <c r="AS601" s="1">
        <f t="shared" si="239"/>
        <v>16247340</v>
      </c>
      <c r="AT601" s="29">
        <f t="shared" ref="AT601:AT664" si="240">+S601-AS601</f>
        <v>-16247340</v>
      </c>
      <c r="AU601" s="29">
        <f>+P601-'[6]Приложение №1'!$P571</f>
        <v>0</v>
      </c>
      <c r="AV601" s="29">
        <f>+Q601-'[6]Приложение №1'!$Q571</f>
        <v>0</v>
      </c>
      <c r="AW601" s="29">
        <f>+R601-'[6]Приложение №1'!$R571</f>
        <v>0</v>
      </c>
      <c r="AX601" s="29">
        <f>+S601-'[6]Приложение №1'!$S571</f>
        <v>0</v>
      </c>
      <c r="AY601" s="29">
        <f>+T601-'[6]Приложение №1'!$T571</f>
        <v>0</v>
      </c>
    </row>
    <row r="602" spans="1:51" x14ac:dyDescent="0.25">
      <c r="A602" s="133">
        <f t="shared" si="233"/>
        <v>584</v>
      </c>
      <c r="B602" s="132">
        <f t="shared" si="233"/>
        <v>122</v>
      </c>
      <c r="C602" s="77" t="s">
        <v>72</v>
      </c>
      <c r="D602" s="77" t="s">
        <v>339</v>
      </c>
      <c r="E602" s="78">
        <v>1987</v>
      </c>
      <c r="F602" s="78">
        <v>2013</v>
      </c>
      <c r="G602" s="78" t="s">
        <v>51</v>
      </c>
      <c r="H602" s="78">
        <v>5</v>
      </c>
      <c r="I602" s="78">
        <v>6</v>
      </c>
      <c r="J602" s="44">
        <v>6859.9</v>
      </c>
      <c r="K602" s="44">
        <v>6097.04</v>
      </c>
      <c r="L602" s="44">
        <v>117.7</v>
      </c>
      <c r="M602" s="79">
        <v>283</v>
      </c>
      <c r="N602" s="129">
        <f t="shared" si="234"/>
        <v>13363743.800941199</v>
      </c>
      <c r="O602" s="44"/>
      <c r="P602" s="68"/>
      <c r="Q602" s="68"/>
      <c r="R602" s="68">
        <f t="shared" ref="R602:R608" si="241">+AQ602+AR602</f>
        <v>3712329.4699999997</v>
      </c>
      <c r="S602" s="68">
        <f>+'Приложение №2'!E602-'Приложение №1'!R602</f>
        <v>9651414.3309412003</v>
      </c>
      <c r="T602" s="68">
        <v>0</v>
      </c>
      <c r="U602" s="68">
        <f t="shared" si="238"/>
        <v>2191.8412542711217</v>
      </c>
      <c r="V602" s="68">
        <v>1289.2830200640001</v>
      </c>
      <c r="W602" s="80">
        <v>2024</v>
      </c>
      <c r="X602" s="29" t="e">
        <f>+#REF!-'[1]Приложение №1'!$P1048</f>
        <v>#REF!</v>
      </c>
      <c r="Z602" s="31">
        <f t="shared" si="236"/>
        <v>34989133.449999996</v>
      </c>
      <c r="AA602" s="27">
        <v>10381481.975843159</v>
      </c>
      <c r="AB602" s="27">
        <v>6003894.8349029999</v>
      </c>
      <c r="AC602" s="27">
        <v>6346561.3828171799</v>
      </c>
      <c r="AD602" s="27">
        <v>4839307.0097500803</v>
      </c>
      <c r="AE602" s="27">
        <v>1933204.0846683602</v>
      </c>
      <c r="AF602" s="27"/>
      <c r="AG602" s="27">
        <v>515853.10536480002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3962456.5102000004</v>
      </c>
      <c r="AN602" s="32">
        <v>349891.33450000006</v>
      </c>
      <c r="AO602" s="33">
        <v>656483.21195342008</v>
      </c>
      <c r="AP602" s="84">
        <f>+N602-'Приложение №2'!E602</f>
        <v>0</v>
      </c>
      <c r="AQ602" s="1">
        <v>3066420.59</v>
      </c>
      <c r="AR602" s="1">
        <f t="shared" si="237"/>
        <v>645908.88</v>
      </c>
      <c r="AS602" s="1">
        <f t="shared" si="239"/>
        <v>22796784</v>
      </c>
      <c r="AT602" s="29">
        <f t="shared" si="240"/>
        <v>-13145369.6690588</v>
      </c>
      <c r="AU602" s="29">
        <f>+P602-'[6]Приложение №1'!$P572</f>
        <v>0</v>
      </c>
      <c r="AV602" s="29">
        <f>+Q602-'[6]Приложение №1'!$Q572</f>
        <v>0</v>
      </c>
      <c r="AW602" s="29">
        <f>+R602-'[6]Приложение №1'!$R572</f>
        <v>0</v>
      </c>
      <c r="AX602" s="29">
        <f>+S602-'[6]Приложение №1'!$S572</f>
        <v>0</v>
      </c>
      <c r="AY602" s="29">
        <f>+T602-'[6]Приложение №1'!$T572</f>
        <v>0</v>
      </c>
    </row>
    <row r="603" spans="1:51" x14ac:dyDescent="0.25">
      <c r="A603" s="133">
        <f t="shared" si="233"/>
        <v>585</v>
      </c>
      <c r="B603" s="132">
        <f t="shared" si="233"/>
        <v>123</v>
      </c>
      <c r="C603" s="77" t="s">
        <v>72</v>
      </c>
      <c r="D603" s="77" t="s">
        <v>340</v>
      </c>
      <c r="E603" s="78">
        <v>1971</v>
      </c>
      <c r="F603" s="78">
        <v>2013</v>
      </c>
      <c r="G603" s="78" t="s">
        <v>44</v>
      </c>
      <c r="H603" s="78">
        <v>4</v>
      </c>
      <c r="I603" s="78">
        <v>3</v>
      </c>
      <c r="J603" s="44">
        <v>2008.51</v>
      </c>
      <c r="K603" s="44">
        <v>1482.45</v>
      </c>
      <c r="L603" s="44">
        <v>500.2</v>
      </c>
      <c r="M603" s="79">
        <v>43</v>
      </c>
      <c r="N603" s="129">
        <f t="shared" si="234"/>
        <v>2653548.6528289546</v>
      </c>
      <c r="O603" s="44"/>
      <c r="P603" s="68"/>
      <c r="Q603" s="68"/>
      <c r="R603" s="68">
        <f t="shared" si="241"/>
        <v>1398280.95</v>
      </c>
      <c r="S603" s="68">
        <f>+'Приложение №2'!E603-'Приложение №1'!R603</f>
        <v>1255267.7028289547</v>
      </c>
      <c r="T603" s="68">
        <v>0</v>
      </c>
      <c r="U603" s="68">
        <f t="shared" si="238"/>
        <v>1789.975144408887</v>
      </c>
      <c r="V603" s="68">
        <v>1290.2830200640001</v>
      </c>
      <c r="W603" s="80">
        <v>2024</v>
      </c>
      <c r="X603" s="29" t="e">
        <f>+#REF!-'[1]Приложение №1'!$P1050</f>
        <v>#REF!</v>
      </c>
      <c r="Z603" s="31">
        <f t="shared" si="236"/>
        <v>3401210.6845643353</v>
      </c>
      <c r="AA603" s="27">
        <v>0</v>
      </c>
      <c r="AB603" s="27">
        <v>1379299.4009521424</v>
      </c>
      <c r="AC603" s="27">
        <v>0</v>
      </c>
      <c r="AD603" s="27">
        <v>923467.08456419234</v>
      </c>
      <c r="AE603" s="27">
        <v>677323.96666199993</v>
      </c>
      <c r="AF603" s="27"/>
      <c r="AG603" s="27">
        <v>142086.04594799998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164690.01</v>
      </c>
      <c r="AN603" s="27">
        <v>46068.5</v>
      </c>
      <c r="AO603" s="33">
        <v>68275.67643800001</v>
      </c>
      <c r="AP603" s="84">
        <f>+N603-'Приложение №2'!E603</f>
        <v>0</v>
      </c>
      <c r="AQ603" s="1">
        <v>1145030.25</v>
      </c>
      <c r="AR603" s="1">
        <f t="shared" si="237"/>
        <v>253250.69999999998</v>
      </c>
      <c r="AS603" s="1">
        <f t="shared" si="239"/>
        <v>8938260</v>
      </c>
      <c r="AT603" s="29">
        <f t="shared" si="240"/>
        <v>-7682992.2971710451</v>
      </c>
      <c r="AU603" s="29">
        <f>+P603-'[6]Приложение №1'!$P573</f>
        <v>0</v>
      </c>
      <c r="AV603" s="29">
        <f>+Q603-'[6]Приложение №1'!$Q573</f>
        <v>0</v>
      </c>
      <c r="AW603" s="29">
        <f>+R603-'[6]Приложение №1'!$R573</f>
        <v>0</v>
      </c>
      <c r="AX603" s="29">
        <f>+S603-'[6]Приложение №1'!$S573</f>
        <v>0</v>
      </c>
      <c r="AY603" s="29">
        <f>+T603-'[6]Приложение №1'!$T573</f>
        <v>0</v>
      </c>
    </row>
    <row r="604" spans="1:51" x14ac:dyDescent="0.25">
      <c r="A604" s="133">
        <f t="shared" si="233"/>
        <v>586</v>
      </c>
      <c r="B604" s="132">
        <f t="shared" si="233"/>
        <v>124</v>
      </c>
      <c r="C604" s="77" t="s">
        <v>72</v>
      </c>
      <c r="D604" s="77" t="s">
        <v>469</v>
      </c>
      <c r="E604" s="78">
        <v>1973</v>
      </c>
      <c r="F604" s="78">
        <v>2013</v>
      </c>
      <c r="G604" s="78" t="s">
        <v>51</v>
      </c>
      <c r="H604" s="78">
        <v>4</v>
      </c>
      <c r="I604" s="78">
        <v>4</v>
      </c>
      <c r="J604" s="44">
        <v>3935.6</v>
      </c>
      <c r="K604" s="44">
        <v>3459.2</v>
      </c>
      <c r="L604" s="44">
        <v>0</v>
      </c>
      <c r="M604" s="79">
        <v>162</v>
      </c>
      <c r="N604" s="129">
        <f t="shared" si="234"/>
        <v>10469460.771</v>
      </c>
      <c r="O604" s="44"/>
      <c r="P604" s="68"/>
      <c r="Q604" s="68"/>
      <c r="R604" s="68">
        <f t="shared" si="241"/>
        <v>2621907.0299999998</v>
      </c>
      <c r="S604" s="68">
        <f>+'Приложение №2'!E604-'Приложение №1'!R604</f>
        <v>7847553.7410000004</v>
      </c>
      <c r="T604" s="68">
        <v>0</v>
      </c>
      <c r="U604" s="68">
        <f t="shared" si="238"/>
        <v>3026.5554957793711</v>
      </c>
      <c r="V604" s="68">
        <v>1291.2830200640001</v>
      </c>
      <c r="W604" s="80">
        <v>2024</v>
      </c>
      <c r="X604" s="29" t="e">
        <f>+#REF!-'[1]Приложение №1'!$P1455</f>
        <v>#REF!</v>
      </c>
      <c r="Z604" s="31">
        <f t="shared" si="236"/>
        <v>11632734.189999999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/>
      <c r="AG604" s="27">
        <v>0</v>
      </c>
      <c r="AH604" s="27">
        <v>0</v>
      </c>
      <c r="AI604" s="27">
        <v>10245414.310500599</v>
      </c>
      <c r="AJ604" s="27">
        <v>0</v>
      </c>
      <c r="AK604" s="27">
        <v>0</v>
      </c>
      <c r="AL604" s="27">
        <v>0</v>
      </c>
      <c r="AM604" s="27">
        <v>1046946.0770999999</v>
      </c>
      <c r="AN604" s="32">
        <v>116327.3419</v>
      </c>
      <c r="AO604" s="33">
        <v>224046.46049940001</v>
      </c>
      <c r="AP604" s="84">
        <f>+N604-'Приложение №2'!E604</f>
        <v>0</v>
      </c>
      <c r="AQ604" s="1">
        <v>2269068.63</v>
      </c>
      <c r="AR604" s="1">
        <f t="shared" si="237"/>
        <v>352838.39999999997</v>
      </c>
      <c r="AS604" s="1">
        <f t="shared" si="239"/>
        <v>12453120</v>
      </c>
      <c r="AT604" s="29">
        <f t="shared" si="240"/>
        <v>-4605566.2589999996</v>
      </c>
      <c r="AU604" s="29">
        <f>+P604-'[6]Приложение №1'!$P574</f>
        <v>0</v>
      </c>
      <c r="AV604" s="29">
        <f>+Q604-'[6]Приложение №1'!$Q574</f>
        <v>0</v>
      </c>
      <c r="AW604" s="29">
        <f>+R604-'[6]Приложение №1'!$R574</f>
        <v>0</v>
      </c>
      <c r="AX604" s="29">
        <f>+S604-'[6]Приложение №1'!$S574</f>
        <v>0</v>
      </c>
      <c r="AY604" s="29">
        <f>+T604-'[6]Приложение №1'!$T574</f>
        <v>0</v>
      </c>
    </row>
    <row r="605" spans="1:51" x14ac:dyDescent="0.25">
      <c r="A605" s="133">
        <f t="shared" si="233"/>
        <v>587</v>
      </c>
      <c r="B605" s="132">
        <f t="shared" si="233"/>
        <v>125</v>
      </c>
      <c r="C605" s="77" t="s">
        <v>72</v>
      </c>
      <c r="D605" s="77" t="s">
        <v>191</v>
      </c>
      <c r="E605" s="78">
        <v>1976</v>
      </c>
      <c r="F605" s="78">
        <v>2013</v>
      </c>
      <c r="G605" s="78" t="s">
        <v>51</v>
      </c>
      <c r="H605" s="78">
        <v>4</v>
      </c>
      <c r="I605" s="78">
        <v>6</v>
      </c>
      <c r="J605" s="44">
        <v>5727.3</v>
      </c>
      <c r="K605" s="44">
        <v>4928.1000000000004</v>
      </c>
      <c r="L605" s="44">
        <v>70.7</v>
      </c>
      <c r="M605" s="79">
        <v>234</v>
      </c>
      <c r="N605" s="129">
        <f t="shared" si="234"/>
        <v>5232438.4238859992</v>
      </c>
      <c r="O605" s="44"/>
      <c r="P605" s="68"/>
      <c r="Q605" s="68"/>
      <c r="R605" s="68">
        <f t="shared" si="241"/>
        <v>1946518.9788139998</v>
      </c>
      <c r="S605" s="68">
        <f>+'Приложение №2'!E605-'Приложение №1'!R605</f>
        <v>3285919.4450719994</v>
      </c>
      <c r="T605" s="68">
        <v>0</v>
      </c>
      <c r="U605" s="68">
        <f t="shared" si="238"/>
        <v>1061.7557322063267</v>
      </c>
      <c r="V605" s="68">
        <v>1292.2830200640001</v>
      </c>
      <c r="W605" s="80">
        <v>2024</v>
      </c>
      <c r="X605" s="29">
        <f>+S605-'[1]Приложение №1'!$P1153</f>
        <v>1913108.4850719993</v>
      </c>
      <c r="Z605" s="31">
        <f t="shared" si="236"/>
        <v>8101376.7311859997</v>
      </c>
      <c r="AA605" s="27">
        <v>0</v>
      </c>
      <c r="AB605" s="27">
        <v>0</v>
      </c>
      <c r="AC605" s="27">
        <v>5108867.6053762194</v>
      </c>
      <c r="AD605" s="27">
        <v>0</v>
      </c>
      <c r="AE605" s="27">
        <v>2022198.06</v>
      </c>
      <c r="AF605" s="27"/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786081.95299999998</v>
      </c>
      <c r="AN605" s="32">
        <v>60658.294300000001</v>
      </c>
      <c r="AO605" s="33">
        <v>123570.81850978</v>
      </c>
      <c r="AP605" s="84">
        <f>+N605-'Приложение №2'!E605</f>
        <v>0</v>
      </c>
      <c r="AQ605" s="29">
        <f>1703489.35-R94</f>
        <v>1429429.9788139998</v>
      </c>
      <c r="AR605" s="1">
        <f t="shared" si="237"/>
        <v>517089</v>
      </c>
      <c r="AS605" s="1">
        <f>+(K605*10+L605*20)*12*30-S94</f>
        <v>17784196.41</v>
      </c>
      <c r="AT605" s="29">
        <f t="shared" si="240"/>
        <v>-14498276.964928001</v>
      </c>
      <c r="AU605" s="29">
        <f>+P605-'[6]Приложение №1'!$P575</f>
        <v>0</v>
      </c>
      <c r="AV605" s="29">
        <f>+Q605-'[6]Приложение №1'!$Q575</f>
        <v>0</v>
      </c>
      <c r="AW605" s="29">
        <f>+R605-'[6]Приложение №1'!$R575</f>
        <v>0</v>
      </c>
      <c r="AX605" s="29">
        <f>+S605-'[6]Приложение №1'!$S575</f>
        <v>0</v>
      </c>
      <c r="AY605" s="29">
        <f>+T605-'[6]Приложение №1'!$T575</f>
        <v>0</v>
      </c>
    </row>
    <row r="606" spans="1:51" x14ac:dyDescent="0.25">
      <c r="A606" s="133">
        <f t="shared" si="233"/>
        <v>588</v>
      </c>
      <c r="B606" s="132">
        <f t="shared" si="233"/>
        <v>126</v>
      </c>
      <c r="C606" s="77" t="s">
        <v>72</v>
      </c>
      <c r="D606" s="77" t="s">
        <v>193</v>
      </c>
      <c r="E606" s="78">
        <v>1990</v>
      </c>
      <c r="F606" s="78">
        <v>2013</v>
      </c>
      <c r="G606" s="78" t="s">
        <v>51</v>
      </c>
      <c r="H606" s="78">
        <v>9</v>
      </c>
      <c r="I606" s="78">
        <v>4</v>
      </c>
      <c r="J606" s="44">
        <v>10682.7</v>
      </c>
      <c r="K606" s="44">
        <v>8792</v>
      </c>
      <c r="L606" s="44">
        <v>69.3</v>
      </c>
      <c r="M606" s="79">
        <v>381</v>
      </c>
      <c r="N606" s="129">
        <f t="shared" si="234"/>
        <v>33447816.559111003</v>
      </c>
      <c r="O606" s="44"/>
      <c r="P606" s="68"/>
      <c r="Q606" s="68"/>
      <c r="R606" s="68">
        <f t="shared" si="241"/>
        <v>2865626.9831999997</v>
      </c>
      <c r="S606" s="68">
        <f>+'Приложение №2'!E606-'Приложение №1'!R606</f>
        <v>30582189.575911004</v>
      </c>
      <c r="T606" s="68">
        <v>0</v>
      </c>
      <c r="U606" s="68">
        <f t="shared" si="238"/>
        <v>3804.3467423920611</v>
      </c>
      <c r="V606" s="68">
        <v>1293.2830200640001</v>
      </c>
      <c r="W606" s="80">
        <v>2024</v>
      </c>
      <c r="X606" s="29" t="e">
        <f>+#REF!-'[1]Приложение №1'!$P1060</f>
        <v>#REF!</v>
      </c>
      <c r="Z606" s="31">
        <f t="shared" si="236"/>
        <v>38109556.814410999</v>
      </c>
      <c r="AA606" s="27">
        <v>12649079.980151162</v>
      </c>
      <c r="AB606" s="27">
        <v>6869704.5973592401</v>
      </c>
      <c r="AC606" s="27">
        <v>8171118.1097511007</v>
      </c>
      <c r="AD606" s="27">
        <v>3937651.5042933603</v>
      </c>
      <c r="AE606" s="27">
        <v>0</v>
      </c>
      <c r="AF606" s="27"/>
      <c r="AG606" s="27">
        <v>952026.39550956013</v>
      </c>
      <c r="AH606" s="27">
        <v>0</v>
      </c>
      <c r="AI606" s="27"/>
      <c r="AJ606" s="27">
        <v>0</v>
      </c>
      <c r="AK606" s="27">
        <v>0</v>
      </c>
      <c r="AL606" s="27">
        <v>0</v>
      </c>
      <c r="AM606" s="27">
        <v>4209405.1087999996</v>
      </c>
      <c r="AN606" s="32">
        <v>452335.14650000009</v>
      </c>
      <c r="AO606" s="33">
        <v>868235.97204658017</v>
      </c>
      <c r="AP606" s="84">
        <f>+N606-'Приложение №2'!E606</f>
        <v>0</v>
      </c>
      <c r="AQ606" s="1">
        <f>5141746.03-3483863.47</f>
        <v>1657882.56</v>
      </c>
      <c r="AR606" s="1">
        <f t="shared" ref="AR606:AR611" si="242">+(K606*13.29+L606*22.52)*12*0.85</f>
        <v>1207744.4231999998</v>
      </c>
      <c r="AS606" s="1">
        <f>+(K606*13.29+L606*22.52)*12*30-447549.13</f>
        <v>42178724.629999995</v>
      </c>
      <c r="AT606" s="29">
        <f t="shared" si="240"/>
        <v>-11596535.054088991</v>
      </c>
      <c r="AU606" s="29">
        <f>+P606-'[6]Приложение №1'!$P576</f>
        <v>0</v>
      </c>
      <c r="AV606" s="29">
        <f>+Q606-'[6]Приложение №1'!$Q576</f>
        <v>0</v>
      </c>
      <c r="AW606" s="29">
        <f>+R606-'[6]Приложение №1'!$R576</f>
        <v>0</v>
      </c>
      <c r="AX606" s="29">
        <f>+S606-'[6]Приложение №1'!$S576</f>
        <v>0</v>
      </c>
      <c r="AY606" s="29">
        <f>+T606-'[6]Приложение №1'!$T576</f>
        <v>0</v>
      </c>
    </row>
    <row r="607" spans="1:51" x14ac:dyDescent="0.25">
      <c r="A607" s="133">
        <f t="shared" si="233"/>
        <v>589</v>
      </c>
      <c r="B607" s="132">
        <f t="shared" si="233"/>
        <v>127</v>
      </c>
      <c r="C607" s="77" t="s">
        <v>72</v>
      </c>
      <c r="D607" s="77" t="s">
        <v>83</v>
      </c>
      <c r="E607" s="78">
        <v>1994</v>
      </c>
      <c r="F607" s="78">
        <v>2013</v>
      </c>
      <c r="G607" s="78" t="s">
        <v>51</v>
      </c>
      <c r="H607" s="78">
        <v>9</v>
      </c>
      <c r="I607" s="78">
        <v>3</v>
      </c>
      <c r="J607" s="44">
        <v>8919.33</v>
      </c>
      <c r="K607" s="44">
        <v>6658.4</v>
      </c>
      <c r="L607" s="44">
        <v>0</v>
      </c>
      <c r="M607" s="79">
        <v>285</v>
      </c>
      <c r="N607" s="129">
        <f t="shared" si="234"/>
        <v>18039857.71118984</v>
      </c>
      <c r="O607" s="44"/>
      <c r="P607" s="68"/>
      <c r="Q607" s="68"/>
      <c r="R607" s="68">
        <f t="shared" si="241"/>
        <v>2369206.8372</v>
      </c>
      <c r="S607" s="68">
        <f>+'Приложение №2'!E607-'Приложение №1'!R607</f>
        <v>15670650.873989839</v>
      </c>
      <c r="T607" s="68">
        <v>4.6566128730773926E-10</v>
      </c>
      <c r="U607" s="68">
        <f t="shared" si="238"/>
        <v>2709.3382360912292</v>
      </c>
      <c r="V607" s="68">
        <v>1294.2830200640001</v>
      </c>
      <c r="W607" s="80">
        <v>2024</v>
      </c>
      <c r="X607" s="29" t="e">
        <f>+#REF!-'[1]Приложение №1'!$P1061</f>
        <v>#REF!</v>
      </c>
      <c r="Z607" s="31">
        <f t="shared" si="236"/>
        <v>14135263.039999999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/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13564306.146929998</v>
      </c>
      <c r="AM607" s="27">
        <v>193212.03</v>
      </c>
      <c r="AN607" s="27">
        <v>81120.959999999992</v>
      </c>
      <c r="AO607" s="33">
        <v>296623.90307</v>
      </c>
      <c r="AP607" s="84">
        <f>+N607-'Приложение №2'!E607</f>
        <v>0</v>
      </c>
      <c r="AQ607" s="1">
        <f>4090276.43-1910372.27-713296.71</f>
        <v>1466607.4500000002</v>
      </c>
      <c r="AR607" s="1">
        <f t="shared" si="242"/>
        <v>902599.38719999976</v>
      </c>
      <c r="AS607" s="1">
        <f>+(K607*13.29+L607*22.52)*12*30-3114194.79-7865381.35-93203.45</f>
        <v>20783669.369999994</v>
      </c>
      <c r="AT607" s="29">
        <f t="shared" si="240"/>
        <v>-5113018.4960101545</v>
      </c>
      <c r="AU607" s="29">
        <f>+P607-'[6]Приложение №1'!$P577</f>
        <v>0</v>
      </c>
      <c r="AV607" s="29">
        <f>+Q607-'[6]Приложение №1'!$Q577</f>
        <v>0</v>
      </c>
      <c r="AW607" s="29">
        <f>+R607-'[6]Приложение №1'!$R577</f>
        <v>0</v>
      </c>
      <c r="AX607" s="29">
        <f>+S607-'[6]Приложение №1'!$S577</f>
        <v>0</v>
      </c>
      <c r="AY607" s="29">
        <f>+T607-'[6]Приложение №1'!$T577</f>
        <v>0</v>
      </c>
    </row>
    <row r="608" spans="1:51" x14ac:dyDescent="0.25">
      <c r="A608" s="133">
        <f t="shared" si="233"/>
        <v>590</v>
      </c>
      <c r="B608" s="132">
        <f t="shared" si="233"/>
        <v>128</v>
      </c>
      <c r="C608" s="77" t="s">
        <v>72</v>
      </c>
      <c r="D608" s="77" t="s">
        <v>645</v>
      </c>
      <c r="E608" s="78">
        <v>1999</v>
      </c>
      <c r="F608" s="78">
        <v>1999</v>
      </c>
      <c r="G608" s="78" t="s">
        <v>51</v>
      </c>
      <c r="H608" s="78">
        <v>9</v>
      </c>
      <c r="I608" s="78">
        <v>1</v>
      </c>
      <c r="J608" s="44">
        <v>2462.15</v>
      </c>
      <c r="K608" s="44">
        <v>2301</v>
      </c>
      <c r="L608" s="44">
        <v>0</v>
      </c>
      <c r="M608" s="79">
        <v>79</v>
      </c>
      <c r="N608" s="129">
        <f t="shared" si="234"/>
        <v>3591360</v>
      </c>
      <c r="O608" s="44"/>
      <c r="P608" s="68"/>
      <c r="Q608" s="68"/>
      <c r="R608" s="68">
        <f t="shared" si="241"/>
        <v>1635770.6579999998</v>
      </c>
      <c r="S608" s="68">
        <f>+'Приложение №2'!E608-'Приложение №1'!R608</f>
        <v>1955589.3420000002</v>
      </c>
      <c r="T608" s="68">
        <v>0</v>
      </c>
      <c r="U608" s="68">
        <f t="shared" si="238"/>
        <v>1560.7822685788788</v>
      </c>
      <c r="V608" s="68">
        <v>1295.2830200640001</v>
      </c>
      <c r="W608" s="80">
        <v>2024</v>
      </c>
      <c r="X608" s="29"/>
      <c r="Z608" s="31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32"/>
      <c r="AO608" s="33"/>
      <c r="AP608" s="84">
        <f>+N608-'Приложение №2'!E608</f>
        <v>0</v>
      </c>
      <c r="AQ608" s="1">
        <v>1323851.7</v>
      </c>
      <c r="AR608" s="1">
        <f t="shared" si="242"/>
        <v>311918.95799999998</v>
      </c>
      <c r="AS608" s="1">
        <f>+(K608*13.29+L608*22.52)*12*30</f>
        <v>11008904.399999999</v>
      </c>
      <c r="AT608" s="29">
        <f t="shared" si="240"/>
        <v>-9053315.0579999983</v>
      </c>
      <c r="AU608" s="29">
        <f>+P608-'[6]Приложение №1'!$P578</f>
        <v>0</v>
      </c>
      <c r="AV608" s="29">
        <f>+Q608-'[6]Приложение №1'!$Q578</f>
        <v>0</v>
      </c>
      <c r="AW608" s="29">
        <f>+R608-'[6]Приложение №1'!$R578</f>
        <v>0</v>
      </c>
      <c r="AX608" s="29">
        <f>+S608-'[6]Приложение №1'!$S578</f>
        <v>0</v>
      </c>
      <c r="AY608" s="29">
        <f>+T608-'[6]Приложение №1'!$T578</f>
        <v>0</v>
      </c>
    </row>
    <row r="609" spans="1:51" s="35" customFormat="1" x14ac:dyDescent="0.25">
      <c r="A609" s="133">
        <f t="shared" si="233"/>
        <v>591</v>
      </c>
      <c r="B609" s="132">
        <f t="shared" si="233"/>
        <v>129</v>
      </c>
      <c r="C609" s="77" t="s">
        <v>72</v>
      </c>
      <c r="D609" s="77" t="s">
        <v>646</v>
      </c>
      <c r="E609" s="78" t="s">
        <v>597</v>
      </c>
      <c r="F609" s="78"/>
      <c r="G609" s="78" t="s">
        <v>573</v>
      </c>
      <c r="H609" s="78" t="s">
        <v>571</v>
      </c>
      <c r="I609" s="78" t="s">
        <v>576</v>
      </c>
      <c r="J609" s="44">
        <v>5386.8</v>
      </c>
      <c r="K609" s="44">
        <v>4410.8999999999996</v>
      </c>
      <c r="L609" s="44">
        <v>0</v>
      </c>
      <c r="M609" s="79">
        <v>267</v>
      </c>
      <c r="N609" s="129">
        <f t="shared" si="234"/>
        <v>1761672.902208</v>
      </c>
      <c r="O609" s="44">
        <v>0</v>
      </c>
      <c r="P609" s="68"/>
      <c r="Q609" s="68">
        <v>0</v>
      </c>
      <c r="R609" s="68">
        <f>+'Приложение №2'!E609</f>
        <v>1761672.902208</v>
      </c>
      <c r="S609" s="68">
        <f>+'Приложение №2'!E609-'Приложение №1'!R609</f>
        <v>0</v>
      </c>
      <c r="T609" s="68">
        <v>0</v>
      </c>
      <c r="U609" s="68">
        <f t="shared" si="238"/>
        <v>399.39080509827926</v>
      </c>
      <c r="V609" s="68">
        <v>1296.2830200640001</v>
      </c>
      <c r="W609" s="80">
        <v>2024</v>
      </c>
      <c r="X609" s="35">
        <v>1654219.33</v>
      </c>
      <c r="Y609" s="35">
        <f>+(K609*12.08+L609*20.47)*12</f>
        <v>639404.06400000001</v>
      </c>
      <c r="AA609" s="36">
        <f>+N609-'[5]Приложение № 2'!E544</f>
        <v>938636.61160159996</v>
      </c>
      <c r="AD609" s="36">
        <f>+N609-'[5]Приложение № 2'!E544</f>
        <v>938636.61160159996</v>
      </c>
      <c r="AP609" s="84">
        <f>+N609-'Приложение №2'!E609</f>
        <v>0</v>
      </c>
      <c r="AQ609" s="35">
        <v>2338420.94</v>
      </c>
      <c r="AR609" s="1">
        <f t="shared" si="242"/>
        <v>597932.7821999999</v>
      </c>
      <c r="AS609" s="1">
        <f>+(K609*13.29+L609*22.52)*12*30</f>
        <v>21103509.959999997</v>
      </c>
      <c r="AT609" s="29">
        <f t="shared" si="240"/>
        <v>-21103509.959999997</v>
      </c>
      <c r="AU609" s="29">
        <f>+P609-'[6]Приложение №1'!$P579</f>
        <v>0</v>
      </c>
      <c r="AV609" s="29">
        <f>+Q609-'[6]Приложение №1'!$Q579</f>
        <v>0</v>
      </c>
      <c r="AW609" s="29">
        <f>+R609-'[6]Приложение №1'!$R579</f>
        <v>0</v>
      </c>
      <c r="AX609" s="29">
        <f>+S609-'[6]Приложение №1'!$S579</f>
        <v>0</v>
      </c>
      <c r="AY609" s="29">
        <f>+T609-'[6]Приложение №1'!$T579</f>
        <v>0</v>
      </c>
    </row>
    <row r="610" spans="1:51" s="35" customFormat="1" x14ac:dyDescent="0.25">
      <c r="A610" s="133">
        <f t="shared" ref="A610:B625" si="243">+A609+1</f>
        <v>592</v>
      </c>
      <c r="B610" s="132">
        <f t="shared" si="243"/>
        <v>130</v>
      </c>
      <c r="C610" s="77" t="s">
        <v>72</v>
      </c>
      <c r="D610" s="77" t="s">
        <v>647</v>
      </c>
      <c r="E610" s="78" t="s">
        <v>599</v>
      </c>
      <c r="F610" s="78"/>
      <c r="G610" s="78" t="s">
        <v>573</v>
      </c>
      <c r="H610" s="78" t="s">
        <v>571</v>
      </c>
      <c r="I610" s="78" t="s">
        <v>576</v>
      </c>
      <c r="J610" s="44">
        <v>5259.4</v>
      </c>
      <c r="K610" s="44">
        <v>4259.8</v>
      </c>
      <c r="L610" s="44">
        <v>65.2</v>
      </c>
      <c r="M610" s="79">
        <v>245</v>
      </c>
      <c r="N610" s="129">
        <f t="shared" si="234"/>
        <v>1715973.7068479999</v>
      </c>
      <c r="O610" s="44">
        <v>0</v>
      </c>
      <c r="P610" s="68"/>
      <c r="Q610" s="68">
        <v>0</v>
      </c>
      <c r="R610" s="68">
        <f>+'Приложение №2'!E610</f>
        <v>1715973.7068479999</v>
      </c>
      <c r="S610" s="68">
        <f>+'Приложение №2'!E610-'Приложение №1'!R610</f>
        <v>0</v>
      </c>
      <c r="T610" s="68">
        <v>0</v>
      </c>
      <c r="U610" s="68">
        <f t="shared" si="238"/>
        <v>402.82964149678384</v>
      </c>
      <c r="V610" s="68">
        <v>1297.2830200640001</v>
      </c>
      <c r="W610" s="80">
        <v>2024</v>
      </c>
      <c r="X610" s="35">
        <v>1762729.2</v>
      </c>
      <c r="Y610" s="35">
        <f>+(K610*12.08+L610*20.47)*12</f>
        <v>633516.33600000013</v>
      </c>
      <c r="AA610" s="36">
        <f>+N610-'[5]Приложение № 2'!E545</f>
        <v>891440.44727360003</v>
      </c>
      <c r="AD610" s="36">
        <f>+N610-'[5]Приложение № 2'!E545</f>
        <v>891440.44727360003</v>
      </c>
      <c r="AP610" s="84">
        <f>+N610-'Приложение №2'!E610</f>
        <v>0</v>
      </c>
      <c r="AQ610" s="35">
        <v>2391269.37</v>
      </c>
      <c r="AR610" s="1">
        <f t="shared" si="242"/>
        <v>592426.6692</v>
      </c>
      <c r="AS610" s="1">
        <f>+(K610*13.29+L610*22.52)*12*30</f>
        <v>20909176.560000002</v>
      </c>
      <c r="AT610" s="29">
        <f t="shared" si="240"/>
        <v>-20909176.560000002</v>
      </c>
      <c r="AU610" s="29">
        <f>+P610-'[6]Приложение №1'!$P580</f>
        <v>0</v>
      </c>
      <c r="AV610" s="29">
        <f>+Q610-'[6]Приложение №1'!$Q580</f>
        <v>0</v>
      </c>
      <c r="AW610" s="29">
        <f>+R610-'[6]Приложение №1'!$R580</f>
        <v>0</v>
      </c>
      <c r="AX610" s="29">
        <f>+S610-'[6]Приложение №1'!$S580</f>
        <v>0</v>
      </c>
      <c r="AY610" s="29">
        <f>+T610-'[6]Приложение №1'!$T580</f>
        <v>0</v>
      </c>
    </row>
    <row r="611" spans="1:51" s="35" customFormat="1" x14ac:dyDescent="0.25">
      <c r="A611" s="133">
        <f t="shared" si="243"/>
        <v>593</v>
      </c>
      <c r="B611" s="132">
        <f t="shared" si="243"/>
        <v>131</v>
      </c>
      <c r="C611" s="77" t="s">
        <v>72</v>
      </c>
      <c r="D611" s="77" t="s">
        <v>648</v>
      </c>
      <c r="E611" s="78" t="s">
        <v>599</v>
      </c>
      <c r="F611" s="78"/>
      <c r="G611" s="78" t="s">
        <v>573</v>
      </c>
      <c r="H611" s="78" t="s">
        <v>571</v>
      </c>
      <c r="I611" s="78" t="s">
        <v>576</v>
      </c>
      <c r="J611" s="44">
        <v>5408.1</v>
      </c>
      <c r="K611" s="44">
        <v>4395.54</v>
      </c>
      <c r="L611" s="44">
        <v>0</v>
      </c>
      <c r="M611" s="79">
        <v>222</v>
      </c>
      <c r="N611" s="129">
        <f t="shared" si="234"/>
        <v>1736233.9121119999</v>
      </c>
      <c r="O611" s="44">
        <v>0</v>
      </c>
      <c r="P611" s="68"/>
      <c r="Q611" s="68">
        <v>0</v>
      </c>
      <c r="R611" s="68">
        <f>+'Приложение №2'!E611</f>
        <v>1736233.9121119999</v>
      </c>
      <c r="S611" s="68">
        <f>+'Приложение №2'!E611-'Приложение №1'!R611</f>
        <v>0</v>
      </c>
      <c r="T611" s="68">
        <v>0</v>
      </c>
      <c r="U611" s="68">
        <f t="shared" si="238"/>
        <v>394.99900174085548</v>
      </c>
      <c r="V611" s="68">
        <v>1298.2830200640001</v>
      </c>
      <c r="W611" s="80">
        <v>2024</v>
      </c>
      <c r="X611" s="35">
        <v>1466483.92</v>
      </c>
      <c r="Y611" s="35">
        <f>+(K611*12.08+L611*20.47)*12</f>
        <v>637177.47840000002</v>
      </c>
      <c r="AA611" s="36">
        <f>+N611-'[5]Приложение № 2'!E546</f>
        <v>911101.85895039991</v>
      </c>
      <c r="AD611" s="36">
        <f>+N611-'[5]Приложение № 2'!E546</f>
        <v>911101.85895039991</v>
      </c>
      <c r="AP611" s="84">
        <f>+N611-'Приложение №2'!E611</f>
        <v>0</v>
      </c>
      <c r="AQ611" s="35">
        <v>2154607.7400000002</v>
      </c>
      <c r="AR611" s="1">
        <f t="shared" si="242"/>
        <v>595850.61131999991</v>
      </c>
      <c r="AS611" s="1">
        <f>+(K611*13.29+L611*22.52)*12*30</f>
        <v>21030021.575999998</v>
      </c>
      <c r="AT611" s="29">
        <f t="shared" si="240"/>
        <v>-21030021.575999998</v>
      </c>
      <c r="AU611" s="29">
        <f>+P611-'[6]Приложение №1'!$P581</f>
        <v>0</v>
      </c>
      <c r="AV611" s="29">
        <f>+Q611-'[6]Приложение №1'!$Q581</f>
        <v>0</v>
      </c>
      <c r="AW611" s="29">
        <f>+R611-'[6]Приложение №1'!$R581</f>
        <v>0</v>
      </c>
      <c r="AX611" s="29">
        <f>+S611-'[6]Приложение №1'!$S581</f>
        <v>0</v>
      </c>
      <c r="AY611" s="29">
        <f>+T611-'[6]Приложение №1'!$T581</f>
        <v>0</v>
      </c>
    </row>
    <row r="612" spans="1:51" x14ac:dyDescent="0.25">
      <c r="A612" s="133">
        <f t="shared" si="243"/>
        <v>594</v>
      </c>
      <c r="B612" s="132">
        <f t="shared" si="243"/>
        <v>132</v>
      </c>
      <c r="C612" s="77" t="s">
        <v>72</v>
      </c>
      <c r="D612" s="77" t="s">
        <v>195</v>
      </c>
      <c r="E612" s="78">
        <v>1977</v>
      </c>
      <c r="F612" s="78">
        <v>2016</v>
      </c>
      <c r="G612" s="78" t="s">
        <v>44</v>
      </c>
      <c r="H612" s="78">
        <v>4</v>
      </c>
      <c r="I612" s="78">
        <v>3</v>
      </c>
      <c r="J612" s="44">
        <v>4282.03</v>
      </c>
      <c r="K612" s="44">
        <v>3649.25</v>
      </c>
      <c r="L612" s="44">
        <v>274</v>
      </c>
      <c r="M612" s="79">
        <v>288</v>
      </c>
      <c r="N612" s="129">
        <f t="shared" si="234"/>
        <v>11659299.253600001</v>
      </c>
      <c r="O612" s="44"/>
      <c r="P612" s="68">
        <f>+'Приложение №2'!E612-'Приложение №1'!R612-'Приложение №1'!S612</f>
        <v>5116287.7866000012</v>
      </c>
      <c r="Q612" s="68"/>
      <c r="R612" s="68"/>
      <c r="S612" s="68">
        <f>+AS612</f>
        <v>6543011.4670000002</v>
      </c>
      <c r="T612" s="68">
        <v>0</v>
      </c>
      <c r="U612" s="68">
        <f t="shared" si="238"/>
        <v>3194.9850664109067</v>
      </c>
      <c r="V612" s="68">
        <v>1299.2830200640001</v>
      </c>
      <c r="W612" s="80">
        <v>2024</v>
      </c>
      <c r="X612" s="29" t="e">
        <f>+#REF!-'[1]Приложение №1'!$P678</f>
        <v>#REF!</v>
      </c>
      <c r="Z612" s="31">
        <f>SUM(AA612:AO612)</f>
        <v>23141293.460000001</v>
      </c>
      <c r="AA612" s="27">
        <v>8634085.2331297211</v>
      </c>
      <c r="AB612" s="27">
        <v>0</v>
      </c>
      <c r="AC612" s="27">
        <v>3214445.52658614</v>
      </c>
      <c r="AD612" s="27">
        <v>0</v>
      </c>
      <c r="AE612" s="27">
        <v>0</v>
      </c>
      <c r="AF612" s="27"/>
      <c r="AG612" s="27">
        <v>331313.48510400002</v>
      </c>
      <c r="AH612" s="27">
        <v>0</v>
      </c>
      <c r="AI612" s="27">
        <v>0</v>
      </c>
      <c r="AJ612" s="27">
        <v>0</v>
      </c>
      <c r="AK612" s="27">
        <v>8195344.7229868202</v>
      </c>
      <c r="AL612" s="27">
        <v>0</v>
      </c>
      <c r="AM612" s="27">
        <v>2089127.4416</v>
      </c>
      <c r="AN612" s="32">
        <v>231412.93460000001</v>
      </c>
      <c r="AO612" s="33">
        <v>445564.11599332013</v>
      </c>
      <c r="AP612" s="84">
        <f>+N612-'Приложение №2'!E612</f>
        <v>0</v>
      </c>
      <c r="AQ612" s="29">
        <f>1246178.99-238851.36-R305</f>
        <v>-1178944.1900000004</v>
      </c>
      <c r="AR612" s="1">
        <f>+(K612*10+L612*20)*12*0.85</f>
        <v>428119.5</v>
      </c>
      <c r="AS612" s="1">
        <f>+(K612*10+L612*20)*12*30-58057.611-1622749.022-S305</f>
        <v>6543011.4670000002</v>
      </c>
      <c r="AT612" s="29">
        <f t="shared" si="240"/>
        <v>0</v>
      </c>
      <c r="AU612" s="29">
        <f>+P612-'[6]Приложение №1'!$P582</f>
        <v>5116287.7866000012</v>
      </c>
      <c r="AV612" s="29">
        <f>+Q612-'[6]Приложение №1'!$Q582</f>
        <v>0</v>
      </c>
      <c r="AW612" s="29">
        <f>+R612-'[6]Приложение №1'!$R582</f>
        <v>-1435447.13</v>
      </c>
      <c r="AX612" s="29">
        <f>+S612-'[6]Приложение №1'!$S582</f>
        <v>-3680840.6566000022</v>
      </c>
      <c r="AY612" s="29">
        <f>+T612-'[6]Приложение №1'!$T582</f>
        <v>0</v>
      </c>
    </row>
    <row r="613" spans="1:51" x14ac:dyDescent="0.25">
      <c r="A613" s="133">
        <f t="shared" si="243"/>
        <v>595</v>
      </c>
      <c r="B613" s="132">
        <f t="shared" si="243"/>
        <v>133</v>
      </c>
      <c r="C613" s="77" t="s">
        <v>72</v>
      </c>
      <c r="D613" s="77" t="s">
        <v>349</v>
      </c>
      <c r="E613" s="78">
        <v>1978</v>
      </c>
      <c r="F613" s="78">
        <v>2013</v>
      </c>
      <c r="G613" s="78" t="s">
        <v>44</v>
      </c>
      <c r="H613" s="78">
        <v>4</v>
      </c>
      <c r="I613" s="78">
        <v>4</v>
      </c>
      <c r="J613" s="44">
        <v>2848.5</v>
      </c>
      <c r="K613" s="44">
        <v>2649.95</v>
      </c>
      <c r="L613" s="44">
        <v>0</v>
      </c>
      <c r="M613" s="79">
        <v>145</v>
      </c>
      <c r="N613" s="129">
        <f t="shared" si="234"/>
        <v>2721879.4471506448</v>
      </c>
      <c r="O613" s="44"/>
      <c r="P613" s="68"/>
      <c r="Q613" s="68"/>
      <c r="R613" s="68">
        <f>+AQ613+AR613</f>
        <v>1479357.3299999998</v>
      </c>
      <c r="S613" s="68">
        <f>+'Приложение №2'!E613-'Приложение №1'!R613</f>
        <v>1242522.117150645</v>
      </c>
      <c r="T613" s="68">
        <v>0</v>
      </c>
      <c r="U613" s="68">
        <f t="shared" si="238"/>
        <v>1027.1436997492954</v>
      </c>
      <c r="V613" s="68">
        <v>1300.2830200640001</v>
      </c>
      <c r="W613" s="80">
        <v>2024</v>
      </c>
      <c r="X613" s="29" t="e">
        <f>+#REF!-'[1]Приложение №1'!$P1072</f>
        <v>#REF!</v>
      </c>
      <c r="Z613" s="31">
        <f>SUM(AA613:AO613)</f>
        <v>4102628.5261912653</v>
      </c>
      <c r="AA613" s="27">
        <v>0</v>
      </c>
      <c r="AB613" s="27">
        <v>2393856.5125572649</v>
      </c>
      <c r="AC613" s="27">
        <v>0</v>
      </c>
      <c r="AD613" s="27">
        <v>0</v>
      </c>
      <c r="AE613" s="27">
        <v>1207579.472694</v>
      </c>
      <c r="AF613" s="27"/>
      <c r="AG613" s="27">
        <v>243268.38316200001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129490.79000000001</v>
      </c>
      <c r="AN613" s="27">
        <v>44357.47</v>
      </c>
      <c r="AO613" s="33">
        <v>84075.897777999999</v>
      </c>
      <c r="AP613" s="84">
        <f>+N613-'Приложение №2'!E613</f>
        <v>0</v>
      </c>
      <c r="AQ613" s="1">
        <v>1209062.43</v>
      </c>
      <c r="AR613" s="1">
        <f>+(K613*10+L613*20)*12*0.85</f>
        <v>270294.89999999997</v>
      </c>
      <c r="AS613" s="1">
        <f>+(K613*10+L613*20)*12*30</f>
        <v>9539820</v>
      </c>
      <c r="AT613" s="29">
        <f t="shared" si="240"/>
        <v>-8297297.8828493552</v>
      </c>
      <c r="AU613" s="29">
        <f>+P613-'[6]Приложение №1'!$P583</f>
        <v>0</v>
      </c>
      <c r="AV613" s="29">
        <f>+Q613-'[6]Приложение №1'!$Q583</f>
        <v>0</v>
      </c>
      <c r="AW613" s="29">
        <f>+R613-'[6]Приложение №1'!$R583</f>
        <v>0</v>
      </c>
      <c r="AX613" s="29">
        <f>+S613-'[6]Приложение №1'!$S583</f>
        <v>0</v>
      </c>
      <c r="AY613" s="29">
        <f>+T613-'[6]Приложение №1'!$T583</f>
        <v>0</v>
      </c>
    </row>
    <row r="614" spans="1:51" x14ac:dyDescent="0.25">
      <c r="A614" s="133">
        <f t="shared" si="243"/>
        <v>596</v>
      </c>
      <c r="B614" s="132">
        <f t="shared" si="243"/>
        <v>134</v>
      </c>
      <c r="C614" s="77" t="s">
        <v>72</v>
      </c>
      <c r="D614" s="77" t="s">
        <v>350</v>
      </c>
      <c r="E614" s="78">
        <v>1988</v>
      </c>
      <c r="F614" s="78">
        <v>2013</v>
      </c>
      <c r="G614" s="78" t="s">
        <v>44</v>
      </c>
      <c r="H614" s="78">
        <v>3</v>
      </c>
      <c r="I614" s="78">
        <v>3</v>
      </c>
      <c r="J614" s="44">
        <v>1440</v>
      </c>
      <c r="K614" s="44">
        <v>1362.6</v>
      </c>
      <c r="L614" s="44">
        <v>0</v>
      </c>
      <c r="M614" s="79">
        <v>54</v>
      </c>
      <c r="N614" s="129">
        <f t="shared" si="234"/>
        <v>26446557.673895352</v>
      </c>
      <c r="O614" s="44"/>
      <c r="P614" s="68">
        <v>4171397.8607790703</v>
      </c>
      <c r="Q614" s="68"/>
      <c r="R614" s="68">
        <f>+AQ614+AR614</f>
        <v>701977.97</v>
      </c>
      <c r="S614" s="68">
        <f>+AS614</f>
        <v>4905360</v>
      </c>
      <c r="T614" s="68">
        <f>+'Приложение №2'!E614-'Приложение №1'!P614-'Приложение №1'!R614-'Приложение №1'!S614</f>
        <v>16667821.843116283</v>
      </c>
      <c r="U614" s="68">
        <f t="shared" si="238"/>
        <v>19408.893052910138</v>
      </c>
      <c r="V614" s="68">
        <v>1301.2830200640001</v>
      </c>
      <c r="W614" s="80">
        <v>2024</v>
      </c>
      <c r="X614" s="29" t="e">
        <f>+#REF!-'[1]Приложение №1'!$P1073</f>
        <v>#REF!</v>
      </c>
      <c r="Z614" s="31">
        <f>SUM(AA614:AO614)</f>
        <v>25083426.917270374</v>
      </c>
      <c r="AA614" s="27">
        <v>4525107.225966936</v>
      </c>
      <c r="AB614" s="27">
        <v>2796445.9111580672</v>
      </c>
      <c r="AC614" s="27">
        <v>1312542.3519563093</v>
      </c>
      <c r="AD614" s="27">
        <v>1144056.1189434747</v>
      </c>
      <c r="AE614" s="27">
        <v>736445.82143999997</v>
      </c>
      <c r="AF614" s="27"/>
      <c r="AG614" s="27">
        <v>433409.41392000002</v>
      </c>
      <c r="AH614" s="27">
        <v>0</v>
      </c>
      <c r="AI614" s="27">
        <v>13331310.272431584</v>
      </c>
      <c r="AJ614" s="27">
        <v>0</v>
      </c>
      <c r="AK614" s="27">
        <v>0</v>
      </c>
      <c r="AL614" s="27">
        <v>0</v>
      </c>
      <c r="AM614" s="27">
        <v>225241.67</v>
      </c>
      <c r="AN614" s="27">
        <v>47928.639999999999</v>
      </c>
      <c r="AO614" s="33">
        <v>530939.491454</v>
      </c>
      <c r="AP614" s="84">
        <f>+N614-'Приложение №2'!E614</f>
        <v>0</v>
      </c>
      <c r="AQ614" s="1">
        <v>562992.77</v>
      </c>
      <c r="AR614" s="1">
        <f>+(K614*10+L614*20)*12*0.85</f>
        <v>138985.19999999998</v>
      </c>
      <c r="AS614" s="1">
        <f>+(K614*10+L614*20)*12*30</f>
        <v>4905360</v>
      </c>
      <c r="AT614" s="29">
        <f t="shared" si="240"/>
        <v>0</v>
      </c>
      <c r="AU614" s="29">
        <f>+P614-'[6]Приложение №1'!$P584</f>
        <v>0</v>
      </c>
      <c r="AV614" s="29">
        <f>+Q614-'[6]Приложение №1'!$Q584</f>
        <v>0</v>
      </c>
      <c r="AW614" s="29">
        <f>+R614-'[6]Приложение №1'!$R584</f>
        <v>0</v>
      </c>
      <c r="AX614" s="29">
        <f>+S614-'[6]Приложение №1'!$S584</f>
        <v>0</v>
      </c>
      <c r="AY614" s="29">
        <f>+T614-'[6]Приложение №1'!$T584</f>
        <v>0</v>
      </c>
    </row>
    <row r="615" spans="1:51" x14ac:dyDescent="0.25">
      <c r="A615" s="133">
        <f t="shared" si="243"/>
        <v>597</v>
      </c>
      <c r="B615" s="132">
        <f t="shared" si="243"/>
        <v>135</v>
      </c>
      <c r="C615" s="77" t="s">
        <v>72</v>
      </c>
      <c r="D615" s="77" t="s">
        <v>351</v>
      </c>
      <c r="E615" s="78">
        <v>1989</v>
      </c>
      <c r="F615" s="78">
        <v>2013</v>
      </c>
      <c r="G615" s="78" t="s">
        <v>44</v>
      </c>
      <c r="H615" s="78">
        <v>3</v>
      </c>
      <c r="I615" s="78">
        <v>3</v>
      </c>
      <c r="J615" s="44">
        <v>1505.9</v>
      </c>
      <c r="K615" s="44">
        <v>1326.7</v>
      </c>
      <c r="L615" s="44">
        <v>0</v>
      </c>
      <c r="M615" s="79">
        <v>75</v>
      </c>
      <c r="N615" s="129">
        <f t="shared" si="234"/>
        <v>9689035.8902000003</v>
      </c>
      <c r="O615" s="44"/>
      <c r="P615" s="68">
        <v>1272584.8299999998</v>
      </c>
      <c r="Q615" s="68"/>
      <c r="R615" s="68">
        <f>+AQ615+AR615</f>
        <v>787242.06</v>
      </c>
      <c r="S615" s="68">
        <f>+AS615</f>
        <v>4776120</v>
      </c>
      <c r="T615" s="68">
        <f>+'Приложение №2'!E615-'Приложение №1'!P615-'Приложение №1'!R615-'Приложение №1'!S615</f>
        <v>2853089.0001999997</v>
      </c>
      <c r="U615" s="68">
        <f t="shared" si="238"/>
        <v>7303.1098893495137</v>
      </c>
      <c r="V615" s="68">
        <v>1302.2830200640001</v>
      </c>
      <c r="W615" s="80">
        <v>2024</v>
      </c>
      <c r="X615" s="29" t="e">
        <f>+#REF!-'[1]Приложение №1'!$P423</f>
        <v>#REF!</v>
      </c>
      <c r="Z615" s="31">
        <f>SUM(AA615:AO615)</f>
        <v>10886557.18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/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9481690.5221497193</v>
      </c>
      <c r="AM615" s="27">
        <v>1088655.7180000001</v>
      </c>
      <c r="AN615" s="32">
        <v>108865.57180000001</v>
      </c>
      <c r="AO615" s="33">
        <v>207345.36805028003</v>
      </c>
      <c r="AP615" s="84">
        <f>+N615-'Приложение №2'!E615</f>
        <v>0</v>
      </c>
      <c r="AQ615" s="1">
        <v>651918.66</v>
      </c>
      <c r="AR615" s="1">
        <f>+(K615*10+L615*20)*12*0.85</f>
        <v>135323.4</v>
      </c>
      <c r="AS615" s="1">
        <f>+(K615*10+L615*20)*12*30</f>
        <v>4776120</v>
      </c>
      <c r="AT615" s="29">
        <f t="shared" si="240"/>
        <v>0</v>
      </c>
      <c r="AU615" s="29">
        <f>+P615-'[6]Приложение №1'!$P585</f>
        <v>0</v>
      </c>
      <c r="AV615" s="29">
        <f>+Q615-'[6]Приложение №1'!$Q585</f>
        <v>0</v>
      </c>
      <c r="AW615" s="29">
        <f>+R615-'[6]Приложение №1'!$R585</f>
        <v>0</v>
      </c>
      <c r="AX615" s="29">
        <f>+S615-'[6]Приложение №1'!$S585</f>
        <v>0</v>
      </c>
      <c r="AY615" s="29">
        <f>+T615-'[6]Приложение №1'!$T585</f>
        <v>0</v>
      </c>
    </row>
    <row r="616" spans="1:51" x14ac:dyDescent="0.25">
      <c r="A616" s="133">
        <f t="shared" si="243"/>
        <v>598</v>
      </c>
      <c r="B616" s="132">
        <f t="shared" si="243"/>
        <v>136</v>
      </c>
      <c r="C616" s="77" t="s">
        <v>72</v>
      </c>
      <c r="D616" s="77" t="s">
        <v>352</v>
      </c>
      <c r="E616" s="78">
        <v>1979</v>
      </c>
      <c r="F616" s="78">
        <v>2008</v>
      </c>
      <c r="G616" s="78" t="s">
        <v>51</v>
      </c>
      <c r="H616" s="78">
        <v>4</v>
      </c>
      <c r="I616" s="78">
        <v>1</v>
      </c>
      <c r="J616" s="44">
        <v>4953.1000000000004</v>
      </c>
      <c r="K616" s="44">
        <v>4344.8</v>
      </c>
      <c r="L616" s="44">
        <v>0</v>
      </c>
      <c r="M616" s="79">
        <v>210</v>
      </c>
      <c r="N616" s="129">
        <f t="shared" si="234"/>
        <v>25809972.036199998</v>
      </c>
      <c r="O616" s="44"/>
      <c r="P616" s="68">
        <v>2747451.5274999994</v>
      </c>
      <c r="Q616" s="68"/>
      <c r="R616" s="68">
        <f>+AQ616+AR616</f>
        <v>2248197.27</v>
      </c>
      <c r="S616" s="68">
        <f>+AS616</f>
        <v>15641280</v>
      </c>
      <c r="T616" s="68">
        <f>+'Приложение №2'!E616-'Приложение №1'!P616-'Приложение №1'!R616-'Приложение №1'!S616</f>
        <v>5173043.2386999987</v>
      </c>
      <c r="U616" s="68">
        <f t="shared" si="238"/>
        <v>5940.4281062879754</v>
      </c>
      <c r="V616" s="68">
        <v>1303.2830200640001</v>
      </c>
      <c r="W616" s="80">
        <v>2024</v>
      </c>
      <c r="X616" s="29" t="e">
        <f>+#REF!-'[1]Приложение №1'!$P1074</f>
        <v>#REF!</v>
      </c>
      <c r="Z616" s="31">
        <f>SUM(AA616:AO616)</f>
        <v>79806524.310000002</v>
      </c>
      <c r="AA616" s="27">
        <v>7307972.9825192997</v>
      </c>
      <c r="AB616" s="27">
        <v>4226400.5602551596</v>
      </c>
      <c r="AC616" s="27">
        <v>4467618.3252825597</v>
      </c>
      <c r="AD616" s="27">
        <v>3406596.95492088</v>
      </c>
      <c r="AE616" s="27">
        <v>1360865.74605282</v>
      </c>
      <c r="AF616" s="27"/>
      <c r="AG616" s="27">
        <v>363131.25296279998</v>
      </c>
      <c r="AH616" s="27">
        <v>0</v>
      </c>
      <c r="AI616" s="27">
        <v>13009304.578170599</v>
      </c>
      <c r="AJ616" s="27">
        <v>0</v>
      </c>
      <c r="AK616" s="27">
        <v>25257638.634625319</v>
      </c>
      <c r="AL616" s="27">
        <v>9933505.3301777989</v>
      </c>
      <c r="AM616" s="27">
        <v>8159251.6634999998</v>
      </c>
      <c r="AN616" s="32">
        <v>798065.24310000008</v>
      </c>
      <c r="AO616" s="33">
        <v>1516173.0384327602</v>
      </c>
      <c r="AP616" s="84">
        <f>+N616-'Приложение №2'!E616</f>
        <v>0</v>
      </c>
      <c r="AQ616" s="1">
        <f>1980485.86-175458.19</f>
        <v>1805027.6700000002</v>
      </c>
      <c r="AR616" s="1">
        <f>+(K616*10+L616*20)*12*0.85</f>
        <v>443169.6</v>
      </c>
      <c r="AS616" s="1">
        <f>+(K616*10+L616*20)*12*30</f>
        <v>15641280</v>
      </c>
      <c r="AT616" s="29">
        <f t="shared" si="240"/>
        <v>0</v>
      </c>
      <c r="AU616" s="29">
        <f>+P616-'[6]Приложение №1'!$P586</f>
        <v>0</v>
      </c>
      <c r="AV616" s="29">
        <f>+Q616-'[6]Приложение №1'!$Q586</f>
        <v>0</v>
      </c>
      <c r="AW616" s="29">
        <f>+R616-'[6]Приложение №1'!$R586</f>
        <v>0</v>
      </c>
      <c r="AX616" s="29">
        <f>+S616-'[6]Приложение №1'!$S586</f>
        <v>0</v>
      </c>
      <c r="AY616" s="29">
        <f>+T616-'[6]Приложение №1'!$T586</f>
        <v>0</v>
      </c>
    </row>
    <row r="617" spans="1:51" s="35" customFormat="1" x14ac:dyDescent="0.25">
      <c r="A617" s="133">
        <f t="shared" si="243"/>
        <v>599</v>
      </c>
      <c r="B617" s="132">
        <f t="shared" si="243"/>
        <v>137</v>
      </c>
      <c r="C617" s="77" t="s">
        <v>624</v>
      </c>
      <c r="D617" s="77" t="s">
        <v>663</v>
      </c>
      <c r="E617" s="78" t="s">
        <v>569</v>
      </c>
      <c r="F617" s="78"/>
      <c r="G617" s="78" t="s">
        <v>570</v>
      </c>
      <c r="H617" s="78" t="s">
        <v>571</v>
      </c>
      <c r="I617" s="78" t="s">
        <v>575</v>
      </c>
      <c r="J617" s="44">
        <v>5877.12</v>
      </c>
      <c r="K617" s="44">
        <v>5045.7</v>
      </c>
      <c r="L617" s="44">
        <v>0</v>
      </c>
      <c r="M617" s="79">
        <v>170</v>
      </c>
      <c r="N617" s="129">
        <f>SUM(O617:S617)</f>
        <v>10774080</v>
      </c>
      <c r="O617" s="44">
        <v>0</v>
      </c>
      <c r="P617" s="68">
        <f>+'Приложение №2'!E617-'Приложение №1'!R617</f>
        <v>7237936.3654399998</v>
      </c>
      <c r="Q617" s="68">
        <v>0</v>
      </c>
      <c r="R617" s="68">
        <v>3536143.6345600002</v>
      </c>
      <c r="S617" s="94"/>
      <c r="T617" s="94"/>
      <c r="U617" s="68">
        <f t="shared" si="238"/>
        <v>2135.2993638147336</v>
      </c>
      <c r="V617" s="68">
        <v>1304.2830200640001</v>
      </c>
      <c r="W617" s="80">
        <v>2024</v>
      </c>
      <c r="Y617" s="35">
        <f>+(K617*12.08+L617*20.47)*12</f>
        <v>731424.67200000002</v>
      </c>
      <c r="AA617" s="36">
        <f>+N617-'[5]Приложение № 2'!E552</f>
        <v>8888694.4000000004</v>
      </c>
      <c r="AD617" s="36">
        <f>+N617-'[5]Приложение № 2'!E552</f>
        <v>8888694.4000000004</v>
      </c>
      <c r="AP617" s="84">
        <f>+N617-'Приложение №2'!E617</f>
        <v>0</v>
      </c>
      <c r="AR617" s="1">
        <f>+(K617*13.29+L617*22.52)*12*0.85</f>
        <v>683985.0005999998</v>
      </c>
      <c r="AS617" s="1">
        <f>+(K617*13.29+L617*22.52)*12*30</f>
        <v>24140647.079999994</v>
      </c>
      <c r="AT617" s="29">
        <f t="shared" si="240"/>
        <v>-24140647.079999994</v>
      </c>
      <c r="AU617" s="29">
        <f>+P617-'[6]Приложение №1'!$P587</f>
        <v>0</v>
      </c>
      <c r="AV617" s="29">
        <f>+Q617-'[6]Приложение №1'!$Q587</f>
        <v>0</v>
      </c>
      <c r="AW617" s="29">
        <f>+R617-'[6]Приложение №1'!$R587</f>
        <v>0</v>
      </c>
      <c r="AX617" s="29">
        <f>+S617-'[6]Приложение №1'!$S587</f>
        <v>0</v>
      </c>
      <c r="AY617" s="29">
        <f>+T617-'[6]Приложение №1'!$T587</f>
        <v>0</v>
      </c>
    </row>
    <row r="618" spans="1:51" s="35" customFormat="1" x14ac:dyDescent="0.25">
      <c r="A618" s="133">
        <f t="shared" si="243"/>
        <v>600</v>
      </c>
      <c r="B618" s="132">
        <f t="shared" si="243"/>
        <v>138</v>
      </c>
      <c r="C618" s="77" t="s">
        <v>568</v>
      </c>
      <c r="D618" s="77" t="s">
        <v>664</v>
      </c>
      <c r="E618" s="78" t="s">
        <v>620</v>
      </c>
      <c r="F618" s="78"/>
      <c r="G618" s="78" t="s">
        <v>573</v>
      </c>
      <c r="H618" s="78" t="s">
        <v>571</v>
      </c>
      <c r="I618" s="78" t="s">
        <v>579</v>
      </c>
      <c r="J618" s="44">
        <v>10278.6</v>
      </c>
      <c r="K618" s="44">
        <v>9679.9</v>
      </c>
      <c r="L618" s="44">
        <v>0</v>
      </c>
      <c r="M618" s="79">
        <v>304</v>
      </c>
      <c r="N618" s="129">
        <f t="shared" ref="N618:N632" si="244">SUM(O618:T618)</f>
        <v>14412979.637864092</v>
      </c>
      <c r="O618" s="44">
        <v>0</v>
      </c>
      <c r="P618" s="68"/>
      <c r="Q618" s="68">
        <v>0</v>
      </c>
      <c r="R618" s="68">
        <f>+AQ618+AR618</f>
        <v>7110316.7841999996</v>
      </c>
      <c r="S618" s="68">
        <f>+'Приложение №2'!E618-'Приложение №1'!R618</f>
        <v>7302662.8536640927</v>
      </c>
      <c r="T618" s="68">
        <v>0</v>
      </c>
      <c r="U618" s="68">
        <f t="shared" si="238"/>
        <v>1488.9595592789278</v>
      </c>
      <c r="V618" s="68">
        <v>1305.2830200640001</v>
      </c>
      <c r="W618" s="80">
        <v>2024</v>
      </c>
      <c r="X618" s="35">
        <v>4555600.2300000004</v>
      </c>
      <c r="Y618" s="35">
        <f>+(K618*12.08+L618*20.47)*12</f>
        <v>1403198.304</v>
      </c>
      <c r="AA618" s="36">
        <f>+N618-'[5]Приложение № 2'!E553</f>
        <v>-22846477.170718953</v>
      </c>
      <c r="AD618" s="36">
        <f>+N618-'[5]Приложение № 2'!E553</f>
        <v>-22846477.170718953</v>
      </c>
      <c r="AP618" s="84">
        <f>+N618-'Приложение №2'!E618</f>
        <v>0</v>
      </c>
      <c r="AQ618" s="35">
        <v>5798128.9000000004</v>
      </c>
      <c r="AR618" s="1">
        <f>+(K618*13.29+L618*22.52)*12*0.85</f>
        <v>1312187.8841999997</v>
      </c>
      <c r="AS618" s="1">
        <f>+(K618*13.29+L618*22.52)*12*30</f>
        <v>46312513.559999995</v>
      </c>
      <c r="AT618" s="29">
        <f t="shared" si="240"/>
        <v>-39009850.706335902</v>
      </c>
      <c r="AU618" s="29">
        <f>+P618-'[6]Приложение №1'!$P588</f>
        <v>0</v>
      </c>
      <c r="AV618" s="29">
        <f>+Q618-'[6]Приложение №1'!$Q588</f>
        <v>0</v>
      </c>
      <c r="AW618" s="29">
        <f>+R618-'[6]Приложение №1'!$R588</f>
        <v>0</v>
      </c>
      <c r="AX618" s="29">
        <f>+S618-'[6]Приложение №1'!$S588</f>
        <v>0</v>
      </c>
      <c r="AY618" s="29">
        <f>+T618-'[6]Приложение №1'!$T588</f>
        <v>0</v>
      </c>
    </row>
    <row r="619" spans="1:51" x14ac:dyDescent="0.25">
      <c r="A619" s="133">
        <f t="shared" si="243"/>
        <v>601</v>
      </c>
      <c r="B619" s="132">
        <f t="shared" si="243"/>
        <v>139</v>
      </c>
      <c r="C619" s="77" t="s">
        <v>72</v>
      </c>
      <c r="D619" s="77" t="s">
        <v>353</v>
      </c>
      <c r="E619" s="78">
        <v>1981</v>
      </c>
      <c r="F619" s="78">
        <v>2013</v>
      </c>
      <c r="G619" s="78" t="s">
        <v>51</v>
      </c>
      <c r="H619" s="78">
        <v>5</v>
      </c>
      <c r="I619" s="78">
        <v>4</v>
      </c>
      <c r="J619" s="44">
        <v>4887.3</v>
      </c>
      <c r="K619" s="44">
        <v>4312.8999999999996</v>
      </c>
      <c r="L619" s="44">
        <v>0</v>
      </c>
      <c r="M619" s="79">
        <v>194</v>
      </c>
      <c r="N619" s="129">
        <f t="shared" si="244"/>
        <v>50111322.820000008</v>
      </c>
      <c r="O619" s="44"/>
      <c r="P619" s="68">
        <v>9934187.5640000012</v>
      </c>
      <c r="Q619" s="68"/>
      <c r="R619" s="68">
        <f>+AR619</f>
        <v>439915.8</v>
      </c>
      <c r="S619" s="68">
        <f>+AS619</f>
        <v>11789637.74</v>
      </c>
      <c r="T619" s="68">
        <f>+'Приложение №2'!E619-'Приложение №1'!P619-'Приложение №1'!R619-'Приложение №1'!S619</f>
        <v>27947581.716000006</v>
      </c>
      <c r="U619" s="68">
        <f t="shared" si="238"/>
        <v>11618.939187089896</v>
      </c>
      <c r="V619" s="68">
        <v>1306.2830200640001</v>
      </c>
      <c r="W619" s="80">
        <v>2024</v>
      </c>
      <c r="X619" s="29" t="e">
        <f>+#REF!-'[1]Приложение №1'!$P215</f>
        <v>#REF!</v>
      </c>
      <c r="Z619" s="31">
        <f t="shared" ref="Z619:Z631" si="245">SUM(AA619:AO619)</f>
        <v>78714458.100000009</v>
      </c>
      <c r="AA619" s="27">
        <v>7207971.2584861796</v>
      </c>
      <c r="AB619" s="27">
        <v>4168566.8282411997</v>
      </c>
      <c r="AC619" s="27">
        <v>4406483.7908326201</v>
      </c>
      <c r="AD619" s="27">
        <v>3359981.3480309998</v>
      </c>
      <c r="AE619" s="27">
        <v>1342243.77142212</v>
      </c>
      <c r="AF619" s="27"/>
      <c r="AG619" s="27">
        <v>358162.19323499996</v>
      </c>
      <c r="AH619" s="27">
        <v>0</v>
      </c>
      <c r="AI619" s="27">
        <v>12831286.273936201</v>
      </c>
      <c r="AJ619" s="27">
        <v>0</v>
      </c>
      <c r="AK619" s="27">
        <v>24912015.084657121</v>
      </c>
      <c r="AL619" s="27">
        <v>9797576.0184224993</v>
      </c>
      <c r="AM619" s="27">
        <v>8047601.1061000004</v>
      </c>
      <c r="AN619" s="32">
        <v>787144.58100000001</v>
      </c>
      <c r="AO619" s="33">
        <v>1495425.8456360602</v>
      </c>
      <c r="AP619" s="84">
        <f>+N619-'Приложение №2'!E619</f>
        <v>0</v>
      </c>
      <c r="AQ619" s="29">
        <f>1978942.68-R308</f>
        <v>1249062.01545712</v>
      </c>
      <c r="AR619" s="1">
        <f t="shared" ref="AR619:AR632" si="246">+(K619*10+L619*20)*12*0.85</f>
        <v>439915.8</v>
      </c>
      <c r="AS619" s="1">
        <f>+(K619*10+L619*20)*12*30-S308</f>
        <v>11789637.74</v>
      </c>
      <c r="AT619" s="29">
        <f t="shared" si="240"/>
        <v>0</v>
      </c>
      <c r="AU619" s="29">
        <f>+P619-'[6]Приложение №1'!$P589</f>
        <v>0</v>
      </c>
      <c r="AV619" s="29">
        <f>+Q619-'[6]Приложение №1'!$Q589</f>
        <v>0</v>
      </c>
      <c r="AW619" s="29">
        <f>+R619-'[6]Приложение №1'!$R589</f>
        <v>0</v>
      </c>
      <c r="AX619" s="29">
        <f>+S619-'[6]Приложение №1'!$S589</f>
        <v>0</v>
      </c>
      <c r="AY619" s="29">
        <f>+T619-'[6]Приложение №1'!$T589</f>
        <v>0</v>
      </c>
    </row>
    <row r="620" spans="1:51" x14ac:dyDescent="0.25">
      <c r="A620" s="133">
        <f t="shared" si="243"/>
        <v>602</v>
      </c>
      <c r="B620" s="132">
        <f t="shared" si="243"/>
        <v>140</v>
      </c>
      <c r="C620" s="77" t="s">
        <v>72</v>
      </c>
      <c r="D620" s="77" t="s">
        <v>357</v>
      </c>
      <c r="E620" s="78">
        <v>1965</v>
      </c>
      <c r="F620" s="78">
        <v>2013</v>
      </c>
      <c r="G620" s="78" t="s">
        <v>44</v>
      </c>
      <c r="H620" s="78">
        <v>4</v>
      </c>
      <c r="I620" s="78">
        <v>4</v>
      </c>
      <c r="J620" s="44">
        <v>1940.1</v>
      </c>
      <c r="K620" s="44">
        <v>1500.8</v>
      </c>
      <c r="L620" s="44">
        <v>439.3</v>
      </c>
      <c r="M620" s="79">
        <v>74</v>
      </c>
      <c r="N620" s="129">
        <f t="shared" si="244"/>
        <v>4386293.6030662553</v>
      </c>
      <c r="O620" s="44"/>
      <c r="P620" s="68"/>
      <c r="Q620" s="68"/>
      <c r="R620" s="68">
        <f>+AQ620+AR620</f>
        <v>695448.19</v>
      </c>
      <c r="S620" s="68">
        <f>+'Приложение №2'!E620-'Приложение №1'!R620</f>
        <v>3690845.4130662554</v>
      </c>
      <c r="T620" s="68">
        <v>1.1641532182693481E-10</v>
      </c>
      <c r="U620" s="68">
        <f t="shared" si="238"/>
        <v>2922.6369956464923</v>
      </c>
      <c r="V620" s="68">
        <v>1307.2830200640001</v>
      </c>
      <c r="W620" s="80">
        <v>2024</v>
      </c>
      <c r="X620" s="29" t="e">
        <f>+#REF!-'[1]Приложение №1'!$P1083</f>
        <v>#REF!</v>
      </c>
      <c r="Z620" s="31">
        <f t="shared" si="245"/>
        <v>4885248.5954377148</v>
      </c>
      <c r="AA620" s="27">
        <v>3936147.9321097154</v>
      </c>
      <c r="AB620" s="27">
        <v>0</v>
      </c>
      <c r="AC620" s="27">
        <v>0</v>
      </c>
      <c r="AD620" s="27">
        <v>0</v>
      </c>
      <c r="AE620" s="27">
        <v>687978.38608799991</v>
      </c>
      <c r="AF620" s="27"/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114738.14</v>
      </c>
      <c r="AN620" s="27">
        <v>45263.86</v>
      </c>
      <c r="AO620" s="33">
        <v>101120.27724</v>
      </c>
      <c r="AP620" s="84">
        <f>+N620-'Приложение №2'!E620</f>
        <v>0</v>
      </c>
      <c r="AQ620" s="1">
        <f>540010.2-87260.81</f>
        <v>452749.38999999996</v>
      </c>
      <c r="AR620" s="1">
        <f t="shared" si="246"/>
        <v>242698.8</v>
      </c>
      <c r="AS620" s="1">
        <f>+(K620*10+L620*20)*12*30</f>
        <v>8565840</v>
      </c>
      <c r="AT620" s="29">
        <f t="shared" si="240"/>
        <v>-4874994.5869337451</v>
      </c>
      <c r="AU620" s="29">
        <f>+P620-'[6]Приложение №1'!$P590</f>
        <v>0</v>
      </c>
      <c r="AV620" s="29">
        <f>+Q620-'[6]Приложение №1'!$Q590</f>
        <v>0</v>
      </c>
      <c r="AW620" s="29">
        <f>+R620-'[6]Приложение №1'!$R590</f>
        <v>0</v>
      </c>
      <c r="AX620" s="29">
        <f>+S620-'[6]Приложение №1'!$S590</f>
        <v>0</v>
      </c>
      <c r="AY620" s="29">
        <f>+T620-'[6]Приложение №1'!$T590</f>
        <v>0</v>
      </c>
    </row>
    <row r="621" spans="1:51" x14ac:dyDescent="0.25">
      <c r="A621" s="133">
        <f t="shared" si="243"/>
        <v>603</v>
      </c>
      <c r="B621" s="132">
        <f t="shared" si="243"/>
        <v>141</v>
      </c>
      <c r="C621" s="77" t="s">
        <v>72</v>
      </c>
      <c r="D621" s="77" t="s">
        <v>358</v>
      </c>
      <c r="E621" s="78">
        <v>1975</v>
      </c>
      <c r="F621" s="78">
        <v>2013</v>
      </c>
      <c r="G621" s="78" t="s">
        <v>44</v>
      </c>
      <c r="H621" s="78">
        <v>4</v>
      </c>
      <c r="I621" s="78">
        <v>3</v>
      </c>
      <c r="J621" s="44">
        <v>2508.8000000000002</v>
      </c>
      <c r="K621" s="44">
        <v>1514.2</v>
      </c>
      <c r="L621" s="44">
        <v>994.6</v>
      </c>
      <c r="M621" s="79">
        <v>75</v>
      </c>
      <c r="N621" s="129">
        <f t="shared" si="244"/>
        <v>4325520.6152716996</v>
      </c>
      <c r="O621" s="44"/>
      <c r="P621" s="68"/>
      <c r="Q621" s="68"/>
      <c r="R621" s="68">
        <f>+AQ621+AR621</f>
        <v>1308728.82</v>
      </c>
      <c r="S621" s="68">
        <f>+'Приложение №2'!E621-'Приложение №1'!R621</f>
        <v>3016791.7952716993</v>
      </c>
      <c r="T621" s="68">
        <v>0</v>
      </c>
      <c r="U621" s="68">
        <f t="shared" si="238"/>
        <v>2856.6375744760926</v>
      </c>
      <c r="V621" s="68">
        <v>1308.2830200640001</v>
      </c>
      <c r="W621" s="80">
        <v>2024</v>
      </c>
      <c r="X621" s="29" t="e">
        <f>+#REF!-'[1]Приложение №1'!$P1084</f>
        <v>#REF!</v>
      </c>
      <c r="Z621" s="31">
        <f t="shared" si="245"/>
        <v>4819950.573373301</v>
      </c>
      <c r="AA621" s="27">
        <v>3881391.7568713003</v>
      </c>
      <c r="AB621" s="27">
        <v>0</v>
      </c>
      <c r="AC621" s="27">
        <v>0</v>
      </c>
      <c r="AD621" s="27">
        <v>0</v>
      </c>
      <c r="AE621" s="27">
        <v>673980.27639599994</v>
      </c>
      <c r="AF621" s="27"/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119126.95999999999</v>
      </c>
      <c r="AN621" s="27">
        <v>45834.82</v>
      </c>
      <c r="AO621" s="33">
        <v>99616.760106000002</v>
      </c>
      <c r="AP621" s="84">
        <f>+N621-'Приложение №2'!E621</f>
        <v>0</v>
      </c>
      <c r="AQ621" s="1">
        <f>1043129.13-91747.11</f>
        <v>951382.02</v>
      </c>
      <c r="AR621" s="1">
        <f t="shared" si="246"/>
        <v>357346.8</v>
      </c>
      <c r="AS621" s="1">
        <f>+(K621*10+L621*20)*12*30</f>
        <v>12612240</v>
      </c>
      <c r="AT621" s="29">
        <f t="shared" si="240"/>
        <v>-9595448.2047283016</v>
      </c>
      <c r="AU621" s="29">
        <f>+P621-'[6]Приложение №1'!$P591</f>
        <v>0</v>
      </c>
      <c r="AV621" s="29">
        <f>+Q621-'[6]Приложение №1'!$Q591</f>
        <v>0</v>
      </c>
      <c r="AW621" s="29">
        <f>+R621-'[6]Приложение №1'!$R591</f>
        <v>0</v>
      </c>
      <c r="AX621" s="29">
        <f>+S621-'[6]Приложение №1'!$S591</f>
        <v>0</v>
      </c>
      <c r="AY621" s="29">
        <f>+T621-'[6]Приложение №1'!$T591</f>
        <v>0</v>
      </c>
    </row>
    <row r="622" spans="1:51" x14ac:dyDescent="0.25">
      <c r="A622" s="133">
        <f t="shared" si="243"/>
        <v>604</v>
      </c>
      <c r="B622" s="132">
        <f t="shared" si="243"/>
        <v>142</v>
      </c>
      <c r="C622" s="77" t="s">
        <v>72</v>
      </c>
      <c r="D622" s="77" t="s">
        <v>475</v>
      </c>
      <c r="E622" s="78">
        <v>1965</v>
      </c>
      <c r="F622" s="78">
        <v>2005</v>
      </c>
      <c r="G622" s="78" t="s">
        <v>44</v>
      </c>
      <c r="H622" s="78">
        <v>4</v>
      </c>
      <c r="I622" s="78">
        <v>4</v>
      </c>
      <c r="J622" s="44">
        <v>2661.8</v>
      </c>
      <c r="K622" s="44">
        <v>2220.4</v>
      </c>
      <c r="L622" s="44">
        <v>229.71</v>
      </c>
      <c r="M622" s="79">
        <v>111</v>
      </c>
      <c r="N622" s="129">
        <f t="shared" si="244"/>
        <v>38805142.746190399</v>
      </c>
      <c r="O622" s="44"/>
      <c r="P622" s="68">
        <v>4053855.5148114995</v>
      </c>
      <c r="Q622" s="68"/>
      <c r="R622" s="68">
        <v>0</v>
      </c>
      <c r="S622" s="68">
        <f>+AS622</f>
        <v>9647352</v>
      </c>
      <c r="T622" s="68">
        <f>+'Приложение №2'!E622-'Приложение №1'!P622-'Приложение №1'!Q622-'Приложение №1'!R622-'Приложение №1'!S622</f>
        <v>25103935.231378898</v>
      </c>
      <c r="U622" s="68">
        <f t="shared" si="238"/>
        <v>17476.645084755179</v>
      </c>
      <c r="V622" s="68">
        <v>1309.2830200640001</v>
      </c>
      <c r="W622" s="80">
        <v>2024</v>
      </c>
      <c r="X622" s="29" t="e">
        <f>+#REF!-'[1]Приложение №1'!$P1671</f>
        <v>#REF!</v>
      </c>
      <c r="Z622" s="31">
        <f t="shared" si="245"/>
        <v>26489548.390000001</v>
      </c>
      <c r="AA622" s="27">
        <v>5804794.2058142396</v>
      </c>
      <c r="AB622" s="27">
        <v>2068486.8169081199</v>
      </c>
      <c r="AC622" s="27">
        <v>2161108.4722953597</v>
      </c>
      <c r="AD622" s="27">
        <v>1352990.5470060001</v>
      </c>
      <c r="AE622" s="27">
        <v>827809.00358814001</v>
      </c>
      <c r="AF622" s="27"/>
      <c r="AG622" s="27">
        <v>222745.84764851996</v>
      </c>
      <c r="AH622" s="27">
        <v>0</v>
      </c>
      <c r="AI622" s="27">
        <v>10612047.031450199</v>
      </c>
      <c r="AJ622" s="27">
        <v>0</v>
      </c>
      <c r="AK622" s="27">
        <v>0</v>
      </c>
      <c r="AL622" s="27">
        <v>0</v>
      </c>
      <c r="AM622" s="27">
        <v>2670614.5608000001</v>
      </c>
      <c r="AN622" s="32">
        <v>264895.48389999999</v>
      </c>
      <c r="AO622" s="33">
        <v>504056.42058942007</v>
      </c>
      <c r="AP622" s="84">
        <f>+N622-'Приложение №2'!E622</f>
        <v>0</v>
      </c>
      <c r="AQ622" s="29">
        <f>1367704.99-R105</f>
        <v>-250412.20564000006</v>
      </c>
      <c r="AR622" s="1">
        <f t="shared" si="246"/>
        <v>273341.64</v>
      </c>
      <c r="AS622" s="1">
        <f>+(K622*10+L622*20)*12*30</f>
        <v>9647352</v>
      </c>
      <c r="AT622" s="29">
        <f t="shared" si="240"/>
        <v>0</v>
      </c>
      <c r="AU622" s="29">
        <f>+P622-'[6]Приложение №1'!$P592</f>
        <v>0</v>
      </c>
      <c r="AV622" s="29">
        <f>+Q622-'[6]Приложение №1'!$Q592</f>
        <v>0</v>
      </c>
      <c r="AW622" s="29">
        <f>+R622-'[6]Приложение №1'!$R592</f>
        <v>0</v>
      </c>
      <c r="AX622" s="29">
        <f>+S622-'[6]Приложение №1'!$S592</f>
        <v>0</v>
      </c>
      <c r="AY622" s="29">
        <f>+T622-'[6]Приложение №1'!$T592</f>
        <v>0</v>
      </c>
    </row>
    <row r="623" spans="1:51" x14ac:dyDescent="0.25">
      <c r="A623" s="133">
        <f t="shared" si="243"/>
        <v>605</v>
      </c>
      <c r="B623" s="132">
        <f t="shared" si="243"/>
        <v>143</v>
      </c>
      <c r="C623" s="77" t="s">
        <v>72</v>
      </c>
      <c r="D623" s="77" t="s">
        <v>360</v>
      </c>
      <c r="E623" s="78">
        <v>1978</v>
      </c>
      <c r="F623" s="78">
        <v>2013</v>
      </c>
      <c r="G623" s="78" t="s">
        <v>51</v>
      </c>
      <c r="H623" s="78">
        <v>4</v>
      </c>
      <c r="I623" s="78">
        <v>4</v>
      </c>
      <c r="J623" s="44">
        <v>3896.3</v>
      </c>
      <c r="K623" s="44">
        <v>3202.2</v>
      </c>
      <c r="L623" s="44">
        <v>496.4</v>
      </c>
      <c r="M623" s="79">
        <v>146</v>
      </c>
      <c r="N623" s="129">
        <f t="shared" si="244"/>
        <v>6411133.2599999998</v>
      </c>
      <c r="O623" s="44"/>
      <c r="P623" s="68"/>
      <c r="Q623" s="68"/>
      <c r="R623" s="68">
        <f>+AQ623+AR623</f>
        <v>1567951.74</v>
      </c>
      <c r="S623" s="68">
        <f>+'Приложение №2'!E623-'Приложение №1'!R623</f>
        <v>4843181.5199999996</v>
      </c>
      <c r="T623" s="68">
        <v>0</v>
      </c>
      <c r="U623" s="68">
        <f t="shared" si="238"/>
        <v>2002.1026981450254</v>
      </c>
      <c r="V623" s="68">
        <v>1310.2830200640001</v>
      </c>
      <c r="W623" s="80">
        <v>2024</v>
      </c>
      <c r="X623" s="29" t="e">
        <f>+#REF!-'[1]Приложение №1'!$P1086</f>
        <v>#REF!</v>
      </c>
      <c r="Z623" s="31">
        <f t="shared" si="245"/>
        <v>7985643.379999999</v>
      </c>
      <c r="AA623" s="27">
        <v>5709280.8574947594</v>
      </c>
      <c r="AB623" s="27">
        <v>0</v>
      </c>
      <c r="AC623" s="27">
        <v>0</v>
      </c>
      <c r="AD623" s="27">
        <v>0</v>
      </c>
      <c r="AE623" s="27">
        <v>1063162.7663680802</v>
      </c>
      <c r="AF623" s="27"/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985243.69680000003</v>
      </c>
      <c r="AN623" s="32">
        <v>79856.433799999999</v>
      </c>
      <c r="AO623" s="33">
        <v>148099.62553716</v>
      </c>
      <c r="AP623" s="84">
        <f>+N623-'Приложение №2'!E623</f>
        <v>0</v>
      </c>
      <c r="AQ623" s="1">
        <f>1243271.94-103210.2</f>
        <v>1140061.74</v>
      </c>
      <c r="AR623" s="1">
        <f t="shared" si="246"/>
        <v>427890</v>
      </c>
      <c r="AS623" s="1">
        <f>+(K623*10+L623*20)*12*30</f>
        <v>15102000</v>
      </c>
      <c r="AT623" s="29">
        <f t="shared" si="240"/>
        <v>-10258818.48</v>
      </c>
      <c r="AU623" s="29">
        <f>+P623-'[6]Приложение №1'!$P593</f>
        <v>0</v>
      </c>
      <c r="AV623" s="29">
        <f>+Q623-'[6]Приложение №1'!$Q593</f>
        <v>0</v>
      </c>
      <c r="AW623" s="29">
        <f>+R623-'[6]Приложение №1'!$R593</f>
        <v>0</v>
      </c>
      <c r="AX623" s="29">
        <f>+S623-'[6]Приложение №1'!$S593</f>
        <v>0</v>
      </c>
      <c r="AY623" s="29">
        <f>+T623-'[6]Приложение №1'!$T593</f>
        <v>0</v>
      </c>
    </row>
    <row r="624" spans="1:51" x14ac:dyDescent="0.25">
      <c r="A624" s="133">
        <f t="shared" si="243"/>
        <v>606</v>
      </c>
      <c r="B624" s="132">
        <f t="shared" si="243"/>
        <v>144</v>
      </c>
      <c r="C624" s="77" t="s">
        <v>72</v>
      </c>
      <c r="D624" s="77" t="s">
        <v>361</v>
      </c>
      <c r="E624" s="78">
        <v>1964</v>
      </c>
      <c r="F624" s="78">
        <v>2009</v>
      </c>
      <c r="G624" s="78" t="s">
        <v>44</v>
      </c>
      <c r="H624" s="78">
        <v>4</v>
      </c>
      <c r="I624" s="78">
        <v>2</v>
      </c>
      <c r="J624" s="44">
        <v>1462.3</v>
      </c>
      <c r="K624" s="44">
        <v>1198.5999999999999</v>
      </c>
      <c r="L624" s="44">
        <v>42.9</v>
      </c>
      <c r="M624" s="79">
        <v>60</v>
      </c>
      <c r="N624" s="129">
        <f t="shared" si="244"/>
        <v>19780526.76326644</v>
      </c>
      <c r="O624" s="44"/>
      <c r="P624" s="68">
        <v>3352595.9358166102</v>
      </c>
      <c r="Q624" s="68"/>
      <c r="R624" s="68">
        <f>+AQ624+AR624</f>
        <v>1864767.02</v>
      </c>
      <c r="S624" s="68">
        <f>+AS624</f>
        <v>4623840</v>
      </c>
      <c r="T624" s="68">
        <f>+'Приложение №2'!E624-'Приложение №1'!P624-'Приложение №1'!R624-'Приложение №1'!S624</f>
        <v>9939323.8074498307</v>
      </c>
      <c r="U624" s="68">
        <f t="shared" si="238"/>
        <v>16503.02583286037</v>
      </c>
      <c r="V624" s="68">
        <v>1311.2830200640001</v>
      </c>
      <c r="W624" s="80">
        <v>2024</v>
      </c>
      <c r="X624" s="29" t="e">
        <f>+#REF!-'[1]Приложение №1'!$P1087</f>
        <v>#REF!</v>
      </c>
      <c r="Z624" s="31">
        <f t="shared" si="245"/>
        <v>20418803.97526928</v>
      </c>
      <c r="AA624" s="27">
        <v>3233669.8007460004</v>
      </c>
      <c r="AB624" s="27">
        <v>1144519.81959</v>
      </c>
      <c r="AC624" s="27">
        <v>1220789.9808032832</v>
      </c>
      <c r="AD624" s="27">
        <v>768385.93582799996</v>
      </c>
      <c r="AE624" s="27">
        <v>553182.05875800003</v>
      </c>
      <c r="AF624" s="27"/>
      <c r="AG624" s="27">
        <v>117081.436122</v>
      </c>
      <c r="AH624" s="27">
        <v>0</v>
      </c>
      <c r="AI624" s="27">
        <v>5981715.0371580003</v>
      </c>
      <c r="AJ624" s="27">
        <v>0</v>
      </c>
      <c r="AK624" s="27">
        <v>3107129.5399619997</v>
      </c>
      <c r="AL624" s="27">
        <v>3344141.2588049173</v>
      </c>
      <c r="AM624" s="27">
        <v>451116.49</v>
      </c>
      <c r="AN624" s="27">
        <v>71289.704895854607</v>
      </c>
      <c r="AO624" s="33">
        <v>425782.9126012288</v>
      </c>
      <c r="AP624" s="84">
        <f>+N624-'Приложение №2'!E624</f>
        <v>0</v>
      </c>
      <c r="AQ624" s="1">
        <f>1820010.79-86252.57</f>
        <v>1733758.22</v>
      </c>
      <c r="AR624" s="1">
        <f t="shared" si="246"/>
        <v>131008.8</v>
      </c>
      <c r="AS624" s="1">
        <f>+(K624*10+L624*20)*12*30</f>
        <v>4623840</v>
      </c>
      <c r="AT624" s="29">
        <f t="shared" si="240"/>
        <v>0</v>
      </c>
      <c r="AU624" s="29">
        <f>+P624-'[6]Приложение №1'!$P594</f>
        <v>0</v>
      </c>
      <c r="AV624" s="29">
        <f>+Q624-'[6]Приложение №1'!$Q594</f>
        <v>0</v>
      </c>
      <c r="AW624" s="29">
        <f>+R624-'[6]Приложение №1'!$R594</f>
        <v>0</v>
      </c>
      <c r="AX624" s="29">
        <f>+S624-'[6]Приложение №1'!$S594</f>
        <v>0</v>
      </c>
      <c r="AY624" s="29">
        <f>+T624-'[6]Приложение №1'!$T594</f>
        <v>0</v>
      </c>
    </row>
    <row r="625" spans="1:51" x14ac:dyDescent="0.25">
      <c r="A625" s="133">
        <f t="shared" si="243"/>
        <v>607</v>
      </c>
      <c r="B625" s="132">
        <f t="shared" si="243"/>
        <v>145</v>
      </c>
      <c r="C625" s="77" t="s">
        <v>72</v>
      </c>
      <c r="D625" s="77" t="s">
        <v>199</v>
      </c>
      <c r="E625" s="78">
        <v>1972</v>
      </c>
      <c r="F625" s="78">
        <v>2013</v>
      </c>
      <c r="G625" s="78" t="s">
        <v>51</v>
      </c>
      <c r="H625" s="78">
        <v>4</v>
      </c>
      <c r="I625" s="78">
        <v>4</v>
      </c>
      <c r="J625" s="44">
        <v>4681.66</v>
      </c>
      <c r="K625" s="44">
        <v>3441.2</v>
      </c>
      <c r="L625" s="44">
        <v>0</v>
      </c>
      <c r="M625" s="79">
        <v>142</v>
      </c>
      <c r="N625" s="129">
        <f t="shared" si="244"/>
        <v>8007344.6621759981</v>
      </c>
      <c r="O625" s="44"/>
      <c r="P625" s="68"/>
      <c r="Q625" s="68"/>
      <c r="R625" s="68">
        <f>+AQ625+AR625</f>
        <v>669586.68582399981</v>
      </c>
      <c r="S625" s="68">
        <f>+'Приложение №2'!E625-'Приложение №1'!R625</f>
        <v>7337757.9763519987</v>
      </c>
      <c r="T625" s="68">
        <v>0</v>
      </c>
      <c r="U625" s="68">
        <f t="shared" si="238"/>
        <v>2326.9047605997903</v>
      </c>
      <c r="V625" s="68">
        <v>1312.2830200640001</v>
      </c>
      <c r="W625" s="80">
        <v>2024</v>
      </c>
      <c r="X625" s="29" t="e">
        <f>+#REF!-'[1]Приложение №1'!$P1166</f>
        <v>#REF!</v>
      </c>
      <c r="Z625" s="31">
        <f t="shared" si="245"/>
        <v>10554632.254175998</v>
      </c>
      <c r="AA625" s="27">
        <v>0</v>
      </c>
      <c r="AB625" s="27">
        <v>0</v>
      </c>
      <c r="AC625" s="27">
        <v>0</v>
      </c>
      <c r="AD625" s="27">
        <v>0</v>
      </c>
      <c r="AE625" s="27">
        <v>1346569.54</v>
      </c>
      <c r="AF625" s="27"/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7829891.4404087989</v>
      </c>
      <c r="AM625" s="27">
        <v>1108317.8799999999</v>
      </c>
      <c r="AN625" s="32">
        <v>92400.171999999991</v>
      </c>
      <c r="AO625" s="33">
        <v>177453.22176719998</v>
      </c>
      <c r="AP625" s="84">
        <f>+N625-'Приложение №2'!E625</f>
        <v>0</v>
      </c>
      <c r="AQ625" s="29">
        <f>1671383.18-R316</f>
        <v>318584.2858239999</v>
      </c>
      <c r="AR625" s="1">
        <f t="shared" si="246"/>
        <v>351002.39999999997</v>
      </c>
      <c r="AS625" s="1">
        <f>+(K625*10+L625*20)*12*30-S316</f>
        <v>12388320</v>
      </c>
      <c r="AT625" s="29">
        <f t="shared" si="240"/>
        <v>-5050562.0236480013</v>
      </c>
      <c r="AU625" s="29">
        <f>+P625-'[6]Приложение №1'!$P595</f>
        <v>0</v>
      </c>
      <c r="AV625" s="29">
        <f>+Q625-'[6]Приложение №1'!$Q595</f>
        <v>0</v>
      </c>
      <c r="AW625" s="29">
        <f>+R625-'[6]Приложение №1'!$R595</f>
        <v>0</v>
      </c>
      <c r="AX625" s="29">
        <f>+S625-'[6]Приложение №1'!$S595</f>
        <v>0</v>
      </c>
      <c r="AY625" s="29">
        <f>+T625-'[6]Приложение №1'!$T595</f>
        <v>0</v>
      </c>
    </row>
    <row r="626" spans="1:51" x14ac:dyDescent="0.25">
      <c r="A626" s="133">
        <f t="shared" ref="A626:B641" si="247">+A625+1</f>
        <v>608</v>
      </c>
      <c r="B626" s="132">
        <f t="shared" si="247"/>
        <v>146</v>
      </c>
      <c r="C626" s="77" t="s">
        <v>72</v>
      </c>
      <c r="D626" s="77" t="s">
        <v>365</v>
      </c>
      <c r="E626" s="78">
        <v>1988</v>
      </c>
      <c r="F626" s="78">
        <v>1988</v>
      </c>
      <c r="G626" s="78" t="s">
        <v>44</v>
      </c>
      <c r="H626" s="78">
        <v>4</v>
      </c>
      <c r="I626" s="78">
        <v>3</v>
      </c>
      <c r="J626" s="44">
        <v>2941.3</v>
      </c>
      <c r="K626" s="44">
        <v>2307</v>
      </c>
      <c r="L626" s="44">
        <v>634.29999999999995</v>
      </c>
      <c r="M626" s="79">
        <v>71</v>
      </c>
      <c r="N626" s="129">
        <f t="shared" si="244"/>
        <v>5881515.5899999999</v>
      </c>
      <c r="O626" s="44"/>
      <c r="P626" s="68"/>
      <c r="Q626" s="68"/>
      <c r="R626" s="68">
        <f>+AQ626+AR626</f>
        <v>2027468.3699999999</v>
      </c>
      <c r="S626" s="68">
        <f>+'Приложение №2'!E626-'Приложение №1'!R626</f>
        <v>3854047.2199999997</v>
      </c>
      <c r="T626" s="68">
        <v>0</v>
      </c>
      <c r="U626" s="68">
        <f t="shared" si="238"/>
        <v>2549.421582141309</v>
      </c>
      <c r="V626" s="68">
        <v>1313.2830200640001</v>
      </c>
      <c r="W626" s="80">
        <v>2024</v>
      </c>
      <c r="X626" s="29" t="e">
        <f>+#REF!-'[1]Приложение №1'!$P1092</f>
        <v>#REF!</v>
      </c>
      <c r="Z626" s="31">
        <f t="shared" si="245"/>
        <v>5881515.5899999999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/>
      <c r="AG626" s="27">
        <v>0</v>
      </c>
      <c r="AH626" s="27">
        <v>0</v>
      </c>
      <c r="AI626" s="27">
        <v>0</v>
      </c>
      <c r="AJ626" s="27">
        <v>0</v>
      </c>
      <c r="AK626" s="27">
        <v>5547799.158590666</v>
      </c>
      <c r="AL626" s="27">
        <v>0</v>
      </c>
      <c r="AM626" s="27">
        <v>176500.30000340639</v>
      </c>
      <c r="AN626" s="27">
        <v>35897</v>
      </c>
      <c r="AO626" s="33">
        <v>121319.13140592711</v>
      </c>
      <c r="AP626" s="84">
        <f>+N626-'Приложение №2'!E626</f>
        <v>0</v>
      </c>
      <c r="AQ626" s="1">
        <v>1662757.17</v>
      </c>
      <c r="AR626" s="1">
        <f t="shared" si="246"/>
        <v>364711.2</v>
      </c>
      <c r="AS626" s="1">
        <f>+(K626*10+L626*20)*12*30</f>
        <v>12872160</v>
      </c>
      <c r="AT626" s="29">
        <f t="shared" si="240"/>
        <v>-9018112.7800000012</v>
      </c>
      <c r="AU626" s="29">
        <f>+P626-'[6]Приложение №1'!$P596</f>
        <v>0</v>
      </c>
      <c r="AV626" s="29">
        <f>+Q626-'[6]Приложение №1'!$Q596</f>
        <v>0</v>
      </c>
      <c r="AW626" s="29">
        <f>+R626-'[6]Приложение №1'!$R596</f>
        <v>0</v>
      </c>
      <c r="AX626" s="29">
        <f>+S626-'[6]Приложение №1'!$S596</f>
        <v>0</v>
      </c>
      <c r="AY626" s="29">
        <f>+T626-'[6]Приложение №1'!$T596</f>
        <v>0</v>
      </c>
    </row>
    <row r="627" spans="1:51" x14ac:dyDescent="0.25">
      <c r="A627" s="133">
        <f t="shared" si="247"/>
        <v>609</v>
      </c>
      <c r="B627" s="132">
        <f t="shared" si="247"/>
        <v>147</v>
      </c>
      <c r="C627" s="77" t="s">
        <v>72</v>
      </c>
      <c r="D627" s="77" t="s">
        <v>366</v>
      </c>
      <c r="E627" s="78">
        <v>1980</v>
      </c>
      <c r="F627" s="78">
        <v>2008</v>
      </c>
      <c r="G627" s="78" t="s">
        <v>51</v>
      </c>
      <c r="H627" s="78">
        <v>5</v>
      </c>
      <c r="I627" s="78">
        <v>6</v>
      </c>
      <c r="J627" s="44">
        <v>7149.4</v>
      </c>
      <c r="K627" s="44">
        <v>6325.2</v>
      </c>
      <c r="L627" s="44">
        <v>0</v>
      </c>
      <c r="M627" s="79">
        <v>293</v>
      </c>
      <c r="N627" s="129">
        <f t="shared" si="244"/>
        <v>37045747.3191</v>
      </c>
      <c r="O627" s="44"/>
      <c r="P627" s="68">
        <v>8196713.8379999995</v>
      </c>
      <c r="Q627" s="68"/>
      <c r="R627" s="68">
        <f>+AR627</f>
        <v>645170.4</v>
      </c>
      <c r="S627" s="68"/>
      <c r="T627" s="68">
        <f>+'Приложение №2'!E627-'Приложение №1'!P627-'Приложение №1'!R627-'Приложение №1'!S627</f>
        <v>28203863.081100002</v>
      </c>
      <c r="U627" s="68">
        <f t="shared" si="238"/>
        <v>5856.8499524283816</v>
      </c>
      <c r="V627" s="68">
        <v>1314.2830200640001</v>
      </c>
      <c r="W627" s="80">
        <v>2024</v>
      </c>
      <c r="X627" s="29" t="e">
        <f>+#REF!-'[1]Приложение №1'!$P1436</f>
        <v>#REF!</v>
      </c>
      <c r="Z627" s="31">
        <f t="shared" si="245"/>
        <v>114548451.67</v>
      </c>
      <c r="AA627" s="27">
        <v>10489330.258041179</v>
      </c>
      <c r="AB627" s="27">
        <v>6066266.4462859211</v>
      </c>
      <c r="AC627" s="27">
        <v>6412492.7922270596</v>
      </c>
      <c r="AD627" s="27">
        <v>4889580.2685996005</v>
      </c>
      <c r="AE627" s="27">
        <v>1953287.2251610199</v>
      </c>
      <c r="AF627" s="27"/>
      <c r="AG627" s="27">
        <v>521212.05792599992</v>
      </c>
      <c r="AH627" s="27">
        <v>0</v>
      </c>
      <c r="AI627" s="27">
        <v>18672604.894377001</v>
      </c>
      <c r="AJ627" s="27">
        <v>0</v>
      </c>
      <c r="AK627" s="27">
        <v>36252968.326471262</v>
      </c>
      <c r="AL627" s="27">
        <v>14257827.475101</v>
      </c>
      <c r="AM627" s="27">
        <v>11711193.4519</v>
      </c>
      <c r="AN627" s="32">
        <v>1145484.5167</v>
      </c>
      <c r="AO627" s="33">
        <v>2176203.9572099601</v>
      </c>
      <c r="AP627" s="84">
        <f>+N627-'Приложение №2'!E627</f>
        <v>0</v>
      </c>
      <c r="AQ627" s="1">
        <v>3044323.81</v>
      </c>
      <c r="AR627" s="1">
        <f t="shared" si="246"/>
        <v>645170.4</v>
      </c>
      <c r="AS627" s="1">
        <f>+(K627*10+L627*20)*12*30</f>
        <v>22770720</v>
      </c>
      <c r="AT627" s="29">
        <f t="shared" si="240"/>
        <v>-22770720</v>
      </c>
      <c r="AU627" s="29">
        <f>+P627-'[6]Приложение №1'!$P597</f>
        <v>0</v>
      </c>
      <c r="AV627" s="29">
        <f>+Q627-'[6]Приложение №1'!$Q597</f>
        <v>0</v>
      </c>
      <c r="AW627" s="29">
        <f>+R627-'[6]Приложение №1'!$R597</f>
        <v>0</v>
      </c>
      <c r="AX627" s="29">
        <f>+S627-'[6]Приложение №1'!$S597</f>
        <v>0</v>
      </c>
      <c r="AY627" s="29">
        <f>+T627-'[6]Приложение №1'!$T597</f>
        <v>0</v>
      </c>
    </row>
    <row r="628" spans="1:51" x14ac:dyDescent="0.25">
      <c r="A628" s="133">
        <f t="shared" si="247"/>
        <v>610</v>
      </c>
      <c r="B628" s="132">
        <f t="shared" si="247"/>
        <v>148</v>
      </c>
      <c r="C628" s="77" t="s">
        <v>72</v>
      </c>
      <c r="D628" s="77" t="s">
        <v>205</v>
      </c>
      <c r="E628" s="78">
        <v>1994</v>
      </c>
      <c r="F628" s="78">
        <v>2013</v>
      </c>
      <c r="G628" s="78" t="s">
        <v>44</v>
      </c>
      <c r="H628" s="78">
        <v>4</v>
      </c>
      <c r="I628" s="78">
        <v>2</v>
      </c>
      <c r="J628" s="44">
        <v>1882.24</v>
      </c>
      <c r="K628" s="44">
        <v>1768.8</v>
      </c>
      <c r="L628" s="44">
        <v>0</v>
      </c>
      <c r="M628" s="79">
        <v>61</v>
      </c>
      <c r="N628" s="129">
        <f t="shared" si="244"/>
        <v>1573497.0647</v>
      </c>
      <c r="O628" s="44"/>
      <c r="P628" s="68"/>
      <c r="Q628" s="68"/>
      <c r="R628" s="68">
        <f>+AQ628+AR628</f>
        <v>991969.75</v>
      </c>
      <c r="S628" s="68">
        <f>+'Приложение №2'!E628-'Приложение №1'!R628</f>
        <v>581527.31469999999</v>
      </c>
      <c r="T628" s="68">
        <v>0</v>
      </c>
      <c r="U628" s="68">
        <f t="shared" si="238"/>
        <v>889.58450062189058</v>
      </c>
      <c r="V628" s="68">
        <v>1315.2830200640001</v>
      </c>
      <c r="W628" s="80">
        <v>2024</v>
      </c>
      <c r="X628" s="29" t="e">
        <f>+#REF!-'[1]Приложение №1'!$P692</f>
        <v>#REF!</v>
      </c>
      <c r="Z628" s="31">
        <f t="shared" si="245"/>
        <v>6275488.2600000007</v>
      </c>
      <c r="AA628" s="27">
        <v>0</v>
      </c>
      <c r="AB628" s="27">
        <v>0</v>
      </c>
      <c r="AC628" s="27">
        <v>1539824.2275154199</v>
      </c>
      <c r="AD628" s="27">
        <v>0</v>
      </c>
      <c r="AE628" s="27">
        <v>0</v>
      </c>
      <c r="AF628" s="27"/>
      <c r="AG628" s="27">
        <v>0</v>
      </c>
      <c r="AH628" s="27">
        <v>0</v>
      </c>
      <c r="AI628" s="27">
        <v>0</v>
      </c>
      <c r="AJ628" s="27">
        <v>0</v>
      </c>
      <c r="AK628" s="27">
        <v>3925837.3744846201</v>
      </c>
      <c r="AL628" s="27">
        <v>0</v>
      </c>
      <c r="AM628" s="27">
        <v>627548.82600000012</v>
      </c>
      <c r="AN628" s="32">
        <v>62754.882599999997</v>
      </c>
      <c r="AO628" s="33">
        <v>119522.94939995998</v>
      </c>
      <c r="AP628" s="84">
        <f>+N628-'Приложение №2'!E628</f>
        <v>0</v>
      </c>
      <c r="AQ628" s="1">
        <v>811552.15</v>
      </c>
      <c r="AR628" s="1">
        <f t="shared" si="246"/>
        <v>180417.6</v>
      </c>
      <c r="AS628" s="1">
        <f>+(K628*10+L628*20)*12*30</f>
        <v>6367680</v>
      </c>
      <c r="AT628" s="29">
        <f t="shared" si="240"/>
        <v>-5786152.6853</v>
      </c>
      <c r="AU628" s="29">
        <f>+P628-'[6]Приложение №1'!$P598</f>
        <v>0</v>
      </c>
      <c r="AV628" s="29">
        <f>+Q628-'[6]Приложение №1'!$Q598</f>
        <v>0</v>
      </c>
      <c r="AW628" s="29">
        <f>+R628-'[6]Приложение №1'!$R598</f>
        <v>0</v>
      </c>
      <c r="AX628" s="29">
        <f>+S628-'[6]Приложение №1'!$S598</f>
        <v>0</v>
      </c>
      <c r="AY628" s="29">
        <f>+T628-'[6]Приложение №1'!$T598</f>
        <v>0</v>
      </c>
    </row>
    <row r="629" spans="1:51" x14ac:dyDescent="0.25">
      <c r="A629" s="133">
        <f t="shared" si="247"/>
        <v>611</v>
      </c>
      <c r="B629" s="132">
        <f t="shared" si="247"/>
        <v>149</v>
      </c>
      <c r="C629" s="77" t="s">
        <v>72</v>
      </c>
      <c r="D629" s="77" t="s">
        <v>369</v>
      </c>
      <c r="E629" s="78">
        <v>1993</v>
      </c>
      <c r="F629" s="78">
        <v>2013</v>
      </c>
      <c r="G629" s="78" t="s">
        <v>44</v>
      </c>
      <c r="H629" s="78">
        <v>5</v>
      </c>
      <c r="I629" s="78">
        <v>2</v>
      </c>
      <c r="J629" s="44">
        <v>2382.6999999999998</v>
      </c>
      <c r="K629" s="44">
        <v>2177.75</v>
      </c>
      <c r="L629" s="44">
        <v>0</v>
      </c>
      <c r="M629" s="79">
        <v>103</v>
      </c>
      <c r="N629" s="129">
        <f t="shared" si="244"/>
        <v>1136857.68</v>
      </c>
      <c r="O629" s="44"/>
      <c r="P629" s="68"/>
      <c r="Q629" s="68"/>
      <c r="R629" s="68">
        <f>+'Приложение №2'!E629</f>
        <v>1136857.68</v>
      </c>
      <c r="S629" s="68">
        <f>+'Приложение №2'!E629-'Приложение №1'!R629</f>
        <v>0</v>
      </c>
      <c r="T629" s="68">
        <v>0</v>
      </c>
      <c r="U629" s="68">
        <f t="shared" si="238"/>
        <v>522.03314430030991</v>
      </c>
      <c r="V629" s="68">
        <v>1316.2830200640001</v>
      </c>
      <c r="W629" s="80">
        <v>2024</v>
      </c>
      <c r="X629" s="29" t="e">
        <f>+#REF!-'[1]Приложение №1'!$P1484</f>
        <v>#REF!</v>
      </c>
      <c r="Z629" s="31">
        <f t="shared" si="245"/>
        <v>1112857.68</v>
      </c>
      <c r="AA629" s="27">
        <v>0</v>
      </c>
      <c r="AB629" s="27">
        <v>0</v>
      </c>
      <c r="AC629" s="27">
        <v>0</v>
      </c>
      <c r="AD629" s="27">
        <v>0</v>
      </c>
      <c r="AE629" s="27">
        <v>974016.82475999987</v>
      </c>
      <c r="AF629" s="27"/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89216.27</v>
      </c>
      <c r="AN629" s="27">
        <v>28324.81</v>
      </c>
      <c r="AO629" s="33">
        <v>21299.775239999999</v>
      </c>
      <c r="AP629" s="84">
        <f>+N629-'Приложение №2'!E629</f>
        <v>0</v>
      </c>
      <c r="AQ629" s="1">
        <v>1043569.01</v>
      </c>
      <c r="AR629" s="1">
        <f t="shared" si="246"/>
        <v>222130.5</v>
      </c>
      <c r="AS629" s="1">
        <f>+(K629*10+L629*20)*12*30</f>
        <v>7839900</v>
      </c>
      <c r="AT629" s="29">
        <f t="shared" si="240"/>
        <v>-7839900</v>
      </c>
      <c r="AU629" s="29">
        <f>+P629-'[6]Приложение №1'!$P599</f>
        <v>0</v>
      </c>
      <c r="AV629" s="29">
        <f>+Q629-'[6]Приложение №1'!$Q599</f>
        <v>0</v>
      </c>
      <c r="AW629" s="29">
        <f>+R629-'[6]Приложение №1'!$R599</f>
        <v>0</v>
      </c>
      <c r="AX629" s="29">
        <f>+S629-'[6]Приложение №1'!$S599</f>
        <v>0</v>
      </c>
      <c r="AY629" s="29">
        <f>+T629-'[6]Приложение №1'!$T599</f>
        <v>0</v>
      </c>
    </row>
    <row r="630" spans="1:51" x14ac:dyDescent="0.25">
      <c r="A630" s="133">
        <f t="shared" si="247"/>
        <v>612</v>
      </c>
      <c r="B630" s="132">
        <f t="shared" si="247"/>
        <v>150</v>
      </c>
      <c r="C630" s="77" t="s">
        <v>72</v>
      </c>
      <c r="D630" s="77" t="s">
        <v>370</v>
      </c>
      <c r="E630" s="78">
        <v>1968</v>
      </c>
      <c r="F630" s="78">
        <v>2013</v>
      </c>
      <c r="G630" s="78" t="s">
        <v>44</v>
      </c>
      <c r="H630" s="78">
        <v>4</v>
      </c>
      <c r="I630" s="78">
        <v>4</v>
      </c>
      <c r="J630" s="44">
        <v>2661.8</v>
      </c>
      <c r="K630" s="44">
        <v>2457.1999999999998</v>
      </c>
      <c r="L630" s="44">
        <v>0</v>
      </c>
      <c r="M630" s="79">
        <v>113</v>
      </c>
      <c r="N630" s="129">
        <f t="shared" si="244"/>
        <v>2536945.4940698305</v>
      </c>
      <c r="O630" s="44"/>
      <c r="P630" s="68"/>
      <c r="Q630" s="68"/>
      <c r="R630" s="68">
        <f>+AQ630+AR630</f>
        <v>1428033.91</v>
      </c>
      <c r="S630" s="68">
        <f>+'Приложение №2'!E630-'Приложение №1'!R630</f>
        <v>1108911.5840698306</v>
      </c>
      <c r="T630" s="68">
        <v>0</v>
      </c>
      <c r="U630" s="68">
        <f t="shared" si="238"/>
        <v>1032.4538068003544</v>
      </c>
      <c r="V630" s="68">
        <v>1317.2830200640001</v>
      </c>
      <c r="W630" s="80">
        <v>2024</v>
      </c>
      <c r="X630" s="29" t="e">
        <f>+#REF!-'[1]Приложение №1'!$P1098</f>
        <v>#REF!</v>
      </c>
      <c r="Z630" s="31">
        <f t="shared" si="245"/>
        <v>3827984.7964527905</v>
      </c>
      <c r="AA630" s="27">
        <v>0</v>
      </c>
      <c r="AB630" s="27">
        <v>2230881.5159207908</v>
      </c>
      <c r="AC630" s="27">
        <v>0</v>
      </c>
      <c r="AD630" s="27">
        <v>0</v>
      </c>
      <c r="AE630" s="27">
        <v>1122695.9924879998</v>
      </c>
      <c r="AF630" s="27"/>
      <c r="AG630" s="27">
        <v>226983.177624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128061.95</v>
      </c>
      <c r="AN630" s="27">
        <v>41062.550000000003</v>
      </c>
      <c r="AO630" s="33">
        <v>78299.610419999997</v>
      </c>
      <c r="AP630" s="84">
        <f>+N630-'Приложение №2'!E630</f>
        <v>0</v>
      </c>
      <c r="AQ630" s="1">
        <v>1177399.51</v>
      </c>
      <c r="AR630" s="1">
        <f t="shared" si="246"/>
        <v>250634.4</v>
      </c>
      <c r="AS630" s="1">
        <f>+(K630*10+L630*20)*12*30</f>
        <v>8845920</v>
      </c>
      <c r="AT630" s="29">
        <f t="shared" si="240"/>
        <v>-7737008.4159301696</v>
      </c>
      <c r="AU630" s="29">
        <f>+P630-'[6]Приложение №1'!$P600</f>
        <v>0</v>
      </c>
      <c r="AV630" s="29">
        <f>+Q630-'[6]Приложение №1'!$Q600</f>
        <v>0</v>
      </c>
      <c r="AW630" s="29">
        <f>+R630-'[6]Приложение №1'!$R600</f>
        <v>0</v>
      </c>
      <c r="AX630" s="29">
        <f>+S630-'[6]Приложение №1'!$S600</f>
        <v>0</v>
      </c>
      <c r="AY630" s="29">
        <f>+T630-'[6]Приложение №1'!$T600</f>
        <v>0</v>
      </c>
    </row>
    <row r="631" spans="1:51" x14ac:dyDescent="0.25">
      <c r="A631" s="133">
        <f t="shared" si="247"/>
        <v>613</v>
      </c>
      <c r="B631" s="132">
        <f t="shared" si="247"/>
        <v>151</v>
      </c>
      <c r="C631" s="77" t="s">
        <v>72</v>
      </c>
      <c r="D631" s="77" t="s">
        <v>207</v>
      </c>
      <c r="E631" s="78">
        <v>1973</v>
      </c>
      <c r="F631" s="78">
        <v>2011</v>
      </c>
      <c r="G631" s="78" t="s">
        <v>44</v>
      </c>
      <c r="H631" s="78">
        <v>5</v>
      </c>
      <c r="I631" s="78">
        <v>4</v>
      </c>
      <c r="J631" s="44">
        <v>3343.7</v>
      </c>
      <c r="K631" s="44">
        <v>3061.9</v>
      </c>
      <c r="L631" s="44">
        <v>0</v>
      </c>
      <c r="M631" s="79">
        <v>160</v>
      </c>
      <c r="N631" s="129">
        <f t="shared" si="244"/>
        <v>2783871.0411000005</v>
      </c>
      <c r="O631" s="44"/>
      <c r="P631" s="68">
        <v>703831.2975000001</v>
      </c>
      <c r="Q631" s="68"/>
      <c r="R631" s="68">
        <f>+AR631</f>
        <v>312313.8</v>
      </c>
      <c r="S631" s="68">
        <f>+'Приложение №2'!E631-'Приложение №1'!P631-R631</f>
        <v>1767725.9436000003</v>
      </c>
      <c r="T631" s="68">
        <f>+'Приложение №2'!E631-'Приложение №1'!P631-'Приложение №1'!Q631-'Приложение №1'!R631-'Приложение №1'!S631</f>
        <v>0</v>
      </c>
      <c r="U631" s="68">
        <f t="shared" si="238"/>
        <v>909.19724390084605</v>
      </c>
      <c r="V631" s="68">
        <v>1318.2830200640001</v>
      </c>
      <c r="W631" s="80">
        <v>2024</v>
      </c>
      <c r="X631" s="29" t="e">
        <f>+#REF!-'[1]Приложение №1'!$P1178</f>
        <v>#REF!</v>
      </c>
      <c r="Z631" s="31">
        <f t="shared" si="245"/>
        <v>26291754.259999998</v>
      </c>
      <c r="AA631" s="27">
        <v>0</v>
      </c>
      <c r="AB631" s="27">
        <v>0</v>
      </c>
      <c r="AC631" s="27">
        <v>2724296.2008204604</v>
      </c>
      <c r="AD631" s="27">
        <v>0</v>
      </c>
      <c r="AE631" s="27">
        <v>0</v>
      </c>
      <c r="AF631" s="27"/>
      <c r="AG631" s="27">
        <v>0</v>
      </c>
      <c r="AH631" s="27">
        <v>0</v>
      </c>
      <c r="AI631" s="27">
        <v>13377560.538169799</v>
      </c>
      <c r="AJ631" s="27">
        <v>0</v>
      </c>
      <c r="AK631" s="27">
        <v>6945691.3623090005</v>
      </c>
      <c r="AL631" s="27">
        <v>0</v>
      </c>
      <c r="AM631" s="27">
        <v>2477285.4183</v>
      </c>
      <c r="AN631" s="32">
        <v>262917.54259999999</v>
      </c>
      <c r="AO631" s="33">
        <v>504003.19780074002</v>
      </c>
      <c r="AP631" s="84">
        <f>+N631-'Приложение №2'!E631</f>
        <v>0</v>
      </c>
      <c r="AQ631" s="29">
        <f>1384488.01-R330</f>
        <v>-312313.80000000005</v>
      </c>
      <c r="AR631" s="1">
        <f t="shared" si="246"/>
        <v>312313.8</v>
      </c>
      <c r="AS631" s="1">
        <f>+(K631*10+L631*20)*12*30-S330</f>
        <v>5652010.7351698</v>
      </c>
      <c r="AT631" s="29">
        <f t="shared" si="240"/>
        <v>-3884284.7915697997</v>
      </c>
      <c r="AU631" s="29">
        <f>+P631-'[6]Приложение №1'!$P601</f>
        <v>0</v>
      </c>
      <c r="AV631" s="29">
        <f>+Q631-'[6]Приложение №1'!$Q601</f>
        <v>0</v>
      </c>
      <c r="AW631" s="29">
        <f>+R631-'[6]Приложение №1'!$R601</f>
        <v>0</v>
      </c>
      <c r="AX631" s="29">
        <f>+S631-'[6]Приложение №1'!$S601</f>
        <v>0</v>
      </c>
      <c r="AY631" s="29">
        <f>+T631-'[6]Приложение №1'!$T601</f>
        <v>0</v>
      </c>
    </row>
    <row r="632" spans="1:51" s="35" customFormat="1" x14ac:dyDescent="0.25">
      <c r="A632" s="133">
        <f t="shared" si="247"/>
        <v>614</v>
      </c>
      <c r="B632" s="132">
        <f t="shared" si="247"/>
        <v>152</v>
      </c>
      <c r="C632" s="77" t="s">
        <v>568</v>
      </c>
      <c r="D632" s="77" t="s">
        <v>696</v>
      </c>
      <c r="E632" s="78" t="s">
        <v>585</v>
      </c>
      <c r="F632" s="78"/>
      <c r="G632" s="78" t="s">
        <v>573</v>
      </c>
      <c r="H632" s="78" t="s">
        <v>582</v>
      </c>
      <c r="I632" s="78" t="s">
        <v>579</v>
      </c>
      <c r="J632" s="44">
        <v>4845.3999999999996</v>
      </c>
      <c r="K632" s="44">
        <v>4280.6000000000004</v>
      </c>
      <c r="L632" s="44">
        <v>0</v>
      </c>
      <c r="M632" s="79">
        <v>179</v>
      </c>
      <c r="N632" s="129">
        <f t="shared" si="244"/>
        <v>1970236.371824</v>
      </c>
      <c r="O632" s="44">
        <v>0</v>
      </c>
      <c r="P632" s="68"/>
      <c r="Q632" s="68">
        <v>0</v>
      </c>
      <c r="R632" s="68">
        <f>+'Приложение №2'!E632</f>
        <v>1970236.371824</v>
      </c>
      <c r="S632" s="68">
        <f>+'Приложение №2'!E632-'Приложение №1'!R632</f>
        <v>0</v>
      </c>
      <c r="T632" s="68">
        <v>0</v>
      </c>
      <c r="U632" s="68">
        <f t="shared" si="238"/>
        <v>460.27107691071342</v>
      </c>
      <c r="V632" s="68">
        <v>1319.2830200640001</v>
      </c>
      <c r="W632" s="80">
        <v>2024</v>
      </c>
      <c r="X632" s="35">
        <v>1666495.72</v>
      </c>
      <c r="Y632" s="35">
        <f>+(K632*9.1+L632*18.19)*12</f>
        <v>467441.52</v>
      </c>
      <c r="AA632" s="36">
        <f>+N632-'[5]Приложение № 2'!E567</f>
        <v>-2074232.6981760003</v>
      </c>
      <c r="AD632" s="36">
        <f>+N632-'[5]Приложение № 2'!E567</f>
        <v>-2074232.6981760003</v>
      </c>
      <c r="AP632" s="84">
        <f>+N632-'Приложение №2'!E632</f>
        <v>0</v>
      </c>
      <c r="AQ632" s="35">
        <v>2073658.7</v>
      </c>
      <c r="AR632" s="1">
        <f t="shared" si="246"/>
        <v>436621.2</v>
      </c>
      <c r="AS632" s="1">
        <f>+(K632*10+L632*20)*12*30</f>
        <v>15410160</v>
      </c>
      <c r="AT632" s="29">
        <f t="shared" si="240"/>
        <v>-15410160</v>
      </c>
      <c r="AU632" s="29">
        <f>+P632-'[6]Приложение №1'!$P602</f>
        <v>0</v>
      </c>
      <c r="AV632" s="29">
        <f>+Q632-'[6]Приложение №1'!$Q602</f>
        <v>0</v>
      </c>
      <c r="AW632" s="29">
        <f>+R632-'[6]Приложение №1'!$R602</f>
        <v>0</v>
      </c>
      <c r="AX632" s="29">
        <f>+S632-'[6]Приложение №1'!$S602</f>
        <v>0</v>
      </c>
      <c r="AY632" s="29">
        <f>+T632-'[6]Приложение №1'!$T602</f>
        <v>0</v>
      </c>
    </row>
    <row r="633" spans="1:51" s="35" customFormat="1" x14ac:dyDescent="0.25">
      <c r="A633" s="133">
        <f t="shared" si="247"/>
        <v>615</v>
      </c>
      <c r="B633" s="132">
        <f t="shared" si="247"/>
        <v>153</v>
      </c>
      <c r="C633" s="77" t="s">
        <v>624</v>
      </c>
      <c r="D633" s="77" t="s">
        <v>697</v>
      </c>
      <c r="E633" s="78" t="s">
        <v>569</v>
      </c>
      <c r="F633" s="78"/>
      <c r="G633" s="78" t="s">
        <v>570</v>
      </c>
      <c r="H633" s="78" t="s">
        <v>571</v>
      </c>
      <c r="I633" s="78" t="s">
        <v>572</v>
      </c>
      <c r="J633" s="44">
        <v>6086.8</v>
      </c>
      <c r="K633" s="44">
        <v>4850.1000000000004</v>
      </c>
      <c r="L633" s="44">
        <v>66.400000000000006</v>
      </c>
      <c r="M633" s="79">
        <v>164</v>
      </c>
      <c r="N633" s="129">
        <f>SUM(O633:S633)</f>
        <v>7182720</v>
      </c>
      <c r="O633" s="44">
        <v>0</v>
      </c>
      <c r="P633" s="68">
        <f>+'Приложение №2'!E633-'Приложение №1'!R633</f>
        <v>3904301.1978000002</v>
      </c>
      <c r="Q633" s="68">
        <v>0</v>
      </c>
      <c r="R633" s="68">
        <v>3278418.8021999998</v>
      </c>
      <c r="S633" s="94"/>
      <c r="T633" s="94"/>
      <c r="U633" s="68">
        <f t="shared" si="238"/>
        <v>1480.9426609760621</v>
      </c>
      <c r="V633" s="68">
        <v>1320.2830200640001</v>
      </c>
      <c r="W633" s="80">
        <v>2024</v>
      </c>
      <c r="Y633" s="35">
        <f>+(K633*12.08+L633*20.47)*12</f>
        <v>719380.99200000009</v>
      </c>
      <c r="AA633" s="36">
        <f>+N633-'[5]Приложение № 2'!E568</f>
        <v>3049590.47</v>
      </c>
      <c r="AD633" s="36">
        <f>+N633-'[5]Приложение № 2'!E568</f>
        <v>3049590.47</v>
      </c>
      <c r="AP633" s="84">
        <f>+N633-'Приложение №2'!E633</f>
        <v>0</v>
      </c>
      <c r="AR633" s="1">
        <f>+(K633*13.29+L633*22.52)*12*0.85</f>
        <v>672722.2013999999</v>
      </c>
      <c r="AS633" s="1">
        <f>+(K633*13.29+L633*22.52)*12*30</f>
        <v>23743136.519999996</v>
      </c>
      <c r="AT633" s="29">
        <f t="shared" si="240"/>
        <v>-23743136.519999996</v>
      </c>
      <c r="AU633" s="29">
        <f>+P633-'[6]Приложение №1'!$P603</f>
        <v>0</v>
      </c>
      <c r="AV633" s="29">
        <f>+Q633-'[6]Приложение №1'!$Q603</f>
        <v>0</v>
      </c>
      <c r="AW633" s="29">
        <f>+R633-'[6]Приложение №1'!$R603</f>
        <v>0</v>
      </c>
      <c r="AX633" s="29">
        <f>+S633-'[6]Приложение №1'!$S603</f>
        <v>0</v>
      </c>
      <c r="AY633" s="29">
        <f>+T633-'[6]Приложение №1'!$T603</f>
        <v>0</v>
      </c>
    </row>
    <row r="634" spans="1:51" x14ac:dyDescent="0.25">
      <c r="A634" s="133">
        <f t="shared" si="247"/>
        <v>616</v>
      </c>
      <c r="B634" s="132">
        <f t="shared" si="247"/>
        <v>154</v>
      </c>
      <c r="C634" s="77" t="s">
        <v>72</v>
      </c>
      <c r="D634" s="77" t="s">
        <v>209</v>
      </c>
      <c r="E634" s="78">
        <v>1971</v>
      </c>
      <c r="F634" s="78">
        <v>2013</v>
      </c>
      <c r="G634" s="78" t="s">
        <v>44</v>
      </c>
      <c r="H634" s="78">
        <v>4</v>
      </c>
      <c r="I634" s="78">
        <v>4</v>
      </c>
      <c r="J634" s="44">
        <v>3003.8</v>
      </c>
      <c r="K634" s="44">
        <v>2693.7</v>
      </c>
      <c r="L634" s="44">
        <v>0</v>
      </c>
      <c r="M634" s="79">
        <v>120</v>
      </c>
      <c r="N634" s="129">
        <f t="shared" ref="N634:N644" si="248">SUM(O634:T634)</f>
        <v>9199974.4340940006</v>
      </c>
      <c r="O634" s="44"/>
      <c r="P634" s="68"/>
      <c r="Q634" s="68"/>
      <c r="R634" s="68">
        <f>+AQ634+AR634</f>
        <v>495408.60210599989</v>
      </c>
      <c r="S634" s="68">
        <f>+'Приложение №2'!E634-'Приложение №1'!R634</f>
        <v>8704565.8319880012</v>
      </c>
      <c r="T634" s="68">
        <v>0</v>
      </c>
      <c r="U634" s="68">
        <f t="shared" si="238"/>
        <v>3415.3671285198802</v>
      </c>
      <c r="V634" s="68">
        <v>1321.2830200640001</v>
      </c>
      <c r="W634" s="80">
        <v>2024</v>
      </c>
      <c r="X634" s="29" t="e">
        <f>+#REF!-'[1]Приложение №1'!$P1181</f>
        <v>#REF!</v>
      </c>
      <c r="Z634" s="31">
        <f>SUM(AA634:AO634)</f>
        <v>21441082.737894002</v>
      </c>
      <c r="AA634" s="27">
        <v>0</v>
      </c>
      <c r="AB634" s="27">
        <v>2296919.6304310197</v>
      </c>
      <c r="AC634" s="27">
        <v>2399769.9437850602</v>
      </c>
      <c r="AD634" s="27">
        <v>0</v>
      </c>
      <c r="AE634" s="27">
        <v>1020388.92</v>
      </c>
      <c r="AF634" s="27"/>
      <c r="AG634" s="27">
        <v>247344.72404292002</v>
      </c>
      <c r="AH634" s="27">
        <v>0</v>
      </c>
      <c r="AI634" s="27">
        <v>0</v>
      </c>
      <c r="AJ634" s="27">
        <v>0</v>
      </c>
      <c r="AK634" s="27">
        <v>6118299.9556223992</v>
      </c>
      <c r="AL634" s="27">
        <v>6599302.6705422606</v>
      </c>
      <c r="AM634" s="27">
        <v>2162864.8599</v>
      </c>
      <c r="AN634" s="32">
        <v>205857.47699999998</v>
      </c>
      <c r="AO634" s="33">
        <v>390334.55657033995</v>
      </c>
      <c r="AP634" s="84">
        <f>+N634-'Приложение №2'!E634</f>
        <v>0</v>
      </c>
      <c r="AQ634" s="29">
        <f>1245150.45-R332</f>
        <v>220651.20210599992</v>
      </c>
      <c r="AR634" s="1">
        <f t="shared" ref="AR634:AR644" si="249">+(K634*10+L634*20)*12*0.85</f>
        <v>274757.39999999997</v>
      </c>
      <c r="AS634" s="1">
        <f>+(K634*10+L634*20)*12*30-S332</f>
        <v>9697320</v>
      </c>
      <c r="AT634" s="29">
        <f t="shared" si="240"/>
        <v>-992754.16801199876</v>
      </c>
      <c r="AU634" s="29">
        <f>+P634-'[6]Приложение №1'!$P604</f>
        <v>0</v>
      </c>
      <c r="AV634" s="29">
        <f>+Q634-'[6]Приложение №1'!$Q604</f>
        <v>0</v>
      </c>
      <c r="AW634" s="29">
        <f>+R634-'[6]Приложение №1'!$R604</f>
        <v>0</v>
      </c>
      <c r="AX634" s="29">
        <f>+S634-'[6]Приложение №1'!$S604</f>
        <v>0</v>
      </c>
      <c r="AY634" s="29">
        <f>+T634-'[6]Приложение №1'!$T604</f>
        <v>0</v>
      </c>
    </row>
    <row r="635" spans="1:51" s="35" customFormat="1" x14ac:dyDescent="0.25">
      <c r="A635" s="133">
        <f t="shared" si="247"/>
        <v>617</v>
      </c>
      <c r="B635" s="132">
        <f t="shared" si="247"/>
        <v>155</v>
      </c>
      <c r="C635" s="77" t="s">
        <v>568</v>
      </c>
      <c r="D635" s="77" t="s">
        <v>667</v>
      </c>
      <c r="E635" s="78" t="s">
        <v>593</v>
      </c>
      <c r="F635" s="78"/>
      <c r="G635" s="78" t="s">
        <v>570</v>
      </c>
      <c r="H635" s="78" t="s">
        <v>579</v>
      </c>
      <c r="I635" s="78" t="s">
        <v>575</v>
      </c>
      <c r="J635" s="44">
        <v>3411.7</v>
      </c>
      <c r="K635" s="44">
        <v>2190.6999999999998</v>
      </c>
      <c r="L635" s="44">
        <v>1221</v>
      </c>
      <c r="M635" s="79">
        <v>86</v>
      </c>
      <c r="N635" s="129">
        <f t="shared" si="248"/>
        <v>24802068.950186882</v>
      </c>
      <c r="O635" s="44">
        <v>0</v>
      </c>
      <c r="P635" s="68">
        <v>3590029.1775467205</v>
      </c>
      <c r="Q635" s="68">
        <v>0</v>
      </c>
      <c r="R635" s="68">
        <f>+AQ635+AR635</f>
        <v>2823396.44</v>
      </c>
      <c r="S635" s="68">
        <f>+AS635</f>
        <v>16677720</v>
      </c>
      <c r="T635" s="68">
        <f>+'Приложение №2'!E635-'Приложение №1'!P635-'Приложение №1'!R635-'Приложение №1'!S635</f>
        <v>1710923.3326401599</v>
      </c>
      <c r="U635" s="68">
        <f t="shared" si="238"/>
        <v>11321.526886468655</v>
      </c>
      <c r="V635" s="68">
        <v>1322.2830200640001</v>
      </c>
      <c r="W635" s="80">
        <v>2024</v>
      </c>
      <c r="X635" s="35">
        <v>1858783.44</v>
      </c>
      <c r="Y635" s="35">
        <f>+(K635*9.1+L635*18.19)*12</f>
        <v>505744.32</v>
      </c>
      <c r="AA635" s="36">
        <f>+N635-'[5]Приложение № 2'!E570</f>
        <v>-26483646.219813127</v>
      </c>
      <c r="AD635" s="36">
        <f>+N635-'[5]Приложение № 2'!E570</f>
        <v>-26483646.219813127</v>
      </c>
      <c r="AP635" s="84">
        <f>+N635-'Приложение №2'!E635</f>
        <v>0</v>
      </c>
      <c r="AQ635" s="35">
        <v>2350861.04</v>
      </c>
      <c r="AR635" s="1">
        <f t="shared" si="249"/>
        <v>472535.39999999997</v>
      </c>
      <c r="AS635" s="1">
        <f t="shared" ref="AS635:AS641" si="250">+(K635*10+L635*20)*12*30</f>
        <v>16677720</v>
      </c>
      <c r="AT635" s="29">
        <f t="shared" si="240"/>
        <v>0</v>
      </c>
      <c r="AU635" s="29">
        <f>+P635-'[6]Приложение №1'!$P605</f>
        <v>0</v>
      </c>
      <c r="AV635" s="29">
        <f>+Q635-'[6]Приложение №1'!$Q605</f>
        <v>0</v>
      </c>
      <c r="AW635" s="29">
        <f>+R635-'[6]Приложение №1'!$R605</f>
        <v>0</v>
      </c>
      <c r="AX635" s="29">
        <f>+S635-'[6]Приложение №1'!$S605</f>
        <v>0</v>
      </c>
      <c r="AY635" s="29">
        <f>+T635-'[6]Приложение №1'!$T605</f>
        <v>0</v>
      </c>
    </row>
    <row r="636" spans="1:51" s="35" customFormat="1" x14ac:dyDescent="0.25">
      <c r="A636" s="133">
        <f t="shared" si="247"/>
        <v>618</v>
      </c>
      <c r="B636" s="132">
        <f t="shared" si="247"/>
        <v>156</v>
      </c>
      <c r="C636" s="77" t="s">
        <v>568</v>
      </c>
      <c r="D636" s="77" t="s">
        <v>668</v>
      </c>
      <c r="E636" s="78" t="s">
        <v>594</v>
      </c>
      <c r="F636" s="78"/>
      <c r="G636" s="78" t="s">
        <v>570</v>
      </c>
      <c r="H636" s="78" t="s">
        <v>579</v>
      </c>
      <c r="I636" s="78" t="s">
        <v>574</v>
      </c>
      <c r="J636" s="44">
        <v>5051.1899999999996</v>
      </c>
      <c r="K636" s="44">
        <v>4630.8</v>
      </c>
      <c r="L636" s="44">
        <v>0</v>
      </c>
      <c r="M636" s="79">
        <v>233</v>
      </c>
      <c r="N636" s="129">
        <f t="shared" si="248"/>
        <v>74923651.909586757</v>
      </c>
      <c r="O636" s="44">
        <v>0</v>
      </c>
      <c r="P636" s="68">
        <v>11125815.399917353</v>
      </c>
      <c r="Q636" s="68">
        <v>0</v>
      </c>
      <c r="R636" s="68">
        <f>+AQ636+AR636</f>
        <v>2754412.5300000003</v>
      </c>
      <c r="S636" s="68">
        <f>+AS636</f>
        <v>16670880</v>
      </c>
      <c r="T636" s="68">
        <f>+'Приложение №2'!E636-'Приложение №1'!P636-'Приложение №1'!R636-'Приложение №1'!S636</f>
        <v>44372543.979669407</v>
      </c>
      <c r="U636" s="68">
        <f t="shared" si="238"/>
        <v>16179.418655434645</v>
      </c>
      <c r="V636" s="68">
        <v>1323.2830200640001</v>
      </c>
      <c r="W636" s="80">
        <v>2024</v>
      </c>
      <c r="X636" s="35">
        <v>1795085.95</v>
      </c>
      <c r="Y636" s="35">
        <f>+(K636*9.1+L636*18.19)*12</f>
        <v>505683.36</v>
      </c>
      <c r="AA636" s="36">
        <f>+N636-'[5]Приложение № 2'!E571</f>
        <v>61830050.369586758</v>
      </c>
      <c r="AD636" s="36">
        <f>+N636-'[5]Приложение № 2'!E571</f>
        <v>61830050.369586758</v>
      </c>
      <c r="AP636" s="84">
        <f>+N636-'Приложение №2'!E636</f>
        <v>0</v>
      </c>
      <c r="AQ636" s="35">
        <v>2282070.9300000002</v>
      </c>
      <c r="AR636" s="1">
        <f t="shared" si="249"/>
        <v>472341.6</v>
      </c>
      <c r="AS636" s="1">
        <f t="shared" si="250"/>
        <v>16670880</v>
      </c>
      <c r="AT636" s="29">
        <f t="shared" si="240"/>
        <v>0</v>
      </c>
      <c r="AU636" s="29">
        <f>+P636-'[6]Приложение №1'!$P606</f>
        <v>0</v>
      </c>
      <c r="AV636" s="29">
        <f>+Q636-'[6]Приложение №1'!$Q606</f>
        <v>0</v>
      </c>
      <c r="AW636" s="29">
        <f>+R636-'[6]Приложение №1'!$R606</f>
        <v>0</v>
      </c>
      <c r="AX636" s="29">
        <f>+S636-'[6]Приложение №1'!$S606</f>
        <v>0</v>
      </c>
      <c r="AY636" s="29">
        <f>+T636-'[6]Приложение №1'!$T606</f>
        <v>0</v>
      </c>
    </row>
    <row r="637" spans="1:51" x14ac:dyDescent="0.25">
      <c r="A637" s="133">
        <f t="shared" si="247"/>
        <v>619</v>
      </c>
      <c r="B637" s="132">
        <f t="shared" si="247"/>
        <v>157</v>
      </c>
      <c r="C637" s="77" t="s">
        <v>72</v>
      </c>
      <c r="D637" s="77" t="s">
        <v>478</v>
      </c>
      <c r="E637" s="78">
        <v>1966</v>
      </c>
      <c r="F637" s="78">
        <v>2013</v>
      </c>
      <c r="G637" s="78" t="s">
        <v>44</v>
      </c>
      <c r="H637" s="78">
        <v>4</v>
      </c>
      <c r="I637" s="78">
        <v>6</v>
      </c>
      <c r="J637" s="44">
        <v>2829.5</v>
      </c>
      <c r="K637" s="44">
        <v>2537.8000000000002</v>
      </c>
      <c r="L637" s="44">
        <v>230.6</v>
      </c>
      <c r="M637" s="79">
        <v>144</v>
      </c>
      <c r="N637" s="129">
        <f t="shared" si="248"/>
        <v>28692544.751838498</v>
      </c>
      <c r="O637" s="44"/>
      <c r="P637" s="68">
        <v>942478.5918385</v>
      </c>
      <c r="Q637" s="68"/>
      <c r="R637" s="68">
        <f>+AQ637+AR637</f>
        <v>1953666.16</v>
      </c>
      <c r="S637" s="68">
        <f>+AS637</f>
        <v>10796400</v>
      </c>
      <c r="T637" s="68">
        <f>+'Приложение №2'!E637-'Приложение №1'!P637-'Приложение №1'!R637-'Приложение №1'!S637</f>
        <v>14999999.999999996</v>
      </c>
      <c r="U637" s="68">
        <f t="shared" si="238"/>
        <v>11306.070120513237</v>
      </c>
      <c r="V637" s="68">
        <v>1324.2830200640001</v>
      </c>
      <c r="W637" s="80">
        <v>2024</v>
      </c>
      <c r="X637" s="29" t="e">
        <f>+#REF!-'[1]Приложение №1'!$P1905</f>
        <v>#REF!</v>
      </c>
      <c r="Z637" s="31">
        <f>SUM(AA637:AO637)</f>
        <v>15087934.029999999</v>
      </c>
      <c r="AA637" s="27">
        <v>6065034.6402882598</v>
      </c>
      <c r="AB637" s="27">
        <v>2161221.1824524999</v>
      </c>
      <c r="AC637" s="27">
        <v>2257995.2503873804</v>
      </c>
      <c r="AD637" s="27">
        <v>1413647.7960217199</v>
      </c>
      <c r="AE637" s="27">
        <v>864921.32273358025</v>
      </c>
      <c r="AF637" s="27"/>
      <c r="AG637" s="27">
        <v>232731.98563608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1657316.1065</v>
      </c>
      <c r="AN637" s="32">
        <v>150879.34030000001</v>
      </c>
      <c r="AO637" s="33">
        <v>284186.40568048006</v>
      </c>
      <c r="AP637" s="84">
        <f>+N637-'Приложение №2'!E637</f>
        <v>0</v>
      </c>
      <c r="AQ637" s="24">
        <v>1647768.16</v>
      </c>
      <c r="AR637" s="1">
        <f t="shared" si="249"/>
        <v>305898</v>
      </c>
      <c r="AS637" s="1">
        <f t="shared" si="250"/>
        <v>10796400</v>
      </c>
      <c r="AT637" s="29">
        <f t="shared" si="240"/>
        <v>0</v>
      </c>
      <c r="AU637" s="29"/>
      <c r="AV637" s="29"/>
      <c r="AW637" s="29"/>
      <c r="AX637" s="29"/>
      <c r="AY637" s="29"/>
    </row>
    <row r="638" spans="1:51" s="35" customFormat="1" x14ac:dyDescent="0.25">
      <c r="A638" s="133">
        <f t="shared" si="247"/>
        <v>620</v>
      </c>
      <c r="B638" s="132">
        <f t="shared" si="247"/>
        <v>158</v>
      </c>
      <c r="C638" s="77" t="s">
        <v>568</v>
      </c>
      <c r="D638" s="77" t="s">
        <v>669</v>
      </c>
      <c r="E638" s="78" t="s">
        <v>625</v>
      </c>
      <c r="F638" s="78"/>
      <c r="G638" s="78" t="s">
        <v>570</v>
      </c>
      <c r="H638" s="78" t="s">
        <v>582</v>
      </c>
      <c r="I638" s="78" t="s">
        <v>579</v>
      </c>
      <c r="J638" s="44">
        <v>4290.1000000000004</v>
      </c>
      <c r="K638" s="44">
        <v>4045.8</v>
      </c>
      <c r="L638" s="44">
        <v>0</v>
      </c>
      <c r="M638" s="79">
        <v>160</v>
      </c>
      <c r="N638" s="129">
        <f t="shared" si="248"/>
        <v>2039953.34</v>
      </c>
      <c r="O638" s="44">
        <v>0</v>
      </c>
      <c r="P638" s="68"/>
      <c r="Q638" s="68">
        <v>0</v>
      </c>
      <c r="R638" s="68">
        <f>+'Приложение №2'!E638</f>
        <v>2039953.34</v>
      </c>
      <c r="S638" s="68">
        <f>+'Приложение №2'!E638-'Приложение №1'!R638</f>
        <v>0</v>
      </c>
      <c r="T638" s="68">
        <v>0</v>
      </c>
      <c r="U638" s="68">
        <f t="shared" si="238"/>
        <v>504.21507242078206</v>
      </c>
      <c r="V638" s="68">
        <v>1325.2830200640001</v>
      </c>
      <c r="W638" s="80">
        <v>2024</v>
      </c>
      <c r="X638" s="35">
        <v>1474610.12</v>
      </c>
      <c r="Y638" s="35">
        <f>+(K638*9.1+L638*18.19)*12</f>
        <v>441801.36</v>
      </c>
      <c r="AA638" s="36">
        <f>+N638-'[5]Приложение № 2'!E572</f>
        <v>-9395945.0900000017</v>
      </c>
      <c r="AD638" s="36">
        <f>+N638-'[5]Приложение № 2'!E572</f>
        <v>-9395945.0900000017</v>
      </c>
      <c r="AP638" s="84">
        <f>+N638-'Приложение №2'!E638</f>
        <v>0</v>
      </c>
      <c r="AQ638" s="35">
        <v>1877694.37</v>
      </c>
      <c r="AR638" s="1">
        <f t="shared" si="249"/>
        <v>412671.6</v>
      </c>
      <c r="AS638" s="1">
        <f t="shared" si="250"/>
        <v>14564880</v>
      </c>
      <c r="AT638" s="29">
        <f t="shared" si="240"/>
        <v>-14564880</v>
      </c>
      <c r="AU638" s="29">
        <f>+P638-'[6]Приложение №1'!$P607</f>
        <v>0</v>
      </c>
      <c r="AV638" s="29">
        <f>+Q638-'[6]Приложение №1'!$Q607</f>
        <v>0</v>
      </c>
      <c r="AW638" s="29">
        <f>+R638-'[6]Приложение №1'!$R607</f>
        <v>0</v>
      </c>
      <c r="AX638" s="29">
        <f>+S638-'[6]Приложение №1'!$S607</f>
        <v>0</v>
      </c>
      <c r="AY638" s="29">
        <f>+T638-'[6]Приложение №1'!$T607</f>
        <v>0</v>
      </c>
    </row>
    <row r="639" spans="1:51" s="35" customFormat="1" x14ac:dyDescent="0.25">
      <c r="A639" s="133">
        <f t="shared" si="247"/>
        <v>621</v>
      </c>
      <c r="B639" s="132">
        <f t="shared" si="247"/>
        <v>159</v>
      </c>
      <c r="C639" s="77" t="s">
        <v>568</v>
      </c>
      <c r="D639" s="77" t="s">
        <v>670</v>
      </c>
      <c r="E639" s="78" t="s">
        <v>626</v>
      </c>
      <c r="F639" s="78"/>
      <c r="G639" s="78" t="s">
        <v>570</v>
      </c>
      <c r="H639" s="78" t="s">
        <v>582</v>
      </c>
      <c r="I639" s="78" t="s">
        <v>579</v>
      </c>
      <c r="J639" s="44">
        <v>3196.5</v>
      </c>
      <c r="K639" s="44">
        <v>2451.1</v>
      </c>
      <c r="L639" s="44">
        <v>745</v>
      </c>
      <c r="M639" s="79">
        <v>156</v>
      </c>
      <c r="N639" s="129">
        <f t="shared" si="248"/>
        <v>33755644.016001284</v>
      </c>
      <c r="O639" s="44">
        <v>0</v>
      </c>
      <c r="P639" s="68">
        <v>4540950.7992002573</v>
      </c>
      <c r="Q639" s="68">
        <v>0</v>
      </c>
      <c r="R639" s="68">
        <f t="shared" ref="R639:R643" si="251">+AQ639+AR639</f>
        <v>2332635.02</v>
      </c>
      <c r="S639" s="68">
        <f>+AS639</f>
        <v>14187960</v>
      </c>
      <c r="T639" s="68">
        <f>+'Приложение №2'!E639-'Приложение №1'!P639-'Приложение №1'!R639-'Приложение №1'!S639</f>
        <v>12694098.196801025</v>
      </c>
      <c r="U639" s="68">
        <f t="shared" si="238"/>
        <v>13771.63070295022</v>
      </c>
      <c r="V639" s="68">
        <v>1326.2830200640001</v>
      </c>
      <c r="W639" s="80">
        <v>2024</v>
      </c>
      <c r="X639" s="35">
        <v>1575459.5</v>
      </c>
      <c r="Y639" s="35">
        <f>+(K639*9.1+L639*18.19)*12</f>
        <v>430278.72</v>
      </c>
      <c r="AA639" s="36">
        <f>+N639-'[5]Приложение № 2'!E573</f>
        <v>19390204.016001284</v>
      </c>
      <c r="AD639" s="36">
        <f>+N639-'[5]Приложение № 2'!E573</f>
        <v>19390204.016001284</v>
      </c>
      <c r="AP639" s="84">
        <f>+N639-'Приложение №2'!E639</f>
        <v>0</v>
      </c>
      <c r="AQ639" s="35">
        <v>1930642.82</v>
      </c>
      <c r="AR639" s="1">
        <f t="shared" si="249"/>
        <v>401992.2</v>
      </c>
      <c r="AS639" s="1">
        <f t="shared" si="250"/>
        <v>14187960</v>
      </c>
      <c r="AT639" s="29">
        <f t="shared" si="240"/>
        <v>0</v>
      </c>
      <c r="AU639" s="29">
        <f>+P639-'[6]Приложение №1'!$P608</f>
        <v>0</v>
      </c>
      <c r="AV639" s="29">
        <f>+Q639-'[6]Приложение №1'!$Q608</f>
        <v>0</v>
      </c>
      <c r="AW639" s="29">
        <f>+R639-'[6]Приложение №1'!$R608</f>
        <v>0</v>
      </c>
      <c r="AX639" s="29">
        <f>+S639-'[6]Приложение №1'!$S608</f>
        <v>0</v>
      </c>
      <c r="AY639" s="29">
        <f>+T639-'[6]Приложение №1'!$T608</f>
        <v>0</v>
      </c>
    </row>
    <row r="640" spans="1:51" s="35" customFormat="1" x14ac:dyDescent="0.25">
      <c r="A640" s="133">
        <f t="shared" si="247"/>
        <v>622</v>
      </c>
      <c r="B640" s="132">
        <f t="shared" si="247"/>
        <v>160</v>
      </c>
      <c r="C640" s="77" t="s">
        <v>568</v>
      </c>
      <c r="D640" s="77" t="s">
        <v>671</v>
      </c>
      <c r="E640" s="78" t="s">
        <v>610</v>
      </c>
      <c r="F640" s="78"/>
      <c r="G640" s="78" t="s">
        <v>573</v>
      </c>
      <c r="H640" s="78" t="s">
        <v>579</v>
      </c>
      <c r="I640" s="78" t="s">
        <v>579</v>
      </c>
      <c r="J640" s="44">
        <v>3950.89</v>
      </c>
      <c r="K640" s="44">
        <v>3454.6</v>
      </c>
      <c r="L640" s="44">
        <v>0</v>
      </c>
      <c r="M640" s="79">
        <v>153</v>
      </c>
      <c r="N640" s="129">
        <f t="shared" si="248"/>
        <v>58958023.002210215</v>
      </c>
      <c r="O640" s="44">
        <v>0</v>
      </c>
      <c r="P640" s="68">
        <v>8914366.6864420418</v>
      </c>
      <c r="Q640" s="68">
        <v>0</v>
      </c>
      <c r="R640" s="68">
        <f t="shared" si="251"/>
        <v>1944483.79</v>
      </c>
      <c r="S640" s="68">
        <f>+AS640</f>
        <v>12436560</v>
      </c>
      <c r="T640" s="68">
        <f>+'Приложение №2'!E640-'Приложение №1'!P640-'Приложение №1'!R640-'Приложение №1'!S640</f>
        <v>35662612.525768168</v>
      </c>
      <c r="U640" s="68">
        <f t="shared" si="238"/>
        <v>17066.526660745156</v>
      </c>
      <c r="V640" s="68">
        <v>1327.2830200640001</v>
      </c>
      <c r="W640" s="80">
        <v>2024</v>
      </c>
      <c r="X640" s="35">
        <v>1263644.1499999999</v>
      </c>
      <c r="Y640" s="35">
        <f>+(K640*9.1+L640*18.19)*12</f>
        <v>377242.31999999995</v>
      </c>
      <c r="AA640" s="36">
        <f>+N640-'[5]Приложение № 2'!E574</f>
        <v>41914735.462210216</v>
      </c>
      <c r="AD640" s="36">
        <f>+N640-'[5]Приложение № 2'!E574</f>
        <v>41914735.462210216</v>
      </c>
      <c r="AP640" s="84">
        <f>+N640-'Приложение №2'!E640</f>
        <v>0</v>
      </c>
      <c r="AQ640" s="35">
        <v>1592114.59</v>
      </c>
      <c r="AR640" s="1">
        <f t="shared" si="249"/>
        <v>352369.2</v>
      </c>
      <c r="AS640" s="1">
        <f t="shared" si="250"/>
        <v>12436560</v>
      </c>
      <c r="AT640" s="29">
        <f t="shared" si="240"/>
        <v>0</v>
      </c>
      <c r="AU640" s="29">
        <f>+P640-'[6]Приложение №1'!$P609</f>
        <v>0</v>
      </c>
      <c r="AV640" s="29">
        <f>+Q640-'[6]Приложение №1'!$Q609</f>
        <v>0</v>
      </c>
      <c r="AW640" s="29">
        <f>+R640-'[6]Приложение №1'!$R609</f>
        <v>0</v>
      </c>
      <c r="AX640" s="29">
        <f>+S640-'[6]Приложение №1'!$S609</f>
        <v>0</v>
      </c>
      <c r="AY640" s="29">
        <f>+T640-'[6]Приложение №1'!$T609</f>
        <v>0</v>
      </c>
    </row>
    <row r="641" spans="1:51" s="35" customFormat="1" x14ac:dyDescent="0.25">
      <c r="A641" s="133">
        <f t="shared" si="247"/>
        <v>623</v>
      </c>
      <c r="B641" s="132">
        <f t="shared" si="247"/>
        <v>161</v>
      </c>
      <c r="C641" s="77" t="s">
        <v>568</v>
      </c>
      <c r="D641" s="77" t="s">
        <v>739</v>
      </c>
      <c r="E641" s="78" t="s">
        <v>740</v>
      </c>
      <c r="F641" s="78"/>
      <c r="G641" s="78" t="s">
        <v>573</v>
      </c>
      <c r="H641" s="78" t="s">
        <v>579</v>
      </c>
      <c r="I641" s="78" t="s">
        <v>579</v>
      </c>
      <c r="J641" s="44">
        <v>3906</v>
      </c>
      <c r="K641" s="44">
        <v>3421.4</v>
      </c>
      <c r="L641" s="44">
        <v>0</v>
      </c>
      <c r="M641" s="79">
        <v>129</v>
      </c>
      <c r="N641" s="129">
        <f t="shared" si="248"/>
        <v>8914451.7878207974</v>
      </c>
      <c r="O641" s="44"/>
      <c r="P641" s="68">
        <f>+'Приложение №2'!E641-'Приложение №1'!R641-S641</f>
        <v>0</v>
      </c>
      <c r="Q641" s="68"/>
      <c r="R641" s="68">
        <f t="shared" si="251"/>
        <v>2248381.31</v>
      </c>
      <c r="S641" s="68">
        <f>+'Приложение №2'!E641-'Приложение №1'!R641</f>
        <v>6666070.4778207969</v>
      </c>
      <c r="T641" s="68"/>
      <c r="U641" s="68">
        <f t="shared" si="238"/>
        <v>2605.4982719999994</v>
      </c>
      <c r="V641" s="68">
        <v>1328.2830200640001</v>
      </c>
      <c r="W641" s="80">
        <v>2024</v>
      </c>
      <c r="AA641" s="36"/>
      <c r="AD641" s="36"/>
      <c r="AP641" s="84">
        <f>+N641-'Приложение №2'!E641</f>
        <v>0</v>
      </c>
      <c r="AQ641" s="24">
        <v>1899398.51</v>
      </c>
      <c r="AR641" s="1">
        <f t="shared" si="249"/>
        <v>348982.8</v>
      </c>
      <c r="AS641" s="1">
        <f t="shared" si="250"/>
        <v>12317040</v>
      </c>
      <c r="AT641" s="29">
        <f t="shared" si="240"/>
        <v>-5650969.5221792031</v>
      </c>
      <c r="AU641" s="29"/>
      <c r="AV641" s="29"/>
      <c r="AW641" s="29"/>
      <c r="AX641" s="29"/>
      <c r="AY641" s="29"/>
    </row>
    <row r="642" spans="1:51" x14ac:dyDescent="0.25">
      <c r="A642" s="133">
        <f t="shared" ref="A642:B657" si="252">+A641+1</f>
        <v>624</v>
      </c>
      <c r="B642" s="132">
        <f t="shared" si="252"/>
        <v>162</v>
      </c>
      <c r="C642" s="77" t="s">
        <v>72</v>
      </c>
      <c r="D642" s="77" t="s">
        <v>84</v>
      </c>
      <c r="E642" s="78">
        <v>1968</v>
      </c>
      <c r="F642" s="78">
        <v>2013</v>
      </c>
      <c r="G642" s="78" t="s">
        <v>44</v>
      </c>
      <c r="H642" s="78">
        <v>5</v>
      </c>
      <c r="I642" s="78">
        <v>5</v>
      </c>
      <c r="J642" s="44">
        <v>3261.1</v>
      </c>
      <c r="K642" s="44">
        <v>2512.5</v>
      </c>
      <c r="L642" s="44">
        <v>664.8</v>
      </c>
      <c r="M642" s="79">
        <v>128</v>
      </c>
      <c r="N642" s="129">
        <f t="shared" si="248"/>
        <v>2304169.0619060001</v>
      </c>
      <c r="O642" s="44"/>
      <c r="P642" s="68"/>
      <c r="Q642" s="68"/>
      <c r="R642" s="68">
        <f t="shared" si="251"/>
        <v>165503.35497199994</v>
      </c>
      <c r="S642" s="68">
        <f>+'Приложение №2'!E642-'Приложение №1'!R642</f>
        <v>2138665.7069340004</v>
      </c>
      <c r="T642" s="68">
        <v>0</v>
      </c>
      <c r="U642" s="68">
        <f t="shared" si="238"/>
        <v>917.08221369393038</v>
      </c>
      <c r="V642" s="68">
        <v>1329.2830200640001</v>
      </c>
      <c r="W642" s="80">
        <v>2024</v>
      </c>
      <c r="X642" s="29" t="e">
        <f>+#REF!-'[1]Приложение №1'!$P948</f>
        <v>#REF!</v>
      </c>
      <c r="Z642" s="31">
        <f>SUM(AA642:AO642)</f>
        <v>30275329.636437476</v>
      </c>
      <c r="AA642" s="27">
        <v>6028027.9685480399</v>
      </c>
      <c r="AB642" s="27">
        <v>0</v>
      </c>
      <c r="AC642" s="27">
        <v>2244217.7771235602</v>
      </c>
      <c r="AD642" s="27">
        <v>0</v>
      </c>
      <c r="AE642" s="27">
        <v>1240916.79</v>
      </c>
      <c r="AF642" s="27"/>
      <c r="AG642" s="27">
        <v>0</v>
      </c>
      <c r="AH642" s="27">
        <v>0</v>
      </c>
      <c r="AI642" s="27">
        <v>11020152.319356598</v>
      </c>
      <c r="AJ642" s="27">
        <v>0</v>
      </c>
      <c r="AK642" s="27">
        <v>5721714.1000613989</v>
      </c>
      <c r="AL642" s="27">
        <v>0</v>
      </c>
      <c r="AM642" s="27">
        <v>3056047.9632999999</v>
      </c>
      <c r="AN642" s="32">
        <v>328671.8125</v>
      </c>
      <c r="AO642" s="33">
        <v>635580.90554787999</v>
      </c>
      <c r="AP642" s="84">
        <f>+N642-'Приложение №2'!E642</f>
        <v>0</v>
      </c>
      <c r="AQ642" s="29">
        <f>1018647.82-R336</f>
        <v>-226390.84502800007</v>
      </c>
      <c r="AR642" s="1">
        <f t="shared" si="249"/>
        <v>391894.2</v>
      </c>
      <c r="AS642" s="1">
        <f>+(K642*10+L642*20)*12*30-S336</f>
        <v>13831560</v>
      </c>
      <c r="AT642" s="29">
        <f t="shared" si="240"/>
        <v>-11692894.293065999</v>
      </c>
      <c r="AU642" s="29">
        <f>+P642-'[6]Приложение №1'!$P610</f>
        <v>0</v>
      </c>
      <c r="AV642" s="29">
        <f>+Q642-'[6]Приложение №1'!$Q610</f>
        <v>0</v>
      </c>
      <c r="AW642" s="29">
        <f>+R642-'[6]Приложение №1'!$R610</f>
        <v>0</v>
      </c>
      <c r="AX642" s="29">
        <f>+S642-'[6]Приложение №1'!$S610</f>
        <v>0</v>
      </c>
      <c r="AY642" s="29">
        <f>+T642-'[6]Приложение №1'!$T610</f>
        <v>0</v>
      </c>
    </row>
    <row r="643" spans="1:51" s="35" customFormat="1" x14ac:dyDescent="0.25">
      <c r="A643" s="133">
        <f t="shared" si="252"/>
        <v>625</v>
      </c>
      <c r="B643" s="132">
        <f t="shared" si="252"/>
        <v>163</v>
      </c>
      <c r="C643" s="77" t="s">
        <v>568</v>
      </c>
      <c r="D643" s="77" t="s">
        <v>616</v>
      </c>
      <c r="E643" s="78" t="s">
        <v>610</v>
      </c>
      <c r="F643" s="78"/>
      <c r="G643" s="78" t="s">
        <v>573</v>
      </c>
      <c r="H643" s="78" t="s">
        <v>579</v>
      </c>
      <c r="I643" s="78" t="s">
        <v>583</v>
      </c>
      <c r="J643" s="44">
        <v>5751.1</v>
      </c>
      <c r="K643" s="44">
        <v>4971.6000000000004</v>
      </c>
      <c r="L643" s="44">
        <v>0</v>
      </c>
      <c r="M643" s="79">
        <v>221</v>
      </c>
      <c r="N643" s="129">
        <f t="shared" si="248"/>
        <v>80216609.443918288</v>
      </c>
      <c r="O643" s="44">
        <v>0</v>
      </c>
      <c r="P643" s="68">
        <v>6666221.4034400824</v>
      </c>
      <c r="Q643" s="68">
        <v>0</v>
      </c>
      <c r="R643" s="68">
        <f t="shared" si="251"/>
        <v>2807456.47</v>
      </c>
      <c r="S643" s="68">
        <f>+AS643</f>
        <v>17897760</v>
      </c>
      <c r="T643" s="68">
        <f>+'Приложение №2'!E643-'Приложение №1'!P643-'Приложение №1'!R643-'Приложение №1'!S643</f>
        <v>52845171.570478201</v>
      </c>
      <c r="U643" s="68">
        <f t="shared" si="238"/>
        <v>16134.968509920001</v>
      </c>
      <c r="V643" s="68">
        <v>1330.2830200640001</v>
      </c>
      <c r="W643" s="80">
        <v>2024</v>
      </c>
      <c r="X643" s="35">
        <v>1827431.02</v>
      </c>
      <c r="Y643" s="35">
        <f>+(K643*9.1+L643*18.19)*12</f>
        <v>542898.72000000009</v>
      </c>
      <c r="AA643" s="36">
        <f>+N643-'[5]Приложение № 2'!E576</f>
        <v>35070073.220851406</v>
      </c>
      <c r="AD643" s="36">
        <f>+N643-'[5]Приложение № 2'!E576</f>
        <v>35070073.220851406</v>
      </c>
      <c r="AP643" s="84">
        <f>+N643-'Приложение №2'!E643</f>
        <v>0</v>
      </c>
      <c r="AQ643" s="35">
        <v>2300353.27</v>
      </c>
      <c r="AR643" s="1">
        <f t="shared" si="249"/>
        <v>507103.2</v>
      </c>
      <c r="AS643" s="1">
        <f>+(K643*10+L643*20)*12*30</f>
        <v>17897760</v>
      </c>
      <c r="AT643" s="29">
        <f t="shared" si="240"/>
        <v>0</v>
      </c>
      <c r="AU643" s="29">
        <f>+P643-'[6]Приложение №1'!$P611</f>
        <v>0</v>
      </c>
      <c r="AV643" s="29">
        <f>+Q643-'[6]Приложение №1'!$Q611</f>
        <v>0</v>
      </c>
      <c r="AW643" s="29">
        <f>+R643-'[6]Приложение №1'!$R611</f>
        <v>0</v>
      </c>
      <c r="AX643" s="29">
        <f>+S643-'[6]Приложение №1'!$S611</f>
        <v>0</v>
      </c>
      <c r="AY643" s="29">
        <f>+T643-'[6]Приложение №1'!$T611</f>
        <v>32789126.360157952</v>
      </c>
    </row>
    <row r="644" spans="1:51" s="35" customFormat="1" x14ac:dyDescent="0.25">
      <c r="A644" s="133">
        <f t="shared" si="252"/>
        <v>626</v>
      </c>
      <c r="B644" s="132">
        <f t="shared" si="252"/>
        <v>164</v>
      </c>
      <c r="C644" s="77" t="s">
        <v>568</v>
      </c>
      <c r="D644" s="77" t="s">
        <v>641</v>
      </c>
      <c r="E644" s="78" t="s">
        <v>610</v>
      </c>
      <c r="F644" s="78"/>
      <c r="G644" s="78" t="s">
        <v>573</v>
      </c>
      <c r="H644" s="78" t="s">
        <v>579</v>
      </c>
      <c r="I644" s="78" t="s">
        <v>583</v>
      </c>
      <c r="J644" s="44">
        <v>5677.5</v>
      </c>
      <c r="K644" s="44">
        <v>4896.3999999999996</v>
      </c>
      <c r="L644" s="44">
        <v>72</v>
      </c>
      <c r="M644" s="79">
        <v>216</v>
      </c>
      <c r="N644" s="129">
        <f t="shared" si="248"/>
        <v>18114073.308878101</v>
      </c>
      <c r="O644" s="44">
        <v>0</v>
      </c>
      <c r="P644" s="68">
        <v>3114073.3088781</v>
      </c>
      <c r="Q644" s="68">
        <v>0</v>
      </c>
      <c r="R644" s="68">
        <f>+AR644*2</f>
        <v>1028241.6</v>
      </c>
      <c r="S644" s="68">
        <v>0</v>
      </c>
      <c r="T644" s="68">
        <f>+'Приложение №2'!E644-'Приложение №1'!P644-'Приложение №1'!R644-'Приложение №1'!S644</f>
        <v>13971758.400000002</v>
      </c>
      <c r="U644" s="68">
        <f t="shared" si="238"/>
        <v>3699.4676310918435</v>
      </c>
      <c r="V644" s="68">
        <v>1331.2830200640001</v>
      </c>
      <c r="W644" s="80">
        <v>2024</v>
      </c>
      <c r="X644" s="35">
        <v>1825680.39</v>
      </c>
      <c r="Y644" s="35">
        <f>+(K644*9.1+L644*18.19)*12</f>
        <v>550403.04</v>
      </c>
      <c r="AA644" s="36">
        <f>+N644-'[5]Приложение № 2'!E578</f>
        <v>2286458.2530797012</v>
      </c>
      <c r="AD644" s="36">
        <f>+N644-'[5]Приложение № 2'!E578</f>
        <v>2286458.2530797012</v>
      </c>
      <c r="AP644" s="84">
        <f>+N644-'Приложение №2'!E644</f>
        <v>0</v>
      </c>
      <c r="AQ644" s="37">
        <f>2265420.6-R121-R339</f>
        <v>-514120.8</v>
      </c>
      <c r="AR644" s="1">
        <f t="shared" si="249"/>
        <v>514120.8</v>
      </c>
      <c r="AS644" s="1">
        <f>+(K644*10+L644*20)*12*30-S121-S339</f>
        <v>0</v>
      </c>
      <c r="AT644" s="29">
        <f t="shared" si="240"/>
        <v>0</v>
      </c>
      <c r="AU644" s="29">
        <f>+P644-'[6]Приложение №1'!$P612</f>
        <v>-15000000.000000002</v>
      </c>
      <c r="AV644" s="29">
        <f>+Q644-'[6]Приложение №1'!$Q612</f>
        <v>0</v>
      </c>
      <c r="AW644" s="29">
        <f>+R644-'[6]Приложение №1'!$R612</f>
        <v>1028241.6</v>
      </c>
      <c r="AX644" s="29">
        <f>+S644-'[6]Приложение №1'!$S612</f>
        <v>0</v>
      </c>
      <c r="AY644" s="29">
        <f>+T644-'[6]Приложение №1'!$T612</f>
        <v>13971758.400000002</v>
      </c>
    </row>
    <row r="645" spans="1:51" x14ac:dyDescent="0.25">
      <c r="A645" s="133">
        <f t="shared" si="252"/>
        <v>627</v>
      </c>
      <c r="B645" s="132">
        <f t="shared" si="252"/>
        <v>165</v>
      </c>
      <c r="C645" s="77" t="s">
        <v>707</v>
      </c>
      <c r="D645" s="77" t="s">
        <v>211</v>
      </c>
      <c r="E645" s="78">
        <v>2004</v>
      </c>
      <c r="F645" s="78">
        <v>2005</v>
      </c>
      <c r="G645" s="78" t="s">
        <v>44</v>
      </c>
      <c r="H645" s="78">
        <v>7</v>
      </c>
      <c r="I645" s="78">
        <v>3</v>
      </c>
      <c r="J645" s="44">
        <v>3311.6</v>
      </c>
      <c r="K645" s="44">
        <v>2794.8</v>
      </c>
      <c r="L645" s="44">
        <v>0</v>
      </c>
      <c r="M645" s="79">
        <v>75</v>
      </c>
      <c r="N645" s="129">
        <f>SUM(O645:S645)</f>
        <v>5965802.7400000002</v>
      </c>
      <c r="O645" s="44"/>
      <c r="P645" s="68">
        <f>+'Приложение №2'!E645-'Приложение №1'!R645</f>
        <v>4793742.1716</v>
      </c>
      <c r="Q645" s="68"/>
      <c r="R645" s="68">
        <v>1172060.5684</v>
      </c>
      <c r="S645" s="81"/>
      <c r="T645" s="81"/>
      <c r="U645" s="68">
        <f t="shared" si="238"/>
        <v>2134.6081079146988</v>
      </c>
      <c r="V645" s="68">
        <v>1332.2830200640001</v>
      </c>
      <c r="W645" s="80">
        <v>2024</v>
      </c>
      <c r="X645" s="29" t="e">
        <f>+#REF!-'[1]Приложение №1'!$P715</f>
        <v>#REF!</v>
      </c>
      <c r="Z645" s="31">
        <f t="shared" ref="Z645:Z676" si="253">SUM(AA645:AO645)</f>
        <v>6068209.5</v>
      </c>
      <c r="AA645" s="27">
        <v>5838134.5613640007</v>
      </c>
      <c r="AB645" s="27">
        <v>0</v>
      </c>
      <c r="AC645" s="27">
        <v>0</v>
      </c>
      <c r="AD645" s="27">
        <v>0</v>
      </c>
      <c r="AE645" s="27">
        <v>0</v>
      </c>
      <c r="AF645" s="27"/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99958.34</v>
      </c>
      <c r="AN645" s="27">
        <v>2448.42</v>
      </c>
      <c r="AO645" s="33">
        <v>127668.17863600001</v>
      </c>
      <c r="AP645" s="84">
        <f>+N645-'Приложение №2'!E645</f>
        <v>0</v>
      </c>
      <c r="AR645" s="1">
        <f>+(K645*13.29+L645*22.52)*12*0.85</f>
        <v>378857.49840000004</v>
      </c>
      <c r="AS645" s="1">
        <f>+(K645*13.29+L645*22.52)*12*30</f>
        <v>13371441.120000001</v>
      </c>
      <c r="AT645" s="29">
        <f t="shared" si="240"/>
        <v>-13371441.120000001</v>
      </c>
      <c r="AU645" s="29">
        <f>+P645-'[6]Приложение №1'!$P613</f>
        <v>0</v>
      </c>
      <c r="AV645" s="29">
        <f>+Q645-'[6]Приложение №1'!$Q613</f>
        <v>0</v>
      </c>
      <c r="AW645" s="29">
        <f>+R645-'[6]Приложение №1'!$R613</f>
        <v>0</v>
      </c>
      <c r="AX645" s="29">
        <f>+S645-'[6]Приложение №1'!$S613</f>
        <v>0</v>
      </c>
      <c r="AY645" s="29">
        <f>+T645-'[6]Приложение №1'!$T613</f>
        <v>0</v>
      </c>
    </row>
    <row r="646" spans="1:51" x14ac:dyDescent="0.25">
      <c r="A646" s="133">
        <f t="shared" si="252"/>
        <v>628</v>
      </c>
      <c r="B646" s="132">
        <f t="shared" si="252"/>
        <v>166</v>
      </c>
      <c r="C646" s="77" t="s">
        <v>72</v>
      </c>
      <c r="D646" s="77" t="s">
        <v>374</v>
      </c>
      <c r="E646" s="78">
        <v>1968</v>
      </c>
      <c r="F646" s="78">
        <v>2013</v>
      </c>
      <c r="G646" s="78" t="s">
        <v>44</v>
      </c>
      <c r="H646" s="78">
        <v>4</v>
      </c>
      <c r="I646" s="78">
        <v>3</v>
      </c>
      <c r="J646" s="44">
        <v>2488.5</v>
      </c>
      <c r="K646" s="44">
        <v>2348.1999999999998</v>
      </c>
      <c r="L646" s="44">
        <v>69.599999999999994</v>
      </c>
      <c r="M646" s="79">
        <v>56</v>
      </c>
      <c r="N646" s="129">
        <f t="shared" ref="N646:N677" si="254">SUM(O646:T646)</f>
        <v>17172310.390230007</v>
      </c>
      <c r="O646" s="44"/>
      <c r="P646" s="68"/>
      <c r="Q646" s="68"/>
      <c r="R646" s="68">
        <f t="shared" ref="R646:R655" si="255">+AQ646+AR646</f>
        <v>1502454.86</v>
      </c>
      <c r="S646" s="68">
        <f>+AS646</f>
        <v>8954640</v>
      </c>
      <c r="T646" s="68">
        <f>+'Приложение №2'!E646-'Приложение №1'!P646-'Приложение №1'!R646-'Приложение №1'!S646</f>
        <v>6715215.5302300081</v>
      </c>
      <c r="U646" s="68">
        <f t="shared" si="238"/>
        <v>7312.9675454518392</v>
      </c>
      <c r="V646" s="68">
        <v>1333.2830200640001</v>
      </c>
      <c r="W646" s="80">
        <v>2024</v>
      </c>
      <c r="X646" s="29" t="e">
        <f>+#REF!-'[1]Приложение №1'!$P1446</f>
        <v>#REF!</v>
      </c>
      <c r="Z646" s="31">
        <f t="shared" si="253"/>
        <v>5047649.354092991</v>
      </c>
      <c r="AA646" s="27">
        <v>0</v>
      </c>
      <c r="AB646" s="27">
        <v>2080965.3426794703</v>
      </c>
      <c r="AC646" s="27">
        <v>0</v>
      </c>
      <c r="AD646" s="27">
        <v>1397905.6390375202</v>
      </c>
      <c r="AE646" s="27">
        <v>1036272.8319720001</v>
      </c>
      <c r="AF646" s="27"/>
      <c r="AG646" s="27">
        <v>210866.25214200001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173345.08000000002</v>
      </c>
      <c r="AN646" s="27">
        <v>44945.94</v>
      </c>
      <c r="AO646" s="33">
        <v>103348.268262</v>
      </c>
      <c r="AP646" s="84">
        <f>+N646-'Приложение №2'!E646</f>
        <v>0</v>
      </c>
      <c r="AQ646" s="1">
        <v>1248740.06</v>
      </c>
      <c r="AR646" s="1">
        <f>+(K646*10+L646*20)*12*0.85</f>
        <v>253714.8</v>
      </c>
      <c r="AS646" s="1">
        <f>+(K646*10+L646*20)*12*30</f>
        <v>8954640</v>
      </c>
      <c r="AT646" s="29">
        <f t="shared" si="240"/>
        <v>0</v>
      </c>
      <c r="AU646" s="29">
        <f>+P646-'[6]Приложение №1'!$P614</f>
        <v>0</v>
      </c>
      <c r="AV646" s="29">
        <f>+Q646-'[6]Приложение №1'!$Q614</f>
        <v>0</v>
      </c>
      <c r="AW646" s="29">
        <f>+R646-'[6]Приложение №1'!$R614</f>
        <v>0</v>
      </c>
      <c r="AX646" s="29">
        <f>+S646-'[6]Приложение №1'!$S614</f>
        <v>0</v>
      </c>
      <c r="AY646" s="29">
        <f>+T646-'[6]Приложение №1'!$T614</f>
        <v>0</v>
      </c>
    </row>
    <row r="647" spans="1:51" x14ac:dyDescent="0.25">
      <c r="A647" s="133">
        <f t="shared" si="252"/>
        <v>629</v>
      </c>
      <c r="B647" s="132">
        <f t="shared" si="252"/>
        <v>167</v>
      </c>
      <c r="C647" s="77" t="s">
        <v>72</v>
      </c>
      <c r="D647" s="77" t="s">
        <v>213</v>
      </c>
      <c r="E647" s="78">
        <v>1977</v>
      </c>
      <c r="F647" s="78">
        <v>2013</v>
      </c>
      <c r="G647" s="78" t="s">
        <v>44</v>
      </c>
      <c r="H647" s="78">
        <v>9</v>
      </c>
      <c r="I647" s="78">
        <v>1</v>
      </c>
      <c r="J647" s="44">
        <v>2365.9899999999998</v>
      </c>
      <c r="K647" s="44">
        <v>1903.5</v>
      </c>
      <c r="L647" s="44">
        <v>136</v>
      </c>
      <c r="M647" s="79">
        <v>70</v>
      </c>
      <c r="N647" s="129">
        <f t="shared" si="254"/>
        <v>15454795.540899998</v>
      </c>
      <c r="O647" s="44"/>
      <c r="P647" s="68">
        <v>3855238.9237903948</v>
      </c>
      <c r="Q647" s="68"/>
      <c r="R647" s="68">
        <f t="shared" si="255"/>
        <v>1444067.7776044197</v>
      </c>
      <c r="S647" s="68">
        <f>+AS647</f>
        <v>9709501.1899999995</v>
      </c>
      <c r="T647" s="68">
        <f>+'Приложение №2'!E647-'Приложение №1'!P647-'Приложение №1'!Q647-'Приложение №1'!R647-'Приложение №1'!S647</f>
        <v>445987.6495051831</v>
      </c>
      <c r="U647" s="68">
        <f t="shared" si="238"/>
        <v>8119.1465935907527</v>
      </c>
      <c r="V647" s="68">
        <v>1334.2830200640001</v>
      </c>
      <c r="W647" s="80">
        <v>2024</v>
      </c>
      <c r="X647" s="29" t="e">
        <f>+#REF!-'[1]Приложение №1'!$P1200</f>
        <v>#REF!</v>
      </c>
      <c r="Z647" s="31">
        <f t="shared" si="253"/>
        <v>26854433.359999996</v>
      </c>
      <c r="AA647" s="27">
        <v>3681294.5645548799</v>
      </c>
      <c r="AB647" s="27">
        <v>2450899.70770344</v>
      </c>
      <c r="AC647" s="27">
        <v>0</v>
      </c>
      <c r="AD647" s="27">
        <v>1346040.4200070801</v>
      </c>
      <c r="AE647" s="27">
        <v>491527.90003842005</v>
      </c>
      <c r="AF647" s="27"/>
      <c r="AG647" s="27">
        <v>205504.30800059999</v>
      </c>
      <c r="AH647" s="27">
        <v>0</v>
      </c>
      <c r="AI647" s="27">
        <v>0</v>
      </c>
      <c r="AJ647" s="27">
        <v>0</v>
      </c>
      <c r="AK647" s="27">
        <v>15124062.916324738</v>
      </c>
      <c r="AL647" s="27">
        <v>0</v>
      </c>
      <c r="AM647" s="27">
        <v>2777050.0558000002</v>
      </c>
      <c r="AN647" s="32">
        <v>268544.33360000001</v>
      </c>
      <c r="AO647" s="33">
        <v>509509.15397084004</v>
      </c>
      <c r="AP647" s="84">
        <f>+N647-'Приложение №2'!E647</f>
        <v>0</v>
      </c>
      <c r="AQ647" s="29">
        <f>1333569.91-R127</f>
        <v>1154793.3806044199</v>
      </c>
      <c r="AR647" s="1">
        <f>+(K647*13.29+L647*22.52)*12*0.85</f>
        <v>289274.397</v>
      </c>
      <c r="AS647" s="1">
        <f>+(K647*13.29+L647*22.52)*12*30-S127</f>
        <v>9709501.1899999995</v>
      </c>
      <c r="AT647" s="29">
        <f t="shared" si="240"/>
        <v>0</v>
      </c>
      <c r="AU647" s="29">
        <f>+P647-'[6]Приложение №1'!$P615</f>
        <v>0</v>
      </c>
      <c r="AV647" s="29">
        <f>+Q647-'[6]Приложение №1'!$Q615</f>
        <v>0</v>
      </c>
      <c r="AW647" s="29">
        <f>+R647-'[6]Приложение №1'!$R615</f>
        <v>-178776.52939558029</v>
      </c>
      <c r="AX647" s="29">
        <f>+S647-'[6]Приложение №1'!$S615</f>
        <v>2422246.9393955804</v>
      </c>
      <c r="AY647" s="29">
        <f>+T647-'[6]Приложение №1'!$T615</f>
        <v>-2243470.41</v>
      </c>
    </row>
    <row r="648" spans="1:51" x14ac:dyDescent="0.25">
      <c r="A648" s="133">
        <f t="shared" si="252"/>
        <v>630</v>
      </c>
      <c r="B648" s="132">
        <f t="shared" si="252"/>
        <v>168</v>
      </c>
      <c r="C648" s="77" t="s">
        <v>72</v>
      </c>
      <c r="D648" s="77" t="s">
        <v>214</v>
      </c>
      <c r="E648" s="78">
        <v>1977</v>
      </c>
      <c r="F648" s="78">
        <v>2013</v>
      </c>
      <c r="G648" s="78" t="s">
        <v>44</v>
      </c>
      <c r="H648" s="78">
        <v>9</v>
      </c>
      <c r="I648" s="78">
        <v>1</v>
      </c>
      <c r="J648" s="44">
        <v>2366.89</v>
      </c>
      <c r="K648" s="44">
        <v>1904.8</v>
      </c>
      <c r="L648" s="44">
        <v>41.8</v>
      </c>
      <c r="M648" s="79">
        <v>59</v>
      </c>
      <c r="N648" s="129">
        <f t="shared" si="254"/>
        <v>15497815.610646002</v>
      </c>
      <c r="O648" s="44"/>
      <c r="P648" s="68">
        <v>4253791.2577114999</v>
      </c>
      <c r="Q648" s="68"/>
      <c r="R648" s="68">
        <f t="shared" si="255"/>
        <v>1267186.1455999999</v>
      </c>
      <c r="S648" s="68">
        <f>+AS648</f>
        <v>6603959.1275602179</v>
      </c>
      <c r="T648" s="68">
        <f>+'Приложение №2'!E648-'Приложение №1'!P648-'Приложение №1'!Q648-'Приложение №1'!R648-'Приложение №1'!S648</f>
        <v>3372879.0797742838</v>
      </c>
      <c r="U648" s="68">
        <f t="shared" si="238"/>
        <v>8136.1904717797161</v>
      </c>
      <c r="V648" s="68">
        <v>1335.2830200640001</v>
      </c>
      <c r="W648" s="80">
        <v>2024</v>
      </c>
      <c r="X648" s="29" t="e">
        <f>+#REF!-'[1]Приложение №1'!$P1201</f>
        <v>#REF!</v>
      </c>
      <c r="Z648" s="31">
        <f t="shared" si="253"/>
        <v>28541976.041246004</v>
      </c>
      <c r="AA648" s="27">
        <v>3719699.05</v>
      </c>
      <c r="AB648" s="27">
        <v>2452058.27684286</v>
      </c>
      <c r="AC648" s="27">
        <v>1492645.9296378</v>
      </c>
      <c r="AD648" s="27">
        <v>1346676.7170788401</v>
      </c>
      <c r="AE648" s="27">
        <v>491760.24805782002</v>
      </c>
      <c r="AF648" s="27"/>
      <c r="AG648" s="27">
        <v>205601.44794671997</v>
      </c>
      <c r="AH648" s="27">
        <v>0</v>
      </c>
      <c r="AI648" s="27">
        <v>0</v>
      </c>
      <c r="AJ648" s="27">
        <v>0</v>
      </c>
      <c r="AK648" s="27">
        <v>15131212.272876842</v>
      </c>
      <c r="AL648" s="27">
        <v>0</v>
      </c>
      <c r="AM648" s="27">
        <v>2959194.6140999999</v>
      </c>
      <c r="AN648" s="32">
        <v>245562.47510000001</v>
      </c>
      <c r="AO648" s="33">
        <v>497565.00960512011</v>
      </c>
      <c r="AP648" s="84">
        <f>+N648-'Приложение №2'!E648</f>
        <v>0</v>
      </c>
      <c r="AQ648" s="29">
        <f>1227927.06-R348</f>
        <v>999373.64</v>
      </c>
      <c r="AR648" s="1">
        <f>+(K648*13.29+L648*22.52)*12*0.85</f>
        <v>267812.50559999997</v>
      </c>
      <c r="AS648" s="1">
        <f>+(K648*13.29+L648*22.52)*12*30-S348</f>
        <v>6603959.1275602179</v>
      </c>
      <c r="AT648" s="29">
        <f t="shared" si="240"/>
        <v>0</v>
      </c>
      <c r="AU648" s="29">
        <f>+P648-'[6]Приложение №1'!$P616</f>
        <v>0</v>
      </c>
      <c r="AV648" s="29">
        <f>+Q648-'[6]Приложение №1'!$Q616</f>
        <v>0</v>
      </c>
      <c r="AW648" s="29">
        <f>+R648-'[6]Приложение №1'!$R616</f>
        <v>0</v>
      </c>
      <c r="AX648" s="29">
        <f>+S648-'[6]Приложение №1'!$S616</f>
        <v>0</v>
      </c>
      <c r="AY648" s="29">
        <f>+T648-'[6]Приложение №1'!$T616</f>
        <v>0</v>
      </c>
    </row>
    <row r="649" spans="1:51" x14ac:dyDescent="0.25">
      <c r="A649" s="133">
        <f t="shared" si="252"/>
        <v>631</v>
      </c>
      <c r="B649" s="132">
        <f t="shared" si="252"/>
        <v>169</v>
      </c>
      <c r="C649" s="77" t="s">
        <v>72</v>
      </c>
      <c r="D649" s="77" t="s">
        <v>375</v>
      </c>
      <c r="E649" s="78">
        <v>1994</v>
      </c>
      <c r="F649" s="78">
        <v>2005</v>
      </c>
      <c r="G649" s="78" t="s">
        <v>44</v>
      </c>
      <c r="H649" s="78">
        <v>5</v>
      </c>
      <c r="I649" s="78">
        <v>2</v>
      </c>
      <c r="J649" s="44">
        <v>2052</v>
      </c>
      <c r="K649" s="44">
        <v>1876.9</v>
      </c>
      <c r="L649" s="44">
        <v>0</v>
      </c>
      <c r="M649" s="79">
        <v>80</v>
      </c>
      <c r="N649" s="129">
        <f t="shared" si="254"/>
        <v>26407589.646799996</v>
      </c>
      <c r="O649" s="44"/>
      <c r="P649" s="68">
        <v>4373889.0319999987</v>
      </c>
      <c r="Q649" s="68"/>
      <c r="R649" s="68">
        <f t="shared" si="255"/>
        <v>893514.12000000011</v>
      </c>
      <c r="S649" s="68">
        <f>+AS649</f>
        <v>6756840</v>
      </c>
      <c r="T649" s="68">
        <f>+'Приложение №2'!E649-'Приложение №1'!P649-'Приложение №1'!R649-'Приложение №1'!S649</f>
        <v>14383346.494799998</v>
      </c>
      <c r="U649" s="68">
        <f t="shared" si="238"/>
        <v>14069.790423997014</v>
      </c>
      <c r="V649" s="68">
        <v>1336.2830200640001</v>
      </c>
      <c r="W649" s="80">
        <v>2024</v>
      </c>
      <c r="X649" s="29" t="e">
        <f>+#REF!-'[1]Приложение №1'!$P1104</f>
        <v>#REF!</v>
      </c>
      <c r="Z649" s="31">
        <f t="shared" si="253"/>
        <v>30419518.07</v>
      </c>
      <c r="AA649" s="27">
        <v>4454647.7270950191</v>
      </c>
      <c r="AB649" s="27">
        <v>1587374.11791714</v>
      </c>
      <c r="AC649" s="27">
        <v>1658452.76095254</v>
      </c>
      <c r="AD649" s="27">
        <v>1038296.2829962799</v>
      </c>
      <c r="AE649" s="27">
        <v>635267.56802165997</v>
      </c>
      <c r="AF649" s="27"/>
      <c r="AG649" s="27">
        <v>170937.02604636003</v>
      </c>
      <c r="AH649" s="27">
        <v>0</v>
      </c>
      <c r="AI649" s="27">
        <v>8143773.8420052007</v>
      </c>
      <c r="AJ649" s="27">
        <v>0</v>
      </c>
      <c r="AK649" s="27">
        <v>4228285.0782631198</v>
      </c>
      <c r="AL649" s="27">
        <v>4560700.3930828199</v>
      </c>
      <c r="AM649" s="27">
        <v>3058573.6594000002</v>
      </c>
      <c r="AN649" s="32">
        <v>304195.18070000003</v>
      </c>
      <c r="AO649" s="33">
        <v>579014.43351986003</v>
      </c>
      <c r="AP649" s="84">
        <f>+N649-'Приложение №2'!E649</f>
        <v>0</v>
      </c>
      <c r="AQ649" s="1">
        <f>929942.06-227871.74</f>
        <v>702070.32000000007</v>
      </c>
      <c r="AR649" s="1">
        <f>+(K649*10+L649*20)*12*0.85</f>
        <v>191443.8</v>
      </c>
      <c r="AS649" s="1">
        <f>+(K649*10+L649*20)*12*30</f>
        <v>6756840</v>
      </c>
      <c r="AT649" s="29">
        <f t="shared" si="240"/>
        <v>0</v>
      </c>
      <c r="AU649" s="29">
        <f>+P649-'[6]Приложение №1'!$P617</f>
        <v>0</v>
      </c>
      <c r="AV649" s="29">
        <f>+Q649-'[6]Приложение №1'!$Q617</f>
        <v>0</v>
      </c>
      <c r="AW649" s="29">
        <f>+R649-'[6]Приложение №1'!$R617</f>
        <v>0</v>
      </c>
      <c r="AX649" s="29">
        <f>+S649-'[6]Приложение №1'!$S617</f>
        <v>0</v>
      </c>
      <c r="AY649" s="29">
        <f>+T649-'[6]Приложение №1'!$T617</f>
        <v>0</v>
      </c>
    </row>
    <row r="650" spans="1:51" x14ac:dyDescent="0.25">
      <c r="A650" s="133">
        <f t="shared" si="252"/>
        <v>632</v>
      </c>
      <c r="B650" s="132">
        <f t="shared" si="252"/>
        <v>170</v>
      </c>
      <c r="C650" s="77" t="s">
        <v>72</v>
      </c>
      <c r="D650" s="77" t="s">
        <v>85</v>
      </c>
      <c r="E650" s="78">
        <v>1973</v>
      </c>
      <c r="F650" s="78">
        <v>2013</v>
      </c>
      <c r="G650" s="78" t="s">
        <v>44</v>
      </c>
      <c r="H650" s="78">
        <v>5</v>
      </c>
      <c r="I650" s="78">
        <v>8</v>
      </c>
      <c r="J650" s="44">
        <v>6624.9</v>
      </c>
      <c r="K650" s="44">
        <v>5826</v>
      </c>
      <c r="L650" s="44">
        <v>239.3</v>
      </c>
      <c r="M650" s="79">
        <v>272</v>
      </c>
      <c r="N650" s="129">
        <f t="shared" si="254"/>
        <v>43094120.582404003</v>
      </c>
      <c r="O650" s="44"/>
      <c r="P650" s="68">
        <v>5150859.8834408009</v>
      </c>
      <c r="Q650" s="68"/>
      <c r="R650" s="68">
        <f t="shared" si="255"/>
        <v>1504844.05776</v>
      </c>
      <c r="S650" s="68">
        <f>+AS650</f>
        <v>22696560</v>
      </c>
      <c r="T650" s="68">
        <f>+'Приложение №2'!E650-'Приложение №1'!P650-'Приложение №1'!R650-'Приложение №1'!S650</f>
        <v>13741856.641203202</v>
      </c>
      <c r="U650" s="68">
        <f t="shared" si="238"/>
        <v>7396.8624411953315</v>
      </c>
      <c r="V650" s="68">
        <v>1337.2830200640001</v>
      </c>
      <c r="W650" s="80">
        <v>2024</v>
      </c>
      <c r="X650" s="29" t="e">
        <f>+#REF!-'[1]Приложение №1'!$P950</f>
        <v>#REF!</v>
      </c>
      <c r="Z650" s="31">
        <f t="shared" si="253"/>
        <v>68280809.790000007</v>
      </c>
      <c r="AA650" s="27">
        <v>14487752.111381641</v>
      </c>
      <c r="AB650" s="27">
        <v>5162581.6814224795</v>
      </c>
      <c r="AC650" s="27">
        <v>5393749.1598622799</v>
      </c>
      <c r="AD650" s="27">
        <v>3376828.00437696</v>
      </c>
      <c r="AE650" s="27">
        <v>2066066.6377251605</v>
      </c>
      <c r="AF650" s="27"/>
      <c r="AG650" s="27">
        <v>0</v>
      </c>
      <c r="AH650" s="27">
        <v>0</v>
      </c>
      <c r="AI650" s="27">
        <v>0</v>
      </c>
      <c r="AJ650" s="27">
        <v>0</v>
      </c>
      <c r="AK650" s="27">
        <v>13751557.888197359</v>
      </c>
      <c r="AL650" s="27">
        <v>14832664.840462981</v>
      </c>
      <c r="AM650" s="27">
        <v>7235033.8570000008</v>
      </c>
      <c r="AN650" s="32">
        <v>682808.09790000005</v>
      </c>
      <c r="AO650" s="33">
        <v>1291767.5116711401</v>
      </c>
      <c r="AP650" s="84">
        <f>+N650-'Приложение №2'!E650</f>
        <v>0</v>
      </c>
      <c r="AQ650" s="29">
        <f>3058321.2-R129</f>
        <v>861774.85776000004</v>
      </c>
      <c r="AR650" s="1">
        <f>+(K650*10+L650*20)*12*0.85</f>
        <v>643069.19999999995</v>
      </c>
      <c r="AS650" s="1">
        <f>+(K650*10+L650*20)*12*30-S129</f>
        <v>22696560</v>
      </c>
      <c r="AT650" s="29">
        <f t="shared" si="240"/>
        <v>0</v>
      </c>
      <c r="AU650" s="29">
        <f>+P650-'[6]Приложение №1'!$P618</f>
        <v>0</v>
      </c>
      <c r="AV650" s="29">
        <f>+Q650-'[6]Приложение №1'!$Q618</f>
        <v>0</v>
      </c>
      <c r="AW650" s="29">
        <f>+R650-'[6]Приложение №1'!$R618</f>
        <v>-405707.16000000015</v>
      </c>
      <c r="AX650" s="29">
        <f>+S650-'[6]Приложение №1'!$S618</f>
        <v>0</v>
      </c>
      <c r="AY650" s="29">
        <f>+T650-'[6]Приложение №1'!$T618</f>
        <v>405707.15999999642</v>
      </c>
    </row>
    <row r="651" spans="1:51" x14ac:dyDescent="0.25">
      <c r="A651" s="133">
        <f t="shared" si="252"/>
        <v>633</v>
      </c>
      <c r="B651" s="132">
        <f t="shared" si="252"/>
        <v>171</v>
      </c>
      <c r="C651" s="77" t="s">
        <v>72</v>
      </c>
      <c r="D651" s="77" t="s">
        <v>376</v>
      </c>
      <c r="E651" s="78">
        <v>1978</v>
      </c>
      <c r="F651" s="78">
        <v>2013</v>
      </c>
      <c r="G651" s="78" t="s">
        <v>51</v>
      </c>
      <c r="H651" s="78">
        <v>4</v>
      </c>
      <c r="I651" s="78">
        <v>4</v>
      </c>
      <c r="J651" s="44">
        <v>3933.3</v>
      </c>
      <c r="K651" s="44">
        <v>3440.6</v>
      </c>
      <c r="L651" s="44">
        <v>0</v>
      </c>
      <c r="M651" s="79">
        <v>158</v>
      </c>
      <c r="N651" s="129">
        <f t="shared" si="254"/>
        <v>13967958.4</v>
      </c>
      <c r="O651" s="44"/>
      <c r="P651" s="68"/>
      <c r="Q651" s="68"/>
      <c r="R651" s="68">
        <f t="shared" si="255"/>
        <v>1955455.68</v>
      </c>
      <c r="S651" s="68">
        <f>+'Приложение №2'!E651-'Приложение №1'!R651</f>
        <v>12012502.720000001</v>
      </c>
      <c r="T651" s="68">
        <v>0</v>
      </c>
      <c r="U651" s="68">
        <f t="shared" si="238"/>
        <v>4059.7449282101961</v>
      </c>
      <c r="V651" s="68">
        <v>1338.2830200640001</v>
      </c>
      <c r="W651" s="80">
        <v>2024</v>
      </c>
      <c r="X651" s="29" t="e">
        <f>+#REF!-'[1]Приложение №1'!$P1105</f>
        <v>#REF!</v>
      </c>
      <c r="Z651" s="31">
        <f t="shared" si="253"/>
        <v>19368823.829999998</v>
      </c>
      <c r="AA651" s="27">
        <v>5746844.1079849806</v>
      </c>
      <c r="AB651" s="27">
        <v>3323557.0585698597</v>
      </c>
      <c r="AC651" s="27">
        <v>3513245.8927511401</v>
      </c>
      <c r="AD651" s="27">
        <v>2678879.85971676</v>
      </c>
      <c r="AE651" s="27">
        <v>1070157.6639255602</v>
      </c>
      <c r="AF651" s="27"/>
      <c r="AG651" s="27">
        <v>285559.1703006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2193484.5052</v>
      </c>
      <c r="AN651" s="32">
        <v>193688.2383</v>
      </c>
      <c r="AO651" s="33">
        <v>363407.33325110003</v>
      </c>
      <c r="AP651" s="84">
        <f>+N651-'Приложение №2'!E651</f>
        <v>0</v>
      </c>
      <c r="AQ651" s="1">
        <f>1707040.6-102526.12</f>
        <v>1604514.48</v>
      </c>
      <c r="AR651" s="1">
        <f>+(K651*10+L651*20)*12*0.85</f>
        <v>350941.2</v>
      </c>
      <c r="AS651" s="1">
        <f>+(K651*10+L651*20)*12*30</f>
        <v>12386160</v>
      </c>
      <c r="AT651" s="29">
        <f t="shared" si="240"/>
        <v>-373657.27999999933</v>
      </c>
      <c r="AU651" s="29">
        <f>+P651-'[6]Приложение №1'!$P619</f>
        <v>0</v>
      </c>
      <c r="AV651" s="29">
        <f>+Q651-'[6]Приложение №1'!$Q619</f>
        <v>0</v>
      </c>
      <c r="AW651" s="29">
        <f>+R651-'[6]Приложение №1'!$R619</f>
        <v>0</v>
      </c>
      <c r="AX651" s="29">
        <f>+S651-'[6]Приложение №1'!$S619</f>
        <v>0</v>
      </c>
      <c r="AY651" s="29">
        <f>+T651-'[6]Приложение №1'!$T619</f>
        <v>0</v>
      </c>
    </row>
    <row r="652" spans="1:51" x14ac:dyDescent="0.25">
      <c r="A652" s="133">
        <f t="shared" si="252"/>
        <v>634</v>
      </c>
      <c r="B652" s="132">
        <f t="shared" si="252"/>
        <v>172</v>
      </c>
      <c r="C652" s="77" t="s">
        <v>72</v>
      </c>
      <c r="D652" s="77" t="s">
        <v>378</v>
      </c>
      <c r="E652" s="78">
        <v>1984</v>
      </c>
      <c r="F652" s="78">
        <v>2013</v>
      </c>
      <c r="G652" s="78" t="s">
        <v>51</v>
      </c>
      <c r="H652" s="78">
        <v>5</v>
      </c>
      <c r="I652" s="78">
        <v>6</v>
      </c>
      <c r="J652" s="44">
        <v>7065.3</v>
      </c>
      <c r="K652" s="44">
        <v>6214.8</v>
      </c>
      <c r="L652" s="44">
        <v>0</v>
      </c>
      <c r="M652" s="79">
        <v>231</v>
      </c>
      <c r="N652" s="129">
        <f t="shared" si="254"/>
        <v>62722849.571893282</v>
      </c>
      <c r="O652" s="44"/>
      <c r="P652" s="68">
        <v>9745896.1752586551</v>
      </c>
      <c r="Q652" s="68"/>
      <c r="R652" s="68">
        <f t="shared" si="255"/>
        <v>3455766.3000000003</v>
      </c>
      <c r="S652" s="68">
        <f>+AS652</f>
        <v>22373280</v>
      </c>
      <c r="T652" s="68">
        <f>+'Приложение №2'!E652-'Приложение №1'!P652-'Приложение №1'!R652-'Приложение №1'!S652</f>
        <v>27147907.096634626</v>
      </c>
      <c r="U652" s="68">
        <f t="shared" si="238"/>
        <v>10092.496873896711</v>
      </c>
      <c r="V652" s="68">
        <v>1340.2830200640001</v>
      </c>
      <c r="W652" s="80">
        <v>2024</v>
      </c>
      <c r="X652" s="29" t="e">
        <f>+#REF!-'[1]Приложение №1'!$P1107</f>
        <v>#REF!</v>
      </c>
      <c r="Z652" s="31">
        <f t="shared" si="253"/>
        <v>77406979.776293278</v>
      </c>
      <c r="AA652" s="27">
        <v>10370296.47949386</v>
      </c>
      <c r="AB652" s="27">
        <v>5997425.9547111001</v>
      </c>
      <c r="AC652" s="27">
        <v>6339723.2965151407</v>
      </c>
      <c r="AD652" s="27">
        <v>4834092.9101480395</v>
      </c>
      <c r="AE652" s="27">
        <v>1931121.1633392</v>
      </c>
      <c r="AF652" s="27"/>
      <c r="AG652" s="27">
        <v>515297.3006874001</v>
      </c>
      <c r="AH652" s="27">
        <v>0</v>
      </c>
      <c r="AI652" s="27">
        <v>18460706.644925997</v>
      </c>
      <c r="AJ652" s="27">
        <v>0</v>
      </c>
      <c r="AK652" s="27"/>
      <c r="AL652" s="27">
        <v>14096028.4779699</v>
      </c>
      <c r="AM652" s="27">
        <v>11578293.868000001</v>
      </c>
      <c r="AN652" s="32">
        <v>1132485.4643999999</v>
      </c>
      <c r="AO652" s="33">
        <v>2151508.2161026397</v>
      </c>
      <c r="AP652" s="84">
        <f>+N652-'Приложение №2'!E652</f>
        <v>0</v>
      </c>
      <c r="AQ652" s="1">
        <v>2821856.7</v>
      </c>
      <c r="AR652" s="1">
        <f>+(K652*10+L652*20)*12*0.85</f>
        <v>633909.6</v>
      </c>
      <c r="AS652" s="1">
        <f>+(K652*10+L652*20)*12*30</f>
        <v>22373280</v>
      </c>
      <c r="AT652" s="29">
        <f t="shared" si="240"/>
        <v>0</v>
      </c>
      <c r="AU652" s="29">
        <f>+P652-'[6]Приложение №1'!$P620</f>
        <v>0</v>
      </c>
      <c r="AV652" s="29">
        <f>+Q652-'[6]Приложение №1'!$Q620</f>
        <v>0</v>
      </c>
      <c r="AW652" s="29">
        <f>+R652-'[6]Приложение №1'!$R620</f>
        <v>0</v>
      </c>
      <c r="AX652" s="29">
        <f>+S652-'[6]Приложение №1'!$S620</f>
        <v>0</v>
      </c>
      <c r="AY652" s="29">
        <f>+T652-'[6]Приложение №1'!$T620</f>
        <v>0</v>
      </c>
    </row>
    <row r="653" spans="1:51" x14ac:dyDescent="0.25">
      <c r="A653" s="133">
        <f t="shared" si="252"/>
        <v>635</v>
      </c>
      <c r="B653" s="132">
        <f t="shared" si="252"/>
        <v>173</v>
      </c>
      <c r="C653" s="77" t="s">
        <v>72</v>
      </c>
      <c r="D653" s="77" t="s">
        <v>216</v>
      </c>
      <c r="E653" s="78">
        <v>1977</v>
      </c>
      <c r="F653" s="78">
        <v>2013</v>
      </c>
      <c r="G653" s="78" t="s">
        <v>44</v>
      </c>
      <c r="H653" s="78">
        <v>9</v>
      </c>
      <c r="I653" s="78">
        <v>1</v>
      </c>
      <c r="J653" s="44">
        <v>2362.6</v>
      </c>
      <c r="K653" s="44">
        <v>1902.4</v>
      </c>
      <c r="L653" s="44">
        <v>195.5</v>
      </c>
      <c r="M653" s="79">
        <v>72</v>
      </c>
      <c r="N653" s="129">
        <f t="shared" si="254"/>
        <v>15471833.963887997</v>
      </c>
      <c r="O653" s="44"/>
      <c r="P653" s="68">
        <v>4263457.8798470004</v>
      </c>
      <c r="Q653" s="68"/>
      <c r="R653" s="68">
        <f t="shared" si="255"/>
        <v>1591411.7512000001</v>
      </c>
      <c r="S653" s="68">
        <f>+'Приложение №2'!E653-'Приложение №1'!P653-'Приложение №1'!R653</f>
        <v>9616964.3328409959</v>
      </c>
      <c r="T653" s="68">
        <v>0</v>
      </c>
      <c r="U653" s="68">
        <f t="shared" si="238"/>
        <v>8132.7974999411254</v>
      </c>
      <c r="V653" s="68">
        <v>1341.2830200640001</v>
      </c>
      <c r="W653" s="80">
        <v>2024</v>
      </c>
      <c r="X653" s="29" t="e">
        <f>+#REF!-'[1]Приложение №1'!$P1204</f>
        <v>#REF!</v>
      </c>
      <c r="Z653" s="31">
        <f t="shared" si="253"/>
        <v>28501175.670387998</v>
      </c>
      <c r="AA653" s="27">
        <v>3719699.05</v>
      </c>
      <c r="AB653" s="27">
        <v>2447938.8995804396</v>
      </c>
      <c r="AC653" s="27">
        <v>1490138.3398477801</v>
      </c>
      <c r="AD653" s="27">
        <v>1344414.3471276001</v>
      </c>
      <c r="AE653" s="27">
        <v>490934.10601116001</v>
      </c>
      <c r="AF653" s="27"/>
      <c r="AG653" s="27">
        <v>205256.04442223997</v>
      </c>
      <c r="AH653" s="27">
        <v>0</v>
      </c>
      <c r="AI653" s="27">
        <v>0</v>
      </c>
      <c r="AJ653" s="27">
        <v>0</v>
      </c>
      <c r="AK653" s="27">
        <v>15105792.339437097</v>
      </c>
      <c r="AL653" s="27">
        <v>0</v>
      </c>
      <c r="AM653" s="27">
        <v>2953956.3437999999</v>
      </c>
      <c r="AN653" s="32">
        <v>246262.91500000001</v>
      </c>
      <c r="AO653" s="33">
        <v>496783.28516168008</v>
      </c>
      <c r="AP653" s="84">
        <f>+N653-'Приложение №2'!E653</f>
        <v>0</v>
      </c>
      <c r="AQ653" s="29">
        <f>1288619.08-R132</f>
        <v>1288619.08</v>
      </c>
      <c r="AR653" s="1">
        <f>+(K653*13.29+L653*22.52)*12*0.85</f>
        <v>302792.67119999998</v>
      </c>
      <c r="AS653" s="1">
        <f>+(K653*13.29+L653*22.52)*12*30-S132</f>
        <v>8869419.7034900598</v>
      </c>
      <c r="AT653" s="29">
        <f t="shared" si="240"/>
        <v>747544.62935093604</v>
      </c>
      <c r="AU653" s="29">
        <f>+P653-'[6]Приложение №1'!$P621</f>
        <v>0</v>
      </c>
      <c r="AV653" s="29">
        <f>+Q653-'[6]Приложение №1'!$Q621</f>
        <v>0</v>
      </c>
      <c r="AW653" s="29">
        <f>+R653-'[6]Приложение №1'!$R621</f>
        <v>312117.43999999994</v>
      </c>
      <c r="AX653" s="29">
        <f>+S653-'[6]Приложение №1'!$S621</f>
        <v>1773680.3293509372</v>
      </c>
      <c r="AY653" s="29">
        <f>+T653-'[6]Приложение №1'!$T621</f>
        <v>-2085797.7693509366</v>
      </c>
    </row>
    <row r="654" spans="1:51" x14ac:dyDescent="0.25">
      <c r="A654" s="133">
        <f t="shared" si="252"/>
        <v>636</v>
      </c>
      <c r="B654" s="132">
        <f t="shared" si="252"/>
        <v>174</v>
      </c>
      <c r="C654" s="77" t="s">
        <v>72</v>
      </c>
      <c r="D654" s="77" t="s">
        <v>217</v>
      </c>
      <c r="E654" s="78">
        <v>1995</v>
      </c>
      <c r="F654" s="78">
        <v>2013</v>
      </c>
      <c r="G654" s="78" t="s">
        <v>44</v>
      </c>
      <c r="H654" s="78">
        <v>4</v>
      </c>
      <c r="I654" s="78">
        <v>3</v>
      </c>
      <c r="J654" s="44">
        <v>1839</v>
      </c>
      <c r="K654" s="44">
        <v>1773.6</v>
      </c>
      <c r="L654" s="44">
        <v>0</v>
      </c>
      <c r="M654" s="79">
        <v>81</v>
      </c>
      <c r="N654" s="129">
        <f t="shared" si="254"/>
        <v>8700505.9915000014</v>
      </c>
      <c r="O654" s="44"/>
      <c r="P654" s="68">
        <v>590238.2375000004</v>
      </c>
      <c r="Q654" s="68"/>
      <c r="R654" s="68">
        <f t="shared" si="255"/>
        <v>910232.0199999999</v>
      </c>
      <c r="S654" s="68">
        <f>+AS654</f>
        <v>6384960</v>
      </c>
      <c r="T654" s="68">
        <f>+'Приложение №2'!E654-'Приложение №1'!P654-'Приложение №1'!R654-'Приложение №1'!S654</f>
        <v>815075.7340000011</v>
      </c>
      <c r="U654" s="68">
        <f t="shared" si="238"/>
        <v>4905.5626925462348</v>
      </c>
      <c r="V654" s="68">
        <v>1342.2830200640001</v>
      </c>
      <c r="W654" s="80">
        <v>2024</v>
      </c>
      <c r="X654" s="29" t="e">
        <f>+#REF!-'[1]Приложение №1'!$P726</f>
        <v>#REF!</v>
      </c>
      <c r="Z654" s="31">
        <f t="shared" si="253"/>
        <v>23166447.680000003</v>
      </c>
      <c r="AA654" s="27">
        <v>4256960.5015337411</v>
      </c>
      <c r="AB654" s="27">
        <v>1516930.0345470598</v>
      </c>
      <c r="AC654" s="27">
        <v>1584854.3608997399</v>
      </c>
      <c r="AD654" s="27">
        <v>992219.03665164008</v>
      </c>
      <c r="AE654" s="27">
        <v>0</v>
      </c>
      <c r="AF654" s="27"/>
      <c r="AG654" s="27">
        <v>163351.22964971996</v>
      </c>
      <c r="AH654" s="27">
        <v>0</v>
      </c>
      <c r="AI654" s="27">
        <v>7782371.5100418003</v>
      </c>
      <c r="AJ654" s="27">
        <v>0</v>
      </c>
      <c r="AK654" s="27">
        <v>4040643.3169443598</v>
      </c>
      <c r="AL654" s="27">
        <v>0</v>
      </c>
      <c r="AM654" s="27">
        <v>2152716.9961000001</v>
      </c>
      <c r="AN654" s="32">
        <v>231664.4768</v>
      </c>
      <c r="AO654" s="33">
        <v>444736.21683194005</v>
      </c>
      <c r="AP654" s="84">
        <f>+N654-'Приложение №2'!E654</f>
        <v>0</v>
      </c>
      <c r="AQ654" s="1">
        <v>729324.82</v>
      </c>
      <c r="AR654" s="1">
        <f t="shared" ref="AR654:AR692" si="256">+(K654*10+L654*20)*12*0.85</f>
        <v>180907.19999999998</v>
      </c>
      <c r="AS654" s="1">
        <f>+(K654*10+L654*20)*12*30</f>
        <v>6384960</v>
      </c>
      <c r="AT654" s="29">
        <f t="shared" si="240"/>
        <v>0</v>
      </c>
      <c r="AU654" s="29">
        <f>+P654-'[6]Приложение №1'!$P622</f>
        <v>0</v>
      </c>
      <c r="AV654" s="29">
        <f>+Q654-'[6]Приложение №1'!$Q622</f>
        <v>0</v>
      </c>
      <c r="AW654" s="29">
        <f>+R654-'[6]Приложение №1'!$R622</f>
        <v>0</v>
      </c>
      <c r="AX654" s="29">
        <f>+S654-'[6]Приложение №1'!$S622</f>
        <v>0</v>
      </c>
      <c r="AY654" s="29">
        <f>+T654-'[6]Приложение №1'!$T622</f>
        <v>0</v>
      </c>
    </row>
    <row r="655" spans="1:51" x14ac:dyDescent="0.25">
      <c r="A655" s="133">
        <f t="shared" si="252"/>
        <v>637</v>
      </c>
      <c r="B655" s="132">
        <f t="shared" si="252"/>
        <v>175</v>
      </c>
      <c r="C655" s="77" t="s">
        <v>45</v>
      </c>
      <c r="D655" s="77" t="s">
        <v>381</v>
      </c>
      <c r="E655" s="78">
        <v>1969</v>
      </c>
      <c r="F655" s="78">
        <v>2013</v>
      </c>
      <c r="G655" s="78" t="s">
        <v>44</v>
      </c>
      <c r="H655" s="78">
        <v>4</v>
      </c>
      <c r="I655" s="78">
        <v>4</v>
      </c>
      <c r="J655" s="44">
        <v>3016.9</v>
      </c>
      <c r="K655" s="44">
        <v>2778.3</v>
      </c>
      <c r="L655" s="44">
        <v>0</v>
      </c>
      <c r="M655" s="79">
        <v>148</v>
      </c>
      <c r="N655" s="129">
        <f t="shared" si="254"/>
        <v>2524095.1532999994</v>
      </c>
      <c r="O655" s="44"/>
      <c r="P655" s="68">
        <v>549981.94500000007</v>
      </c>
      <c r="Q655" s="68"/>
      <c r="R655" s="68">
        <f t="shared" si="255"/>
        <v>636134.18999999994</v>
      </c>
      <c r="S655" s="68">
        <f>+AS655</f>
        <v>1317036.33</v>
      </c>
      <c r="T655" s="68">
        <f>+'Приложение №2'!E655-'Приложение №1'!P655-'Приложение №1'!R655-'Приложение №1'!S655</f>
        <v>20942.688299999805</v>
      </c>
      <c r="U655" s="68">
        <f t="shared" si="238"/>
        <v>908.50345653817055</v>
      </c>
      <c r="V655" s="68">
        <v>1343.2830200640001</v>
      </c>
      <c r="W655" s="80">
        <v>2024</v>
      </c>
      <c r="X655" s="29" t="e">
        <f>+#REF!-'[1]Приложение №1'!$P1451</f>
        <v>#REF!</v>
      </c>
      <c r="Y655" s="1" t="s">
        <v>550</v>
      </c>
      <c r="Z655" s="31">
        <f t="shared" si="253"/>
        <v>43468971.049999997</v>
      </c>
      <c r="AA655" s="27">
        <v>6634698.5656060204</v>
      </c>
      <c r="AB655" s="27">
        <v>2364215.8595970604</v>
      </c>
      <c r="AC655" s="27">
        <v>2470079.5170193799</v>
      </c>
      <c r="AD655" s="27">
        <v>0</v>
      </c>
      <c r="AE655" s="27">
        <v>946159.85291436012</v>
      </c>
      <c r="AF655" s="27"/>
      <c r="AG655" s="27">
        <v>254591.55199295998</v>
      </c>
      <c r="AH655" s="27">
        <v>0</v>
      </c>
      <c r="AI655" s="27">
        <v>12129238.4675742</v>
      </c>
      <c r="AJ655" s="27">
        <v>0</v>
      </c>
      <c r="AK655" s="27">
        <v>6297556.7640778795</v>
      </c>
      <c r="AL655" s="27">
        <v>6792652.1243855394</v>
      </c>
      <c r="AM655" s="27">
        <v>4316528.7305000005</v>
      </c>
      <c r="AN655" s="32">
        <v>434689.71049999999</v>
      </c>
      <c r="AO655" s="33">
        <v>828559.90583259996</v>
      </c>
      <c r="AP655" s="84">
        <f>+N655-'Приложение №2'!E655</f>
        <v>0</v>
      </c>
      <c r="AQ655" s="29">
        <f>1200544.79-R135</f>
        <v>352747.58999999997</v>
      </c>
      <c r="AR655" s="1">
        <f t="shared" si="256"/>
        <v>283386.59999999998</v>
      </c>
      <c r="AS655" s="1">
        <f>+(K655*10+L655*20)*12*30-7837046.47-R135</f>
        <v>1317036.33</v>
      </c>
      <c r="AT655" s="29">
        <f t="shared" si="240"/>
        <v>0</v>
      </c>
      <c r="AU655" s="29">
        <f>+P655-'[6]Приложение №1'!$P623</f>
        <v>0</v>
      </c>
      <c r="AV655" s="29">
        <f>+Q655-'[6]Приложение №1'!$Q623</f>
        <v>0</v>
      </c>
      <c r="AW655" s="29">
        <f>+R655-'[6]Приложение №1'!$R623</f>
        <v>0</v>
      </c>
      <c r="AX655" s="29">
        <f>+S655-'[6]Приложение №1'!$S623</f>
        <v>0</v>
      </c>
      <c r="AY655" s="29">
        <f>+T655-'[6]Приложение №1'!$T623</f>
        <v>0</v>
      </c>
    </row>
    <row r="656" spans="1:51" x14ac:dyDescent="0.25">
      <c r="A656" s="133">
        <f t="shared" si="252"/>
        <v>638</v>
      </c>
      <c r="B656" s="132">
        <f t="shared" si="252"/>
        <v>176</v>
      </c>
      <c r="C656" s="77" t="s">
        <v>45</v>
      </c>
      <c r="D656" s="77" t="s">
        <v>86</v>
      </c>
      <c r="E656" s="78">
        <v>1962</v>
      </c>
      <c r="F656" s="78">
        <v>1962</v>
      </c>
      <c r="G656" s="78" t="s">
        <v>44</v>
      </c>
      <c r="H656" s="78">
        <v>2</v>
      </c>
      <c r="I656" s="78">
        <v>1</v>
      </c>
      <c r="J656" s="44">
        <v>618.70000000000005</v>
      </c>
      <c r="K656" s="44">
        <v>460.5</v>
      </c>
      <c r="L656" s="44">
        <v>0</v>
      </c>
      <c r="M656" s="79">
        <v>45</v>
      </c>
      <c r="N656" s="129">
        <f t="shared" si="254"/>
        <v>420332.95579999994</v>
      </c>
      <c r="O656" s="44"/>
      <c r="P656" s="68">
        <f>+'Приложение №2'!E656-'Приложение №1'!R656-'Приложение №1'!S656</f>
        <v>0</v>
      </c>
      <c r="Q656" s="68"/>
      <c r="R656" s="68">
        <v>0</v>
      </c>
      <c r="S656" s="68">
        <f>+'Приложение №2'!E656-'Приложение №1'!R656</f>
        <v>420332.95579999994</v>
      </c>
      <c r="T656" s="68">
        <f>+'Приложение №2'!E656-'Приложение №1'!P656-'Приложение №1'!R656-'Приложение №1'!S656</f>
        <v>0</v>
      </c>
      <c r="U656" s="68">
        <f t="shared" si="238"/>
        <v>912.7751483170465</v>
      </c>
      <c r="V656" s="68">
        <v>1344.2830200640001</v>
      </c>
      <c r="W656" s="80">
        <v>2024</v>
      </c>
      <c r="X656" s="29" t="e">
        <f>+#REF!-'[1]Приложение №1'!$P977</f>
        <v>#REF!</v>
      </c>
      <c r="Z656" s="31">
        <f t="shared" si="253"/>
        <v>6521557.4500000002</v>
      </c>
      <c r="AA656" s="27">
        <v>0</v>
      </c>
      <c r="AB656" s="27">
        <v>875995.49980991997</v>
      </c>
      <c r="AC656" s="27">
        <v>411337.83054587996</v>
      </c>
      <c r="AD656" s="27">
        <v>350714.74954488</v>
      </c>
      <c r="AE656" s="27">
        <v>0</v>
      </c>
      <c r="AF656" s="27"/>
      <c r="AG656" s="27">
        <v>0</v>
      </c>
      <c r="AH656" s="27">
        <v>0</v>
      </c>
      <c r="AI656" s="27">
        <v>4074971.6952377995</v>
      </c>
      <c r="AJ656" s="27">
        <v>0</v>
      </c>
      <c r="AK656" s="27">
        <v>0</v>
      </c>
      <c r="AL656" s="27">
        <v>0</v>
      </c>
      <c r="AM656" s="27">
        <v>618389.92870000005</v>
      </c>
      <c r="AN656" s="32">
        <v>65215.574499999995</v>
      </c>
      <c r="AO656" s="33">
        <v>124932.17166151998</v>
      </c>
      <c r="AP656" s="84">
        <f>+N656-'Приложение №2'!E656</f>
        <v>0</v>
      </c>
      <c r="AQ656" s="29">
        <f>205930.75-R137</f>
        <v>-46971</v>
      </c>
      <c r="AR656" s="1">
        <f t="shared" si="256"/>
        <v>46971</v>
      </c>
      <c r="AS656" s="1">
        <f>+(K656*10+L656*20)*12*30-R137</f>
        <v>1404898.25</v>
      </c>
      <c r="AT656" s="29">
        <f t="shared" si="240"/>
        <v>-984565.29420000012</v>
      </c>
      <c r="AU656" s="29">
        <f>+P656-'[6]Приложение №1'!$P624</f>
        <v>0</v>
      </c>
      <c r="AV656" s="29">
        <f>+Q656-'[6]Приложение №1'!$Q624</f>
        <v>0</v>
      </c>
      <c r="AW656" s="29">
        <f>+R656-'[6]Приложение №1'!$R624</f>
        <v>0</v>
      </c>
      <c r="AX656" s="29">
        <f>+S656-'[6]Приложение №1'!$S624</f>
        <v>0</v>
      </c>
      <c r="AY656" s="29">
        <f>+T656-'[6]Приложение №1'!$T624</f>
        <v>0</v>
      </c>
    </row>
    <row r="657" spans="1:51" x14ac:dyDescent="0.25">
      <c r="A657" s="133">
        <f t="shared" si="252"/>
        <v>639</v>
      </c>
      <c r="B657" s="132">
        <f t="shared" si="252"/>
        <v>177</v>
      </c>
      <c r="C657" s="77" t="s">
        <v>87</v>
      </c>
      <c r="D657" s="77" t="s">
        <v>219</v>
      </c>
      <c r="E657" s="78">
        <v>1964</v>
      </c>
      <c r="F657" s="78">
        <v>1964</v>
      </c>
      <c r="G657" s="78" t="s">
        <v>44</v>
      </c>
      <c r="H657" s="78">
        <v>2</v>
      </c>
      <c r="I657" s="78">
        <v>2</v>
      </c>
      <c r="J657" s="44">
        <v>660.09</v>
      </c>
      <c r="K657" s="44">
        <v>608.58000000000004</v>
      </c>
      <c r="L657" s="44">
        <v>0</v>
      </c>
      <c r="M657" s="79">
        <v>32</v>
      </c>
      <c r="N657" s="129">
        <f t="shared" si="254"/>
        <v>522546.69680000003</v>
      </c>
      <c r="O657" s="44"/>
      <c r="P657" s="68"/>
      <c r="Q657" s="68"/>
      <c r="R657" s="68">
        <f t="shared" ref="R657:R664" si="257">+AQ657+AR657</f>
        <v>380233.89</v>
      </c>
      <c r="S657" s="68">
        <f>+'Приложение №2'!E657-'Приложение №1'!R657</f>
        <v>142312.80680000002</v>
      </c>
      <c r="T657" s="68">
        <v>0</v>
      </c>
      <c r="U657" s="68">
        <f t="shared" si="238"/>
        <v>858.63271352985635</v>
      </c>
      <c r="V657" s="68">
        <v>1345.2830200640001</v>
      </c>
      <c r="W657" s="80">
        <v>2024</v>
      </c>
      <c r="X657" s="29" t="e">
        <f>+#REF!-'[1]Приложение №1'!$P738</f>
        <v>#REF!</v>
      </c>
      <c r="Z657" s="31">
        <f t="shared" si="253"/>
        <v>4551398.5399999991</v>
      </c>
      <c r="AA657" s="27">
        <v>1783504.6065618601</v>
      </c>
      <c r="AB657" s="27">
        <v>1085237.2512912001</v>
      </c>
      <c r="AC657" s="27">
        <v>511364.19748848001</v>
      </c>
      <c r="AD657" s="27">
        <v>435798.11897832004</v>
      </c>
      <c r="AE657" s="27">
        <v>0</v>
      </c>
      <c r="AF657" s="27"/>
      <c r="AG657" s="27">
        <v>189558.68370852002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412830.33630000002</v>
      </c>
      <c r="AN657" s="32">
        <v>45513.985399999998</v>
      </c>
      <c r="AO657" s="33">
        <v>87591.360271620011</v>
      </c>
      <c r="AP657" s="84">
        <f>+N657-'Приложение №2'!E657</f>
        <v>0</v>
      </c>
      <c r="AQ657" s="1">
        <v>318158.73</v>
      </c>
      <c r="AR657" s="1">
        <f t="shared" si="256"/>
        <v>62075.16</v>
      </c>
      <c r="AS657" s="1">
        <f>+(K657*10+L657*20)*12*30</f>
        <v>2190888</v>
      </c>
      <c r="AT657" s="29">
        <f t="shared" si="240"/>
        <v>-2048575.1932000001</v>
      </c>
      <c r="AU657" s="29">
        <f>+P657-'[6]Приложение №1'!$P625</f>
        <v>0</v>
      </c>
      <c r="AV657" s="29">
        <f>+Q657-'[6]Приложение №1'!$Q625</f>
        <v>0</v>
      </c>
      <c r="AW657" s="29">
        <f>+R657-'[6]Приложение №1'!$R625</f>
        <v>0</v>
      </c>
      <c r="AX657" s="29">
        <f>+S657-'[6]Приложение №1'!$S625</f>
        <v>0</v>
      </c>
      <c r="AY657" s="29">
        <f>+T657-'[6]Приложение №1'!$T625</f>
        <v>0</v>
      </c>
    </row>
    <row r="658" spans="1:51" x14ac:dyDescent="0.25">
      <c r="A658" s="133">
        <f t="shared" ref="A658:B673" si="258">+A657+1</f>
        <v>640</v>
      </c>
      <c r="B658" s="132">
        <f t="shared" si="258"/>
        <v>178</v>
      </c>
      <c r="C658" s="77" t="s">
        <v>220</v>
      </c>
      <c r="D658" s="77" t="s">
        <v>221</v>
      </c>
      <c r="E658" s="78">
        <v>1981</v>
      </c>
      <c r="F658" s="78">
        <v>2010</v>
      </c>
      <c r="G658" s="78" t="s">
        <v>44</v>
      </c>
      <c r="H658" s="78">
        <v>2</v>
      </c>
      <c r="I658" s="78">
        <v>2</v>
      </c>
      <c r="J658" s="44">
        <v>774.6</v>
      </c>
      <c r="K658" s="44">
        <v>714.53</v>
      </c>
      <c r="L658" s="44">
        <v>0</v>
      </c>
      <c r="M658" s="79">
        <v>28</v>
      </c>
      <c r="N658" s="129">
        <f t="shared" si="254"/>
        <v>3497618.6288999999</v>
      </c>
      <c r="O658" s="44"/>
      <c r="P658" s="68">
        <f>+'Приложение №2'!E658-'Приложение №1'!R658-'Приложение №1'!S658</f>
        <v>503219.86890000058</v>
      </c>
      <c r="Q658" s="68"/>
      <c r="R658" s="68">
        <f t="shared" si="257"/>
        <v>422090.76</v>
      </c>
      <c r="S658" s="68">
        <f>+AS658</f>
        <v>2572307.9999999995</v>
      </c>
      <c r="T658" s="68">
        <v>0</v>
      </c>
      <c r="U658" s="68">
        <f t="shared" si="238"/>
        <v>4894.9919931983259</v>
      </c>
      <c r="V658" s="68">
        <v>1346.2830200640001</v>
      </c>
      <c r="W658" s="80">
        <v>2024</v>
      </c>
      <c r="X658" s="29" t="e">
        <f>+#REF!-'[1]Приложение №1'!$P741</f>
        <v>#REF!</v>
      </c>
      <c r="Z658" s="31">
        <f t="shared" si="253"/>
        <v>3874188.8000000003</v>
      </c>
      <c r="AA658" s="27">
        <v>2090429.3526916802</v>
      </c>
      <c r="AB658" s="27">
        <v>0</v>
      </c>
      <c r="AC658" s="27">
        <v>599365.27642445988</v>
      </c>
      <c r="AD658" s="27">
        <v>510794.96876771998</v>
      </c>
      <c r="AE658" s="27">
        <v>0</v>
      </c>
      <c r="AF658" s="27"/>
      <c r="AG658" s="27">
        <v>222179.99235767999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337828.28310000006</v>
      </c>
      <c r="AN658" s="32">
        <v>38741.887999999999</v>
      </c>
      <c r="AO658" s="33">
        <v>74849.038658460006</v>
      </c>
      <c r="AP658" s="84">
        <f>+N658-'Приложение №2'!E658</f>
        <v>0</v>
      </c>
      <c r="AQ658" s="1">
        <v>349208.7</v>
      </c>
      <c r="AR658" s="1">
        <f t="shared" si="256"/>
        <v>72882.06</v>
      </c>
      <c r="AS658" s="1">
        <f>+(K658*10+L658*20)*12*30</f>
        <v>2572307.9999999995</v>
      </c>
      <c r="AT658" s="29">
        <f t="shared" si="240"/>
        <v>0</v>
      </c>
      <c r="AU658" s="29">
        <f>+P658-'[6]Приложение №1'!$P626</f>
        <v>0</v>
      </c>
      <c r="AV658" s="29">
        <f>+Q658-'[6]Приложение №1'!$Q626</f>
        <v>0</v>
      </c>
      <c r="AW658" s="29">
        <f>+R658-'[6]Приложение №1'!$R626</f>
        <v>0</v>
      </c>
      <c r="AX658" s="29">
        <f>+S658-'[6]Приложение №1'!$S626</f>
        <v>0</v>
      </c>
      <c r="AY658" s="29">
        <f>+T658-'[6]Приложение №1'!$T626</f>
        <v>0</v>
      </c>
    </row>
    <row r="659" spans="1:51" x14ac:dyDescent="0.25">
      <c r="A659" s="133">
        <f t="shared" si="258"/>
        <v>641</v>
      </c>
      <c r="B659" s="132">
        <f t="shared" si="258"/>
        <v>179</v>
      </c>
      <c r="C659" s="77" t="s">
        <v>220</v>
      </c>
      <c r="D659" s="77" t="s">
        <v>222</v>
      </c>
      <c r="E659" s="78">
        <v>1983</v>
      </c>
      <c r="F659" s="78">
        <v>1983</v>
      </c>
      <c r="G659" s="78" t="s">
        <v>44</v>
      </c>
      <c r="H659" s="78">
        <v>2</v>
      </c>
      <c r="I659" s="78">
        <v>2</v>
      </c>
      <c r="J659" s="44">
        <v>910.77</v>
      </c>
      <c r="K659" s="44">
        <v>841.26</v>
      </c>
      <c r="L659" s="44">
        <v>0</v>
      </c>
      <c r="M659" s="79">
        <v>34</v>
      </c>
      <c r="N659" s="129">
        <f t="shared" si="254"/>
        <v>722841.11670000001</v>
      </c>
      <c r="O659" s="44"/>
      <c r="P659" s="68">
        <v>299229.82999999996</v>
      </c>
      <c r="Q659" s="68"/>
      <c r="R659" s="68">
        <f t="shared" si="257"/>
        <v>73388.679999999978</v>
      </c>
      <c r="S659" s="68">
        <f>+'Приложение №2'!E659-'Приложение №1'!P659-R659</f>
        <v>350222.60670000006</v>
      </c>
      <c r="T659" s="68">
        <f>+'Приложение №2'!E659-'Приложение №1'!P659-'Приложение №1'!Q659-'Приложение №1'!R659-'Приложение №1'!S659</f>
        <v>0</v>
      </c>
      <c r="U659" s="68">
        <f t="shared" si="238"/>
        <v>859.23628450181877</v>
      </c>
      <c r="V659" s="68">
        <v>1347.2830200640001</v>
      </c>
      <c r="W659" s="80">
        <v>2024</v>
      </c>
      <c r="X659" s="29" t="e">
        <f>+#REF!-'[1]Приложение №1'!$P1219</f>
        <v>#REF!</v>
      </c>
      <c r="Z659" s="31">
        <f t="shared" si="253"/>
        <v>6295969.4100000001</v>
      </c>
      <c r="AA659" s="27">
        <v>2467129.6784152202</v>
      </c>
      <c r="AB659" s="27">
        <v>1501213.4170404002</v>
      </c>
      <c r="AC659" s="27">
        <v>707372.31680261996</v>
      </c>
      <c r="AD659" s="27">
        <v>602841.43419444002</v>
      </c>
      <c r="AE659" s="27">
        <v>0</v>
      </c>
      <c r="AF659" s="27"/>
      <c r="AG659" s="27">
        <v>262217.35903776006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571070.00050000008</v>
      </c>
      <c r="AN659" s="32">
        <v>62959.694100000001</v>
      </c>
      <c r="AO659" s="33">
        <v>121165.50990956002</v>
      </c>
      <c r="AP659" s="84">
        <f>+N659-'Приложение №2'!E659</f>
        <v>0</v>
      </c>
      <c r="AQ659" s="29">
        <f>380898.3-R138</f>
        <v>-12419.840000000026</v>
      </c>
      <c r="AR659" s="1">
        <f t="shared" si="256"/>
        <v>85808.52</v>
      </c>
      <c r="AS659" s="1">
        <f>+(K659*10+L659*20)*12*30-S138</f>
        <v>2246392.0881529804</v>
      </c>
      <c r="AT659" s="29">
        <f t="shared" si="240"/>
        <v>-1896169.4814529803</v>
      </c>
      <c r="AU659" s="29">
        <f>+P659-'[6]Приложение №1'!$P627</f>
        <v>0</v>
      </c>
      <c r="AV659" s="29">
        <f>+Q659-'[6]Приложение №1'!$Q627</f>
        <v>0</v>
      </c>
      <c r="AW659" s="29">
        <f>+R659-'[6]Приложение №1'!$R627</f>
        <v>0</v>
      </c>
      <c r="AX659" s="29">
        <f>+S659-'[6]Приложение №1'!$S627</f>
        <v>0</v>
      </c>
      <c r="AY659" s="29">
        <f>+T659-'[6]Приложение №1'!$T627</f>
        <v>0</v>
      </c>
    </row>
    <row r="660" spans="1:51" x14ac:dyDescent="0.25">
      <c r="A660" s="133">
        <f t="shared" si="258"/>
        <v>642</v>
      </c>
      <c r="B660" s="132">
        <f t="shared" si="258"/>
        <v>180</v>
      </c>
      <c r="C660" s="77" t="s">
        <v>88</v>
      </c>
      <c r="D660" s="77" t="s">
        <v>223</v>
      </c>
      <c r="E660" s="78">
        <v>1984</v>
      </c>
      <c r="F660" s="78">
        <v>1984</v>
      </c>
      <c r="G660" s="78" t="s">
        <v>44</v>
      </c>
      <c r="H660" s="78">
        <v>2</v>
      </c>
      <c r="I660" s="78">
        <v>2</v>
      </c>
      <c r="J660" s="44">
        <v>638.79999999999995</v>
      </c>
      <c r="K660" s="44">
        <v>591.79999999999995</v>
      </c>
      <c r="L660" s="44">
        <v>0</v>
      </c>
      <c r="M660" s="79">
        <v>27</v>
      </c>
      <c r="N660" s="129">
        <f t="shared" si="254"/>
        <v>3973408.8198000016</v>
      </c>
      <c r="O660" s="44"/>
      <c r="P660" s="68">
        <v>508425.41750000021</v>
      </c>
      <c r="Q660" s="68"/>
      <c r="R660" s="68">
        <f t="shared" si="257"/>
        <v>254173.46</v>
      </c>
      <c r="S660" s="68">
        <f>+AS660</f>
        <v>2130480</v>
      </c>
      <c r="T660" s="68">
        <f>+'Приложение №2'!E660-'Приложение №1'!P660-'Приложение №1'!R660-'Приложение №1'!S660</f>
        <v>1080329.9423000012</v>
      </c>
      <c r="U660" s="68">
        <f t="shared" si="238"/>
        <v>6714.1075021966908</v>
      </c>
      <c r="V660" s="68">
        <v>1348.2830200640001</v>
      </c>
      <c r="W660" s="80">
        <v>2024</v>
      </c>
      <c r="X660" s="29" t="e">
        <f>+#REF!-'[1]Приложение №1'!$P743</f>
        <v>#REF!</v>
      </c>
      <c r="Z660" s="31">
        <f t="shared" si="253"/>
        <v>4418355.1300000008</v>
      </c>
      <c r="AA660" s="27">
        <v>1731370.4004597</v>
      </c>
      <c r="AB660" s="27">
        <v>1053514.3282679403</v>
      </c>
      <c r="AC660" s="27">
        <v>496416.34494900005</v>
      </c>
      <c r="AD660" s="27">
        <v>423059.16646896006</v>
      </c>
      <c r="AE660" s="27">
        <v>0</v>
      </c>
      <c r="AF660" s="27"/>
      <c r="AG660" s="27">
        <v>184017.63091067999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400762.75890000002</v>
      </c>
      <c r="AN660" s="32">
        <v>44183.551299999999</v>
      </c>
      <c r="AO660" s="33">
        <v>85030.948743720015</v>
      </c>
      <c r="AP660" s="84">
        <f>+N660-'Приложение №2'!E660</f>
        <v>0</v>
      </c>
      <c r="AQ660" s="1">
        <v>193809.86</v>
      </c>
      <c r="AR660" s="1">
        <f t="shared" si="256"/>
        <v>60363.6</v>
      </c>
      <c r="AS660" s="1">
        <f>+(K660*10+L660*20)*12*30</f>
        <v>2130480</v>
      </c>
      <c r="AT660" s="29">
        <f t="shared" si="240"/>
        <v>0</v>
      </c>
      <c r="AU660" s="29">
        <f>+P660-'[6]Приложение №1'!$P628</f>
        <v>0</v>
      </c>
      <c r="AV660" s="29">
        <f>+Q660-'[6]Приложение №1'!$Q628</f>
        <v>0</v>
      </c>
      <c r="AW660" s="29">
        <f>+R660-'[6]Приложение №1'!$R628</f>
        <v>0</v>
      </c>
      <c r="AX660" s="29">
        <f>+S660-'[6]Приложение №1'!$S628</f>
        <v>0</v>
      </c>
      <c r="AY660" s="29">
        <f>+T660-'[6]Приложение №1'!$T628</f>
        <v>0</v>
      </c>
    </row>
    <row r="661" spans="1:51" x14ac:dyDescent="0.25">
      <c r="A661" s="133">
        <f t="shared" si="258"/>
        <v>643</v>
      </c>
      <c r="B661" s="132">
        <f t="shared" si="258"/>
        <v>181</v>
      </c>
      <c r="C661" s="77" t="s">
        <v>89</v>
      </c>
      <c r="D661" s="77" t="s">
        <v>90</v>
      </c>
      <c r="E661" s="78">
        <v>1961</v>
      </c>
      <c r="F661" s="78">
        <v>2009</v>
      </c>
      <c r="G661" s="78" t="s">
        <v>44</v>
      </c>
      <c r="H661" s="78">
        <v>2</v>
      </c>
      <c r="I661" s="78">
        <v>2</v>
      </c>
      <c r="J661" s="44">
        <v>1068.6199999999999</v>
      </c>
      <c r="K661" s="44">
        <v>637.97</v>
      </c>
      <c r="L661" s="44">
        <v>254.2</v>
      </c>
      <c r="M661" s="79">
        <v>27</v>
      </c>
      <c r="N661" s="129">
        <f t="shared" si="254"/>
        <v>546650.25530000008</v>
      </c>
      <c r="O661" s="44"/>
      <c r="P661" s="68"/>
      <c r="Q661" s="68"/>
      <c r="R661" s="68">
        <f t="shared" si="257"/>
        <v>91300.090000000055</v>
      </c>
      <c r="S661" s="68">
        <f>+'Приложение №2'!E661-'Приложение №1'!R661</f>
        <v>455350.16529999999</v>
      </c>
      <c r="T661" s="68">
        <v>0</v>
      </c>
      <c r="U661" s="68">
        <f t="shared" si="238"/>
        <v>856.85887314450531</v>
      </c>
      <c r="V661" s="68">
        <v>1349.2830200640001</v>
      </c>
      <c r="W661" s="80">
        <v>2024</v>
      </c>
      <c r="X661" s="29" t="e">
        <f>+#REF!-'[1]Приложение №1'!$P744</f>
        <v>#REF!</v>
      </c>
      <c r="Z661" s="31">
        <f t="shared" si="253"/>
        <v>614213.77</v>
      </c>
      <c r="AA661" s="27">
        <v>0</v>
      </c>
      <c r="AB661" s="27">
        <v>0</v>
      </c>
      <c r="AC661" s="27">
        <v>534951.93983658007</v>
      </c>
      <c r="AD661" s="27">
        <v>0</v>
      </c>
      <c r="AE661" s="27">
        <v>0</v>
      </c>
      <c r="AF661" s="27"/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61421.377000000008</v>
      </c>
      <c r="AN661" s="32">
        <v>6142.1377000000002</v>
      </c>
      <c r="AO661" s="33">
        <v>11698.315463420002</v>
      </c>
      <c r="AP661" s="84">
        <f>+N661-'Приложение №2'!E661</f>
        <v>0</v>
      </c>
      <c r="AQ661" s="1">
        <f>262822.65-288452.3</f>
        <v>-25629.649999999965</v>
      </c>
      <c r="AR661" s="1">
        <f t="shared" si="256"/>
        <v>116929.74000000002</v>
      </c>
      <c r="AS661" s="1">
        <f>+(K661*10+L661*20)*12*30-886844.04</f>
        <v>3240087.9600000009</v>
      </c>
      <c r="AT661" s="29">
        <f t="shared" si="240"/>
        <v>-2784737.7947000009</v>
      </c>
      <c r="AU661" s="29">
        <f>+P661-'[6]Приложение №1'!$P629</f>
        <v>0</v>
      </c>
      <c r="AV661" s="29">
        <f>+Q661-'[6]Приложение №1'!$Q629</f>
        <v>0</v>
      </c>
      <c r="AW661" s="29">
        <f>+R661-'[6]Приложение №1'!$R629</f>
        <v>0</v>
      </c>
      <c r="AX661" s="29">
        <f>+S661-'[6]Приложение №1'!$S629</f>
        <v>0</v>
      </c>
      <c r="AY661" s="29">
        <f>+T661-'[6]Приложение №1'!$T629</f>
        <v>0</v>
      </c>
    </row>
    <row r="662" spans="1:51" x14ac:dyDescent="0.25">
      <c r="A662" s="133">
        <f t="shared" si="258"/>
        <v>644</v>
      </c>
      <c r="B662" s="132">
        <f t="shared" si="258"/>
        <v>182</v>
      </c>
      <c r="C662" s="77" t="s">
        <v>89</v>
      </c>
      <c r="D662" s="77" t="s">
        <v>91</v>
      </c>
      <c r="E662" s="78">
        <v>1964</v>
      </c>
      <c r="F662" s="78">
        <v>2009</v>
      </c>
      <c r="G662" s="78" t="s">
        <v>44</v>
      </c>
      <c r="H662" s="78">
        <v>2</v>
      </c>
      <c r="I662" s="78">
        <v>2</v>
      </c>
      <c r="J662" s="44">
        <v>814.22</v>
      </c>
      <c r="K662" s="44">
        <v>596</v>
      </c>
      <c r="L662" s="44">
        <v>218.22</v>
      </c>
      <c r="M662" s="79">
        <v>18</v>
      </c>
      <c r="N662" s="129">
        <f t="shared" si="254"/>
        <v>510906.35119999998</v>
      </c>
      <c r="O662" s="44"/>
      <c r="P662" s="68"/>
      <c r="Q662" s="68"/>
      <c r="R662" s="68">
        <f t="shared" si="257"/>
        <v>87262.269999999975</v>
      </c>
      <c r="S662" s="68">
        <f>+'Приложение №2'!E662-'Приложение №1'!R662</f>
        <v>423644.08120000002</v>
      </c>
      <c r="T662" s="68">
        <v>0</v>
      </c>
      <c r="U662" s="68">
        <f t="shared" si="238"/>
        <v>857.22542147651006</v>
      </c>
      <c r="V662" s="68">
        <v>1350.2830200640001</v>
      </c>
      <c r="W662" s="80">
        <v>2024</v>
      </c>
      <c r="X662" s="29" t="e">
        <f>+#REF!-'[1]Приложение №1'!$P745</f>
        <v>#REF!</v>
      </c>
      <c r="Z662" s="31">
        <f t="shared" si="253"/>
        <v>574052.08000000007</v>
      </c>
      <c r="AA662" s="27">
        <v>0</v>
      </c>
      <c r="AB662" s="27">
        <v>0</v>
      </c>
      <c r="AC662" s="27">
        <v>499972.95528431999</v>
      </c>
      <c r="AD662" s="27">
        <v>0</v>
      </c>
      <c r="AE662" s="27">
        <v>0</v>
      </c>
      <c r="AF662" s="27"/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57405.207999999999</v>
      </c>
      <c r="AN662" s="32">
        <v>5740.5207999999993</v>
      </c>
      <c r="AO662" s="33">
        <v>10933.395915679999</v>
      </c>
      <c r="AP662" s="84">
        <f>+N662-'Приложение №2'!E662</f>
        <v>0</v>
      </c>
      <c r="AQ662" s="1">
        <f>259230.15-277276.76</f>
        <v>-18046.610000000015</v>
      </c>
      <c r="AR662" s="1">
        <f t="shared" si="256"/>
        <v>105308.87999999999</v>
      </c>
      <c r="AS662" s="1">
        <f>+(K662*10+L662*20)*12*30-756724.06</f>
        <v>2960059.9399999995</v>
      </c>
      <c r="AT662" s="29">
        <f t="shared" si="240"/>
        <v>-2536415.8587999996</v>
      </c>
      <c r="AU662" s="29">
        <f>+P662-'[6]Приложение №1'!$P630</f>
        <v>0</v>
      </c>
      <c r="AV662" s="29">
        <f>+Q662-'[6]Приложение №1'!$Q630</f>
        <v>0</v>
      </c>
      <c r="AW662" s="29">
        <f>+R662-'[6]Приложение №1'!$R630</f>
        <v>0</v>
      </c>
      <c r="AX662" s="29">
        <f>+S662-'[6]Приложение №1'!$S630</f>
        <v>0</v>
      </c>
      <c r="AY662" s="29">
        <f>+T662-'[6]Приложение №1'!$T630</f>
        <v>0</v>
      </c>
    </row>
    <row r="663" spans="1:51" x14ac:dyDescent="0.25">
      <c r="A663" s="133">
        <f t="shared" si="258"/>
        <v>645</v>
      </c>
      <c r="B663" s="132">
        <f t="shared" si="258"/>
        <v>183</v>
      </c>
      <c r="C663" s="77" t="s">
        <v>89</v>
      </c>
      <c r="D663" s="77" t="s">
        <v>224</v>
      </c>
      <c r="E663" s="78">
        <v>1969</v>
      </c>
      <c r="F663" s="78">
        <v>1969</v>
      </c>
      <c r="G663" s="78" t="s">
        <v>44</v>
      </c>
      <c r="H663" s="78">
        <v>2</v>
      </c>
      <c r="I663" s="78">
        <v>2</v>
      </c>
      <c r="J663" s="44">
        <v>842.59</v>
      </c>
      <c r="K663" s="44">
        <v>626.4</v>
      </c>
      <c r="L663" s="44">
        <v>216.19</v>
      </c>
      <c r="M663" s="79">
        <v>29</v>
      </c>
      <c r="N663" s="129">
        <f t="shared" si="254"/>
        <v>536929.96900000004</v>
      </c>
      <c r="O663" s="44"/>
      <c r="P663" s="68"/>
      <c r="Q663" s="68"/>
      <c r="R663" s="68">
        <f t="shared" si="257"/>
        <v>119974.64999999995</v>
      </c>
      <c r="S663" s="68">
        <f>+'Приложение №2'!E663-'Приложение №1'!R663</f>
        <v>416955.31900000008</v>
      </c>
      <c r="T663" s="68">
        <v>0</v>
      </c>
      <c r="U663" s="68">
        <f t="shared" ref="U663:U726" si="259">N663/K663</f>
        <v>857.16789431673067</v>
      </c>
      <c r="V663" s="68">
        <v>1351.2830200640001</v>
      </c>
      <c r="W663" s="80">
        <v>2024</v>
      </c>
      <c r="X663" s="29">
        <f>+S663-'[1]Приложение №1'!$P749</f>
        <v>-186336.7809999999</v>
      </c>
      <c r="Z663" s="31">
        <f t="shared" si="253"/>
        <v>603292.1</v>
      </c>
      <c r="AA663" s="27">
        <v>0</v>
      </c>
      <c r="AB663" s="27">
        <v>0</v>
      </c>
      <c r="AC663" s="27">
        <v>525439.66766340006</v>
      </c>
      <c r="AD663" s="27">
        <v>0</v>
      </c>
      <c r="AE663" s="27">
        <v>0</v>
      </c>
      <c r="AF663" s="27"/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60329.21</v>
      </c>
      <c r="AN663" s="32">
        <v>6032.9210000000003</v>
      </c>
      <c r="AO663" s="33">
        <v>11490.301336600001</v>
      </c>
      <c r="AP663" s="84">
        <f>+N663-'Приложение №2'!E663</f>
        <v>0</v>
      </c>
      <c r="AQ663" s="1">
        <f>308865.66-296886.57</f>
        <v>11979.089999999967</v>
      </c>
      <c r="AR663" s="1">
        <f t="shared" si="256"/>
        <v>107995.55999999998</v>
      </c>
      <c r="AS663" s="1">
        <f>+(K663*10+L663*20)*12*30-514905.43</f>
        <v>3296702.5699999994</v>
      </c>
      <c r="AT663" s="29">
        <f t="shared" si="240"/>
        <v>-2879747.2509999992</v>
      </c>
      <c r="AU663" s="29">
        <f>+P663-'[6]Приложение №1'!$P631</f>
        <v>0</v>
      </c>
      <c r="AV663" s="29">
        <f>+Q663-'[6]Приложение №1'!$Q631</f>
        <v>0</v>
      </c>
      <c r="AW663" s="29">
        <f>+R663-'[6]Приложение №1'!$R631</f>
        <v>0</v>
      </c>
      <c r="AX663" s="29">
        <f>+S663-'[6]Приложение №1'!$S631</f>
        <v>0</v>
      </c>
      <c r="AY663" s="29">
        <f>+T663-'[6]Приложение №1'!$T631</f>
        <v>0</v>
      </c>
    </row>
    <row r="664" spans="1:51" x14ac:dyDescent="0.25">
      <c r="A664" s="133">
        <f t="shared" si="258"/>
        <v>646</v>
      </c>
      <c r="B664" s="132">
        <f t="shared" si="258"/>
        <v>184</v>
      </c>
      <c r="C664" s="77" t="s">
        <v>89</v>
      </c>
      <c r="D664" s="77" t="s">
        <v>225</v>
      </c>
      <c r="E664" s="78">
        <v>1963</v>
      </c>
      <c r="F664" s="78">
        <v>2008</v>
      </c>
      <c r="G664" s="78" t="s">
        <v>44</v>
      </c>
      <c r="H664" s="78">
        <v>2</v>
      </c>
      <c r="I664" s="78">
        <v>2</v>
      </c>
      <c r="J664" s="44">
        <v>815.23</v>
      </c>
      <c r="K664" s="44">
        <v>621.87</v>
      </c>
      <c r="L664" s="44">
        <v>0</v>
      </c>
      <c r="M664" s="79">
        <v>50</v>
      </c>
      <c r="N664" s="129">
        <f t="shared" si="254"/>
        <v>1607331.6175056943</v>
      </c>
      <c r="O664" s="44"/>
      <c r="P664" s="68"/>
      <c r="Q664" s="68"/>
      <c r="R664" s="68">
        <f t="shared" si="257"/>
        <v>306089.34999999998</v>
      </c>
      <c r="S664" s="68">
        <f>+'Приложение №2'!E664-'Приложение №1'!R664</f>
        <v>1301242.2675056942</v>
      </c>
      <c r="T664" s="68">
        <v>0</v>
      </c>
      <c r="U664" s="68">
        <f t="shared" si="259"/>
        <v>2584.6746385992155</v>
      </c>
      <c r="V664" s="68">
        <v>1352.2830200640001</v>
      </c>
      <c r="W664" s="80">
        <v>2024</v>
      </c>
      <c r="X664" s="29" t="e">
        <f>+#REF!-'[1]Приложение №1'!$P750</f>
        <v>#REF!</v>
      </c>
      <c r="Z664" s="31">
        <f t="shared" si="253"/>
        <v>2343434.8514670716</v>
      </c>
      <c r="AA664" s="27">
        <v>0</v>
      </c>
      <c r="AB664" s="27">
        <v>0</v>
      </c>
      <c r="AC664" s="27">
        <v>468089.23673358001</v>
      </c>
      <c r="AD664" s="27">
        <v>0</v>
      </c>
      <c r="AE664" s="27">
        <v>0</v>
      </c>
      <c r="AF664" s="27"/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1572934.7208910722</v>
      </c>
      <c r="AM664" s="27">
        <v>234343.48514670721</v>
      </c>
      <c r="AN664" s="32">
        <v>23434.348514670721</v>
      </c>
      <c r="AO664" s="33">
        <v>44633.060181041852</v>
      </c>
      <c r="AP664" s="84">
        <f>+N664-'Приложение №2'!E664</f>
        <v>0</v>
      </c>
      <c r="AQ664" s="1">
        <v>242658.61</v>
      </c>
      <c r="AR664" s="1">
        <f t="shared" si="256"/>
        <v>63430.739999999991</v>
      </c>
      <c r="AS664" s="1">
        <f>+(K664*10+L664*20)*12*30</f>
        <v>2238732</v>
      </c>
      <c r="AT664" s="29">
        <f t="shared" si="240"/>
        <v>-937489.73249430582</v>
      </c>
      <c r="AU664" s="29">
        <f>+P664-'[6]Приложение №1'!$P632</f>
        <v>0</v>
      </c>
      <c r="AV664" s="29">
        <f>+Q664-'[6]Приложение №1'!$Q632</f>
        <v>0</v>
      </c>
      <c r="AW664" s="29">
        <f>+R664-'[6]Приложение №1'!$R632</f>
        <v>0</v>
      </c>
      <c r="AX664" s="29">
        <f>+S664-'[6]Приложение №1'!$S632</f>
        <v>0</v>
      </c>
      <c r="AY664" s="29">
        <f>+T664-'[6]Приложение №1'!$T632</f>
        <v>0</v>
      </c>
    </row>
    <row r="665" spans="1:51" x14ac:dyDescent="0.25">
      <c r="A665" s="133">
        <f t="shared" si="258"/>
        <v>647</v>
      </c>
      <c r="B665" s="132">
        <f t="shared" si="258"/>
        <v>185</v>
      </c>
      <c r="C665" s="77" t="s">
        <v>89</v>
      </c>
      <c r="D665" s="77" t="s">
        <v>226</v>
      </c>
      <c r="E665" s="78">
        <v>1971</v>
      </c>
      <c r="F665" s="78">
        <v>2009</v>
      </c>
      <c r="G665" s="78" t="s">
        <v>44</v>
      </c>
      <c r="H665" s="78">
        <v>4</v>
      </c>
      <c r="I665" s="78">
        <v>4</v>
      </c>
      <c r="J665" s="44">
        <v>3316.04</v>
      </c>
      <c r="K665" s="44">
        <v>2384.75</v>
      </c>
      <c r="L665" s="44">
        <v>776.54</v>
      </c>
      <c r="M665" s="79">
        <v>114</v>
      </c>
      <c r="N665" s="129">
        <f t="shared" si="254"/>
        <v>1011727.4448999999</v>
      </c>
      <c r="O665" s="44"/>
      <c r="P665" s="68"/>
      <c r="Q665" s="68"/>
      <c r="R665" s="68">
        <f>+'Приложение №2'!E665</f>
        <v>1011727.4448999999</v>
      </c>
      <c r="S665" s="68">
        <f>+'Приложение №2'!E665-'Приложение №1'!R665</f>
        <v>0</v>
      </c>
      <c r="T665" s="68">
        <v>0</v>
      </c>
      <c r="U665" s="68">
        <f t="shared" si="259"/>
        <v>424.24884994234191</v>
      </c>
      <c r="V665" s="68">
        <v>1353.2830200640001</v>
      </c>
      <c r="W665" s="80">
        <v>2024</v>
      </c>
      <c r="X665" s="29" t="e">
        <f>+#REF!-'[1]Приложение №1'!$P751</f>
        <v>#REF!</v>
      </c>
      <c r="Z665" s="31">
        <f t="shared" si="253"/>
        <v>1136772.4099999997</v>
      </c>
      <c r="AA665" s="27">
        <v>0</v>
      </c>
      <c r="AB665" s="27">
        <v>0</v>
      </c>
      <c r="AC665" s="27">
        <v>990076.47757913987</v>
      </c>
      <c r="AD665" s="27">
        <v>0</v>
      </c>
      <c r="AE665" s="27">
        <v>0</v>
      </c>
      <c r="AF665" s="27"/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113677.24099999999</v>
      </c>
      <c r="AN665" s="32">
        <v>11367.724099999999</v>
      </c>
      <c r="AO665" s="33">
        <v>21650.96732086</v>
      </c>
      <c r="AP665" s="84">
        <f>+N665-'Приложение №2'!E665</f>
        <v>0</v>
      </c>
      <c r="AQ665" s="1">
        <v>1090050.46</v>
      </c>
      <c r="AR665" s="1">
        <f t="shared" si="256"/>
        <v>401658.66000000003</v>
      </c>
      <c r="AS665" s="1">
        <f>+(K665*10+L665*20)*12*30</f>
        <v>14176188.000000002</v>
      </c>
      <c r="AT665" s="29">
        <f t="shared" ref="AT665:AT728" si="260">+S665-AS665</f>
        <v>-14176188.000000002</v>
      </c>
      <c r="AU665" s="29">
        <f>+P665-'[6]Приложение №1'!$P633</f>
        <v>0</v>
      </c>
      <c r="AV665" s="29">
        <f>+Q665-'[6]Приложение №1'!$Q633</f>
        <v>0</v>
      </c>
      <c r="AW665" s="29">
        <f>+R665-'[6]Приложение №1'!$R633</f>
        <v>0</v>
      </c>
      <c r="AX665" s="29">
        <f>+S665-'[6]Приложение №1'!$S633</f>
        <v>0</v>
      </c>
      <c r="AY665" s="29">
        <f>+T665-'[6]Приложение №1'!$T633</f>
        <v>0</v>
      </c>
    </row>
    <row r="666" spans="1:51" x14ac:dyDescent="0.25">
      <c r="A666" s="133">
        <f t="shared" si="258"/>
        <v>648</v>
      </c>
      <c r="B666" s="132">
        <f t="shared" si="258"/>
        <v>186</v>
      </c>
      <c r="C666" s="77" t="s">
        <v>89</v>
      </c>
      <c r="D666" s="77" t="s">
        <v>233</v>
      </c>
      <c r="E666" s="78">
        <v>1975</v>
      </c>
      <c r="F666" s="78">
        <v>2008</v>
      </c>
      <c r="G666" s="78" t="s">
        <v>44</v>
      </c>
      <c r="H666" s="78">
        <v>2</v>
      </c>
      <c r="I666" s="78">
        <v>2</v>
      </c>
      <c r="J666" s="44">
        <v>772.26</v>
      </c>
      <c r="K666" s="44">
        <v>695.29</v>
      </c>
      <c r="L666" s="44">
        <v>0</v>
      </c>
      <c r="M666" s="79">
        <v>34</v>
      </c>
      <c r="N666" s="129">
        <f t="shared" si="254"/>
        <v>3172147.2374999998</v>
      </c>
      <c r="O666" s="44"/>
      <c r="P666" s="68">
        <f>+'Приложение №2'!E666-'Приложение №1'!R666-'Приложение №1'!S666</f>
        <v>353690.84750000015</v>
      </c>
      <c r="Q666" s="68"/>
      <c r="R666" s="68">
        <f>+AQ666+AR666</f>
        <v>315412.39</v>
      </c>
      <c r="S666" s="68">
        <f>+AS666</f>
        <v>2503043.9999999995</v>
      </c>
      <c r="T666" s="68">
        <f>+'Приложение №2'!E666-'Приложение №1'!P666-'Приложение №1'!R666-'Приложение №1'!S666</f>
        <v>0</v>
      </c>
      <c r="U666" s="68">
        <f t="shared" si="259"/>
        <v>4562.336920565519</v>
      </c>
      <c r="V666" s="68">
        <v>1354.2830200640001</v>
      </c>
      <c r="W666" s="80">
        <v>2024</v>
      </c>
      <c r="X666" s="29" t="e">
        <f>+#REF!-'[1]Приложение №1'!$P759</f>
        <v>#REF!</v>
      </c>
      <c r="Z666" s="31">
        <f t="shared" si="253"/>
        <v>3527367.4699999997</v>
      </c>
      <c r="AA666" s="27">
        <v>1382229.2362897198</v>
      </c>
      <c r="AB666" s="27">
        <v>841066.88252748002</v>
      </c>
      <c r="AC666" s="27">
        <v>396311.02602629998</v>
      </c>
      <c r="AD666" s="27">
        <v>337746.75668411993</v>
      </c>
      <c r="AE666" s="27">
        <v>0</v>
      </c>
      <c r="AF666" s="27"/>
      <c r="AG666" s="27">
        <v>146909.38508988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319946.55780000001</v>
      </c>
      <c r="AN666" s="32">
        <v>35273.674699999996</v>
      </c>
      <c r="AO666" s="33">
        <v>67883.950882499994</v>
      </c>
      <c r="AP666" s="84">
        <f>+N666-'Приложение №2'!E666</f>
        <v>0</v>
      </c>
      <c r="AQ666" s="1">
        <v>244492.81</v>
      </c>
      <c r="AR666" s="1">
        <f t="shared" si="256"/>
        <v>70919.579999999987</v>
      </c>
      <c r="AS666" s="1">
        <f>+(K666*10+L666*20)*12*30</f>
        <v>2503043.9999999995</v>
      </c>
      <c r="AT666" s="29">
        <f t="shared" si="260"/>
        <v>0</v>
      </c>
      <c r="AU666" s="29">
        <f>+P666-'[6]Приложение №1'!$P634</f>
        <v>0</v>
      </c>
      <c r="AV666" s="29">
        <f>+Q666-'[6]Приложение №1'!$Q634</f>
        <v>0</v>
      </c>
      <c r="AW666" s="29">
        <f>+R666-'[6]Приложение №1'!$R634</f>
        <v>0</v>
      </c>
      <c r="AX666" s="29">
        <f>+S666-'[6]Приложение №1'!$S634</f>
        <v>0</v>
      </c>
      <c r="AY666" s="29">
        <f>+T666-'[6]Приложение №1'!$T634</f>
        <v>0</v>
      </c>
    </row>
    <row r="667" spans="1:51" x14ac:dyDescent="0.25">
      <c r="A667" s="133">
        <f t="shared" si="258"/>
        <v>649</v>
      </c>
      <c r="B667" s="132">
        <f t="shared" si="258"/>
        <v>187</v>
      </c>
      <c r="C667" s="77" t="s">
        <v>89</v>
      </c>
      <c r="D667" s="77" t="s">
        <v>92</v>
      </c>
      <c r="E667" s="78">
        <v>1962</v>
      </c>
      <c r="F667" s="78">
        <v>2003</v>
      </c>
      <c r="G667" s="78" t="s">
        <v>44</v>
      </c>
      <c r="H667" s="78">
        <v>2</v>
      </c>
      <c r="I667" s="78">
        <v>2</v>
      </c>
      <c r="J667" s="44">
        <v>1001.33</v>
      </c>
      <c r="K667" s="44">
        <v>596.02</v>
      </c>
      <c r="L667" s="44">
        <v>0</v>
      </c>
      <c r="M667" s="79">
        <v>24</v>
      </c>
      <c r="N667" s="129">
        <f t="shared" si="254"/>
        <v>546007.38159999996</v>
      </c>
      <c r="O667" s="44"/>
      <c r="P667" s="68"/>
      <c r="Q667" s="68"/>
      <c r="R667" s="68">
        <f>+AQ667+AR667</f>
        <v>68416.530000000013</v>
      </c>
      <c r="S667" s="68">
        <f>+'Приложение №2'!E667-'Приложение №1'!R667</f>
        <v>477590.85159999994</v>
      </c>
      <c r="T667" s="68">
        <v>0</v>
      </c>
      <c r="U667" s="68">
        <f t="shared" si="259"/>
        <v>916.08902654273345</v>
      </c>
      <c r="V667" s="68">
        <v>1355.2830200640001</v>
      </c>
      <c r="W667" s="80">
        <v>2024</v>
      </c>
      <c r="X667" s="29" t="e">
        <f>+#REF!-'[1]Приложение №1'!$P766</f>
        <v>#REF!</v>
      </c>
      <c r="Z667" s="31">
        <f t="shared" si="253"/>
        <v>613491.43999999994</v>
      </c>
      <c r="AA667" s="27">
        <v>0</v>
      </c>
      <c r="AB667" s="27">
        <v>0</v>
      </c>
      <c r="AC667" s="27">
        <v>534322.82363375998</v>
      </c>
      <c r="AD667" s="27">
        <v>0</v>
      </c>
      <c r="AE667" s="27">
        <v>0</v>
      </c>
      <c r="AF667" s="27"/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61349.144</v>
      </c>
      <c r="AN667" s="32">
        <v>6134.9143999999997</v>
      </c>
      <c r="AO667" s="33">
        <v>11684.55796624</v>
      </c>
      <c r="AP667" s="84">
        <f>+N667-'Приложение №2'!E667</f>
        <v>0</v>
      </c>
      <c r="AQ667" s="1">
        <f>230645.2-223022.71</f>
        <v>7622.4900000000198</v>
      </c>
      <c r="AR667" s="1">
        <f t="shared" si="256"/>
        <v>60794.039999999994</v>
      </c>
      <c r="AS667" s="1">
        <f>+(K667*10+L667*20)*12*30-1056428.77</f>
        <v>1089243.23</v>
      </c>
      <c r="AT667" s="29">
        <f t="shared" si="260"/>
        <v>-611652.37840000005</v>
      </c>
      <c r="AU667" s="29">
        <f>+P667-'[6]Приложение №1'!$P635</f>
        <v>0</v>
      </c>
      <c r="AV667" s="29">
        <f>+Q667-'[6]Приложение №1'!$Q635</f>
        <v>0</v>
      </c>
      <c r="AW667" s="29">
        <f>+R667-'[6]Приложение №1'!$R635</f>
        <v>0</v>
      </c>
      <c r="AX667" s="29">
        <f>+S667-'[6]Приложение №1'!$S635</f>
        <v>0</v>
      </c>
      <c r="AY667" s="29">
        <f>+T667-'[6]Приложение №1'!$T635</f>
        <v>0</v>
      </c>
    </row>
    <row r="668" spans="1:51" x14ac:dyDescent="0.25">
      <c r="A668" s="133">
        <f t="shared" si="258"/>
        <v>650</v>
      </c>
      <c r="B668" s="132">
        <f t="shared" si="258"/>
        <v>188</v>
      </c>
      <c r="C668" s="77" t="s">
        <v>89</v>
      </c>
      <c r="D668" s="77" t="s">
        <v>93</v>
      </c>
      <c r="E668" s="78">
        <v>1962</v>
      </c>
      <c r="F668" s="78">
        <v>2004</v>
      </c>
      <c r="G668" s="78" t="s">
        <v>44</v>
      </c>
      <c r="H668" s="78">
        <v>2</v>
      </c>
      <c r="I668" s="78">
        <v>2</v>
      </c>
      <c r="J668" s="44">
        <v>1037.76</v>
      </c>
      <c r="K668" s="44">
        <v>623.46</v>
      </c>
      <c r="L668" s="44">
        <v>0</v>
      </c>
      <c r="M668" s="79">
        <v>19</v>
      </c>
      <c r="N668" s="129">
        <f t="shared" si="254"/>
        <v>531478.38079999993</v>
      </c>
      <c r="O668" s="44"/>
      <c r="P668" s="68"/>
      <c r="Q668" s="68"/>
      <c r="R668" s="68">
        <f>+AQ668+AR668</f>
        <v>91115.91</v>
      </c>
      <c r="S668" s="68">
        <f>+'Приложение №2'!E668-'Приложение №1'!R668</f>
        <v>440362.47079999989</v>
      </c>
      <c r="T668" s="68">
        <v>0</v>
      </c>
      <c r="U668" s="68">
        <f t="shared" si="259"/>
        <v>852.46588522118486</v>
      </c>
      <c r="V668" s="68">
        <v>1356.2830200640001</v>
      </c>
      <c r="W668" s="80">
        <v>2024</v>
      </c>
      <c r="X668" s="29" t="e">
        <f>+#REF!-'[1]Приложение №1'!$P767</f>
        <v>#REF!</v>
      </c>
      <c r="Z668" s="31">
        <f t="shared" si="253"/>
        <v>597166.72</v>
      </c>
      <c r="AA668" s="27">
        <v>0</v>
      </c>
      <c r="AB668" s="27">
        <v>0</v>
      </c>
      <c r="AC668" s="27">
        <v>520104.74345087993</v>
      </c>
      <c r="AD668" s="27">
        <v>0</v>
      </c>
      <c r="AE668" s="27">
        <v>0</v>
      </c>
      <c r="AF668" s="27"/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59716.671999999999</v>
      </c>
      <c r="AN668" s="32">
        <v>5971.6671999999999</v>
      </c>
      <c r="AO668" s="33">
        <v>11373.637349119999</v>
      </c>
      <c r="AP668" s="84">
        <f>+N668-'Приложение №2'!E668</f>
        <v>0</v>
      </c>
      <c r="AQ668" s="1">
        <f>272684.43-245161.44</f>
        <v>27522.989999999991</v>
      </c>
      <c r="AR668" s="1">
        <f t="shared" si="256"/>
        <v>63592.920000000006</v>
      </c>
      <c r="AS668" s="1">
        <f>+(K668*10+L668*20)*12*30-1022746.46</f>
        <v>1221709.5400000005</v>
      </c>
      <c r="AT668" s="29">
        <f t="shared" si="260"/>
        <v>-781347.06920000061</v>
      </c>
      <c r="AU668" s="29">
        <f>+P668-'[6]Приложение №1'!$P636</f>
        <v>0</v>
      </c>
      <c r="AV668" s="29">
        <f>+Q668-'[6]Приложение №1'!$Q636</f>
        <v>0</v>
      </c>
      <c r="AW668" s="29">
        <f>+R668-'[6]Приложение №1'!$R636</f>
        <v>0</v>
      </c>
      <c r="AX668" s="29">
        <f>+S668-'[6]Приложение №1'!$S636</f>
        <v>0</v>
      </c>
      <c r="AY668" s="29">
        <f>+T668-'[6]Приложение №1'!$T636</f>
        <v>0</v>
      </c>
    </row>
    <row r="669" spans="1:51" x14ac:dyDescent="0.25">
      <c r="A669" s="133">
        <f t="shared" si="258"/>
        <v>651</v>
      </c>
      <c r="B669" s="132">
        <f t="shared" si="258"/>
        <v>189</v>
      </c>
      <c r="C669" s="77" t="s">
        <v>89</v>
      </c>
      <c r="D669" s="77" t="s">
        <v>94</v>
      </c>
      <c r="E669" s="78">
        <v>1961</v>
      </c>
      <c r="F669" s="78">
        <v>2004</v>
      </c>
      <c r="G669" s="78" t="s">
        <v>44</v>
      </c>
      <c r="H669" s="78">
        <v>2</v>
      </c>
      <c r="I669" s="78">
        <v>2</v>
      </c>
      <c r="J669" s="44">
        <v>1023.9</v>
      </c>
      <c r="K669" s="44">
        <v>621.22</v>
      </c>
      <c r="L669" s="44">
        <v>0</v>
      </c>
      <c r="M669" s="79">
        <v>19</v>
      </c>
      <c r="N669" s="129">
        <f t="shared" si="254"/>
        <v>526763.96180000005</v>
      </c>
      <c r="O669" s="44"/>
      <c r="P669" s="68"/>
      <c r="Q669" s="68"/>
      <c r="R669" s="68">
        <f>+AQ669+AR669</f>
        <v>166996.36000000002</v>
      </c>
      <c r="S669" s="68">
        <f>+'Приложение №2'!E669-'Приложение №1'!R669</f>
        <v>359767.60180000006</v>
      </c>
      <c r="T669" s="68">
        <v>0</v>
      </c>
      <c r="U669" s="68">
        <f t="shared" si="259"/>
        <v>847.9507449856734</v>
      </c>
      <c r="V669" s="68">
        <v>1357.2830200640001</v>
      </c>
      <c r="W669" s="80">
        <v>2024</v>
      </c>
      <c r="X669" s="29">
        <f>+S669-'[1]Приложение №1'!$P768</f>
        <v>-232102.01819999993</v>
      </c>
      <c r="Z669" s="31">
        <f t="shared" si="253"/>
        <v>591869.62</v>
      </c>
      <c r="AA669" s="27">
        <v>0</v>
      </c>
      <c r="AB669" s="27">
        <v>0</v>
      </c>
      <c r="AC669" s="27">
        <v>515491.21301748004</v>
      </c>
      <c r="AD669" s="27">
        <v>0</v>
      </c>
      <c r="AE669" s="27">
        <v>0</v>
      </c>
      <c r="AF669" s="27"/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59186.962</v>
      </c>
      <c r="AN669" s="32">
        <v>5918.6962000000003</v>
      </c>
      <c r="AO669" s="33">
        <v>11272.748782520001</v>
      </c>
      <c r="AP669" s="84">
        <f>+N669-'Приложение №2'!E669</f>
        <v>0</v>
      </c>
      <c r="AQ669" s="1">
        <f>271277.33-167645.41</f>
        <v>103631.92000000001</v>
      </c>
      <c r="AR669" s="1">
        <f t="shared" si="256"/>
        <v>63364.44</v>
      </c>
      <c r="AS669" s="1">
        <f>+(K669*10+L669*20)*12*30-1267907.77</f>
        <v>968484.23000000045</v>
      </c>
      <c r="AT669" s="29">
        <f t="shared" si="260"/>
        <v>-608716.62820000038</v>
      </c>
      <c r="AU669" s="29">
        <f>+P669-'[6]Приложение №1'!$P637</f>
        <v>0</v>
      </c>
      <c r="AV669" s="29">
        <f>+Q669-'[6]Приложение №1'!$Q637</f>
        <v>0</v>
      </c>
      <c r="AW669" s="29">
        <f>+R669-'[6]Приложение №1'!$R637</f>
        <v>0</v>
      </c>
      <c r="AX669" s="29">
        <f>+S669-'[6]Приложение №1'!$S637</f>
        <v>0</v>
      </c>
      <c r="AY669" s="29">
        <f>+T669-'[6]Приложение №1'!$T637</f>
        <v>0</v>
      </c>
    </row>
    <row r="670" spans="1:51" x14ac:dyDescent="0.25">
      <c r="A670" s="133">
        <f t="shared" si="258"/>
        <v>652</v>
      </c>
      <c r="B670" s="132">
        <f t="shared" si="258"/>
        <v>190</v>
      </c>
      <c r="C670" s="77" t="s">
        <v>88</v>
      </c>
      <c r="D670" s="77" t="s">
        <v>383</v>
      </c>
      <c r="E670" s="78">
        <v>1989</v>
      </c>
      <c r="F670" s="78">
        <v>1989</v>
      </c>
      <c r="G670" s="78" t="s">
        <v>44</v>
      </c>
      <c r="H670" s="78">
        <v>2</v>
      </c>
      <c r="I670" s="78">
        <v>2</v>
      </c>
      <c r="J670" s="44">
        <v>638.26</v>
      </c>
      <c r="K670" s="44">
        <v>562.19000000000005</v>
      </c>
      <c r="L670" s="44">
        <v>0</v>
      </c>
      <c r="M670" s="79">
        <v>25</v>
      </c>
      <c r="N670" s="129">
        <f t="shared" si="254"/>
        <v>2160923.4899999998</v>
      </c>
      <c r="O670" s="44"/>
      <c r="P670" s="68"/>
      <c r="Q670" s="68"/>
      <c r="R670" s="68">
        <f>+AQ670+AR670-24000</f>
        <v>315441.84999999998</v>
      </c>
      <c r="S670" s="68">
        <f>+'Приложение №2'!E670-'Приложение №1'!R670</f>
        <v>1845481.6399999997</v>
      </c>
      <c r="T670" s="68">
        <v>1.1641532182693481E-10</v>
      </c>
      <c r="U670" s="68">
        <f t="shared" si="259"/>
        <v>3843.7600988989479</v>
      </c>
      <c r="V670" s="68">
        <v>1358.2830200640001</v>
      </c>
      <c r="W670" s="80">
        <v>2024</v>
      </c>
      <c r="X670" s="29" t="e">
        <f>+#REF!-'[1]Приложение №1'!$P1123</f>
        <v>#REF!</v>
      </c>
      <c r="Z670" s="31">
        <f t="shared" si="253"/>
        <v>4469720.9400000004</v>
      </c>
      <c r="AA670" s="27">
        <v>1751498.5321852199</v>
      </c>
      <c r="AB670" s="27">
        <v>1065762.0143784601</v>
      </c>
      <c r="AC670" s="27">
        <v>502187.45163425995</v>
      </c>
      <c r="AD670" s="27">
        <v>427977.46190892003</v>
      </c>
      <c r="AE670" s="27">
        <v>0</v>
      </c>
      <c r="AF670" s="27"/>
      <c r="AG670" s="27">
        <v>186156.94426056001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405421.84589999996</v>
      </c>
      <c r="AN670" s="32">
        <v>44697.209399999992</v>
      </c>
      <c r="AO670" s="33">
        <v>86019.480332579988</v>
      </c>
      <c r="AP670" s="84">
        <f>+N670-'Приложение №2'!E670</f>
        <v>0</v>
      </c>
      <c r="AQ670" s="1">
        <v>282098.46999999997</v>
      </c>
      <c r="AR670" s="1">
        <f t="shared" si="256"/>
        <v>57343.38</v>
      </c>
      <c r="AS670" s="1">
        <f>+(K670*10+L670*20)*12*30</f>
        <v>2023884</v>
      </c>
      <c r="AT670" s="29">
        <f t="shared" si="260"/>
        <v>-178402.36000000034</v>
      </c>
      <c r="AU670" s="29">
        <f>+P670-'[6]Приложение №1'!$P638</f>
        <v>0</v>
      </c>
      <c r="AV670" s="29">
        <f>+Q670-'[6]Приложение №1'!$Q638</f>
        <v>0</v>
      </c>
      <c r="AW670" s="29">
        <f>+R670-'[6]Приложение №1'!$R638</f>
        <v>0</v>
      </c>
      <c r="AX670" s="29">
        <f>+S670-'[6]Приложение №1'!$S638</f>
        <v>0</v>
      </c>
      <c r="AY670" s="29">
        <f>+T670-'[6]Приложение №1'!$T638</f>
        <v>0</v>
      </c>
    </row>
    <row r="671" spans="1:51" x14ac:dyDescent="0.25">
      <c r="A671" s="133">
        <f t="shared" si="258"/>
        <v>653</v>
      </c>
      <c r="B671" s="132">
        <f t="shared" si="258"/>
        <v>191</v>
      </c>
      <c r="C671" s="77" t="s">
        <v>88</v>
      </c>
      <c r="D671" s="77" t="s">
        <v>384</v>
      </c>
      <c r="E671" s="78">
        <v>1989</v>
      </c>
      <c r="F671" s="78">
        <v>1989</v>
      </c>
      <c r="G671" s="78" t="s">
        <v>44</v>
      </c>
      <c r="H671" s="78">
        <v>2</v>
      </c>
      <c r="I671" s="78">
        <v>1</v>
      </c>
      <c r="J671" s="44">
        <v>390.65</v>
      </c>
      <c r="K671" s="44">
        <v>349.25</v>
      </c>
      <c r="L671" s="44">
        <v>0</v>
      </c>
      <c r="M671" s="79">
        <v>1</v>
      </c>
      <c r="N671" s="129">
        <f t="shared" si="254"/>
        <v>2736423.6600000011</v>
      </c>
      <c r="O671" s="44"/>
      <c r="P671" s="68">
        <v>1280621.8600000008</v>
      </c>
      <c r="Q671" s="68"/>
      <c r="R671" s="68">
        <f>+AQ671+AR671-24000</f>
        <v>134568.26</v>
      </c>
      <c r="S671" s="68">
        <f>+AS671</f>
        <v>1257300</v>
      </c>
      <c r="T671" s="68">
        <f>+'Приложение №2'!E671-'Приложение №1'!P671-'Приложение №1'!R671-'Приложение №1'!S671</f>
        <v>63933.539999999804</v>
      </c>
      <c r="U671" s="68">
        <f t="shared" si="259"/>
        <v>7835.1429062276338</v>
      </c>
      <c r="V671" s="68">
        <v>1359.2830200640001</v>
      </c>
      <c r="W671" s="80">
        <v>2024</v>
      </c>
      <c r="X671" s="29" t="e">
        <f>+#REF!-'[1]Приложение №1'!$P1124</f>
        <v>#REF!</v>
      </c>
      <c r="Z671" s="31">
        <f t="shared" si="253"/>
        <v>2736423.6599999997</v>
      </c>
      <c r="AA671" s="27">
        <v>1072291.1104705799</v>
      </c>
      <c r="AB671" s="27">
        <v>652473.92621670011</v>
      </c>
      <c r="AC671" s="27">
        <v>307445.96072232001</v>
      </c>
      <c r="AD671" s="27">
        <v>262013.59455431998</v>
      </c>
      <c r="AE671" s="27">
        <v>0</v>
      </c>
      <c r="AF671" s="27"/>
      <c r="AG671" s="27">
        <v>113967.79944983998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248204.74180000002</v>
      </c>
      <c r="AN671" s="32">
        <v>27364.236599999997</v>
      </c>
      <c r="AO671" s="33">
        <v>52662.290186240003</v>
      </c>
      <c r="AP671" s="84">
        <f>+N671-'Приложение №2'!E671</f>
        <v>0</v>
      </c>
      <c r="AQ671" s="1">
        <v>122944.76</v>
      </c>
      <c r="AR671" s="1">
        <f t="shared" si="256"/>
        <v>35623.5</v>
      </c>
      <c r="AS671" s="1">
        <f>+(K671*10+L671*20)*12*30</f>
        <v>1257300</v>
      </c>
      <c r="AT671" s="29">
        <f t="shared" si="260"/>
        <v>0</v>
      </c>
      <c r="AU671" s="29">
        <f>+P671-'[6]Приложение №1'!$P639</f>
        <v>0</v>
      </c>
      <c r="AV671" s="29">
        <f>+Q671-'[6]Приложение №1'!$Q639</f>
        <v>0</v>
      </c>
      <c r="AW671" s="29">
        <f>+R671-'[6]Приложение №1'!$R639</f>
        <v>0</v>
      </c>
      <c r="AX671" s="29">
        <f>+S671-'[6]Приложение №1'!$S639</f>
        <v>0</v>
      </c>
      <c r="AY671" s="29">
        <f>+T671-'[6]Приложение №1'!$T639</f>
        <v>0</v>
      </c>
    </row>
    <row r="672" spans="1:51" x14ac:dyDescent="0.25">
      <c r="A672" s="133">
        <f t="shared" si="258"/>
        <v>654</v>
      </c>
      <c r="B672" s="132">
        <f t="shared" si="258"/>
        <v>192</v>
      </c>
      <c r="C672" s="77" t="s">
        <v>88</v>
      </c>
      <c r="D672" s="77" t="s">
        <v>385</v>
      </c>
      <c r="E672" s="78">
        <v>1989</v>
      </c>
      <c r="F672" s="78">
        <v>1989</v>
      </c>
      <c r="G672" s="78" t="s">
        <v>44</v>
      </c>
      <c r="H672" s="78">
        <v>5</v>
      </c>
      <c r="I672" s="78">
        <v>2</v>
      </c>
      <c r="J672" s="44">
        <v>1113.04</v>
      </c>
      <c r="K672" s="44">
        <v>865.12</v>
      </c>
      <c r="L672" s="44">
        <v>0</v>
      </c>
      <c r="M672" s="79">
        <v>28</v>
      </c>
      <c r="N672" s="129">
        <f t="shared" si="254"/>
        <v>3376959.49</v>
      </c>
      <c r="O672" s="44"/>
      <c r="P672" s="68"/>
      <c r="Q672" s="68"/>
      <c r="R672" s="68">
        <f t="shared" ref="R672:R680" si="261">+AQ672+AR672</f>
        <v>495672.16</v>
      </c>
      <c r="S672" s="68">
        <f>+'Приложение №2'!E672-'Приложение №1'!R672</f>
        <v>2881287.33</v>
      </c>
      <c r="T672" s="68">
        <v>0</v>
      </c>
      <c r="U672" s="68">
        <f t="shared" si="259"/>
        <v>3903.4578902348808</v>
      </c>
      <c r="V672" s="68">
        <v>1360.2830200640001</v>
      </c>
      <c r="W672" s="80">
        <v>2024</v>
      </c>
      <c r="X672" s="29" t="e">
        <f>+#REF!-'[1]Приложение №1'!$P1125</f>
        <v>#REF!</v>
      </c>
      <c r="Z672" s="31">
        <f t="shared" si="253"/>
        <v>3813311.24</v>
      </c>
      <c r="AA672" s="27">
        <v>2150190.8694575401</v>
      </c>
      <c r="AB672" s="27">
        <v>760761.90151710005</v>
      </c>
      <c r="AC672" s="27">
        <v>380042.30206949997</v>
      </c>
      <c r="AD672" s="27">
        <v>0</v>
      </c>
      <c r="AE672" s="27">
        <v>0</v>
      </c>
      <c r="AF672" s="27"/>
      <c r="AG672" s="27">
        <v>85315.658345399992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325034.3187</v>
      </c>
      <c r="AN672" s="32">
        <v>38133.112399999998</v>
      </c>
      <c r="AO672" s="33">
        <v>73833.077510459989</v>
      </c>
      <c r="AP672" s="84">
        <f>+N672-'Приложение №2'!E672</f>
        <v>0</v>
      </c>
      <c r="AQ672" s="1">
        <v>407429.92</v>
      </c>
      <c r="AR672" s="1">
        <f t="shared" si="256"/>
        <v>88242.240000000005</v>
      </c>
      <c r="AS672" s="1">
        <f>+(K672*10+L672*20)*12*30</f>
        <v>3114432.0000000005</v>
      </c>
      <c r="AT672" s="29">
        <f t="shared" si="260"/>
        <v>-233144.67000000039</v>
      </c>
      <c r="AU672" s="29">
        <f>+P672-'[6]Приложение №1'!$P640</f>
        <v>0</v>
      </c>
      <c r="AV672" s="29">
        <f>+Q672-'[6]Приложение №1'!$Q640</f>
        <v>0</v>
      </c>
      <c r="AW672" s="29">
        <f>+R672-'[6]Приложение №1'!$R640</f>
        <v>0</v>
      </c>
      <c r="AX672" s="29">
        <f>+S672-'[6]Приложение №1'!$S640</f>
        <v>0</v>
      </c>
      <c r="AY672" s="29">
        <f>+T672-'[6]Приложение №1'!$T640</f>
        <v>0</v>
      </c>
    </row>
    <row r="673" spans="1:51" x14ac:dyDescent="0.25">
      <c r="A673" s="133">
        <f t="shared" si="258"/>
        <v>655</v>
      </c>
      <c r="B673" s="132">
        <f t="shared" si="258"/>
        <v>193</v>
      </c>
      <c r="C673" s="77" t="s">
        <v>47</v>
      </c>
      <c r="D673" s="77" t="s">
        <v>49</v>
      </c>
      <c r="E673" s="78">
        <v>1973</v>
      </c>
      <c r="F673" s="78">
        <v>1973</v>
      </c>
      <c r="G673" s="78" t="s">
        <v>44</v>
      </c>
      <c r="H673" s="78">
        <v>4</v>
      </c>
      <c r="I673" s="78">
        <v>3</v>
      </c>
      <c r="J673" s="44">
        <v>1399</v>
      </c>
      <c r="K673" s="44">
        <v>1081.5999999999999</v>
      </c>
      <c r="L673" s="44">
        <v>197.9</v>
      </c>
      <c r="M673" s="79">
        <v>41</v>
      </c>
      <c r="N673" s="129">
        <f t="shared" si="254"/>
        <v>1384114.0804000003</v>
      </c>
      <c r="O673" s="44"/>
      <c r="P673" s="68"/>
      <c r="Q673" s="68"/>
      <c r="R673" s="68">
        <f t="shared" si="261"/>
        <v>240041.57999999996</v>
      </c>
      <c r="S673" s="68">
        <f>+'Приложение №2'!E673-'Приложение №1'!R673</f>
        <v>1144072.5004000003</v>
      </c>
      <c r="T673" s="68">
        <v>0</v>
      </c>
      <c r="U673" s="68">
        <f t="shared" si="259"/>
        <v>1279.6912725591719</v>
      </c>
      <c r="V673" s="68">
        <v>1361.2830200640001</v>
      </c>
      <c r="W673" s="80">
        <v>2024</v>
      </c>
      <c r="X673" s="29" t="e">
        <f>+#REF!-'[1]Приложение №1'!$P474</f>
        <v>#REF!</v>
      </c>
      <c r="Z673" s="31">
        <f t="shared" si="253"/>
        <v>7079219.7999999998</v>
      </c>
      <c r="AA673" s="27">
        <v>3593692.2573879599</v>
      </c>
      <c r="AB673" s="27">
        <v>1296470.75263692</v>
      </c>
      <c r="AC673" s="27">
        <v>1354494.0390794401</v>
      </c>
      <c r="AD673" s="27">
        <v>0</v>
      </c>
      <c r="AE673" s="27">
        <v>0</v>
      </c>
      <c r="AF673" s="27"/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627212.55079999997</v>
      </c>
      <c r="AN673" s="32">
        <v>70792.198000000004</v>
      </c>
      <c r="AO673" s="33">
        <v>136558.00209567999</v>
      </c>
      <c r="AP673" s="84">
        <f>+N673-'Приложение №2'!E673</f>
        <v>0</v>
      </c>
      <c r="AQ673" s="29">
        <f>414772.6-R148</f>
        <v>89346.77999999997</v>
      </c>
      <c r="AR673" s="1">
        <f t="shared" si="256"/>
        <v>150694.79999999999</v>
      </c>
      <c r="AS673" s="1">
        <f>+(K673*10+L673*20)*12*30-S148</f>
        <v>3563037.67</v>
      </c>
      <c r="AT673" s="29">
        <f t="shared" si="260"/>
        <v>-2418965.1695999997</v>
      </c>
      <c r="AU673" s="29">
        <f>+P673-'[6]Приложение №1'!$P641</f>
        <v>0</v>
      </c>
      <c r="AV673" s="29">
        <f>+Q673-'[6]Приложение №1'!$Q641</f>
        <v>0</v>
      </c>
      <c r="AW673" s="29">
        <f>+R673-'[6]Приложение №1'!$R641</f>
        <v>0</v>
      </c>
      <c r="AX673" s="29">
        <f>+S673-'[6]Приложение №1'!$S641</f>
        <v>0</v>
      </c>
      <c r="AY673" s="29">
        <f>+T673-'[6]Приложение №1'!$T641</f>
        <v>0</v>
      </c>
    </row>
    <row r="674" spans="1:51" x14ac:dyDescent="0.25">
      <c r="A674" s="133">
        <f t="shared" ref="A674:B689" si="262">+A673+1</f>
        <v>656</v>
      </c>
      <c r="B674" s="132">
        <f t="shared" si="262"/>
        <v>194</v>
      </c>
      <c r="C674" s="77" t="s">
        <v>47</v>
      </c>
      <c r="D674" s="77" t="s">
        <v>401</v>
      </c>
      <c r="E674" s="78">
        <v>1972</v>
      </c>
      <c r="F674" s="78">
        <v>2013</v>
      </c>
      <c r="G674" s="78" t="s">
        <v>44</v>
      </c>
      <c r="H674" s="78">
        <v>4</v>
      </c>
      <c r="I674" s="78">
        <v>3</v>
      </c>
      <c r="J674" s="44">
        <v>1348.9</v>
      </c>
      <c r="K674" s="44">
        <v>1047.4000000000001</v>
      </c>
      <c r="L674" s="44">
        <v>182.5</v>
      </c>
      <c r="M674" s="79">
        <v>50</v>
      </c>
      <c r="N674" s="129">
        <f t="shared" si="254"/>
        <v>5341683.8354999991</v>
      </c>
      <c r="O674" s="44"/>
      <c r="P674" s="68"/>
      <c r="Q674" s="68"/>
      <c r="R674" s="68">
        <f t="shared" si="261"/>
        <v>678579.41999999993</v>
      </c>
      <c r="S674" s="68">
        <f>+'Приложение №2'!E674-'Приложение №1'!R674</f>
        <v>4663104.4154999992</v>
      </c>
      <c r="T674" s="68">
        <v>0</v>
      </c>
      <c r="U674" s="68">
        <f t="shared" si="259"/>
        <v>5099.9463772197814</v>
      </c>
      <c r="V674" s="68">
        <v>1362.2830200640001</v>
      </c>
      <c r="W674" s="80">
        <v>2024</v>
      </c>
      <c r="X674" s="29" t="e">
        <f>+#REF!-'[1]Приложение №1'!$P1167</f>
        <v>#REF!</v>
      </c>
      <c r="Z674" s="31">
        <f t="shared" si="253"/>
        <v>6001891.9499999993</v>
      </c>
      <c r="AA674" s="27">
        <v>0</v>
      </c>
      <c r="AB674" s="27">
        <v>0</v>
      </c>
      <c r="AC674" s="27">
        <v>1189999.01255088</v>
      </c>
      <c r="AD674" s="27">
        <v>0</v>
      </c>
      <c r="AE674" s="27">
        <v>0</v>
      </c>
      <c r="AF674" s="27"/>
      <c r="AG674" s="27">
        <v>0</v>
      </c>
      <c r="AH674" s="27">
        <v>0</v>
      </c>
      <c r="AI674" s="27">
        <v>0</v>
      </c>
      <c r="AJ674" s="27">
        <v>764864.79162029992</v>
      </c>
      <c r="AK674" s="27">
        <v>0</v>
      </c>
      <c r="AL674" s="27">
        <v>3272507.9972491194</v>
      </c>
      <c r="AM674" s="27">
        <v>600189.19499999995</v>
      </c>
      <c r="AN674" s="32">
        <v>60018.919499999996</v>
      </c>
      <c r="AO674" s="33">
        <v>114312.03407969998</v>
      </c>
      <c r="AP674" s="84">
        <f>+N674-'Приложение №2'!E674</f>
        <v>0</v>
      </c>
      <c r="AQ674" s="1">
        <v>534514.62</v>
      </c>
      <c r="AR674" s="1">
        <f t="shared" si="256"/>
        <v>144064.79999999999</v>
      </c>
      <c r="AS674" s="1">
        <f>+(K674*10+L674*20)*12*30</f>
        <v>5084640</v>
      </c>
      <c r="AT674" s="29">
        <f t="shared" si="260"/>
        <v>-421535.58450000081</v>
      </c>
      <c r="AU674" s="29">
        <f>+P674-'[6]Приложение №1'!$P642</f>
        <v>0</v>
      </c>
      <c r="AV674" s="29">
        <f>+Q674-'[6]Приложение №1'!$Q642</f>
        <v>0</v>
      </c>
      <c r="AW674" s="29">
        <f>+R674-'[6]Приложение №1'!$R642</f>
        <v>0</v>
      </c>
      <c r="AX674" s="29">
        <f>+S674-'[6]Приложение №1'!$S642</f>
        <v>0</v>
      </c>
      <c r="AY674" s="29">
        <f>+T674-'[6]Приложение №1'!$T642</f>
        <v>0</v>
      </c>
    </row>
    <row r="675" spans="1:51" x14ac:dyDescent="0.25">
      <c r="A675" s="133">
        <f t="shared" si="262"/>
        <v>657</v>
      </c>
      <c r="B675" s="132">
        <f t="shared" si="262"/>
        <v>195</v>
      </c>
      <c r="C675" s="77" t="s">
        <v>47</v>
      </c>
      <c r="D675" s="77" t="s">
        <v>402</v>
      </c>
      <c r="E675" s="78">
        <v>1972</v>
      </c>
      <c r="F675" s="78">
        <v>2013</v>
      </c>
      <c r="G675" s="78" t="s">
        <v>44</v>
      </c>
      <c r="H675" s="78">
        <v>4</v>
      </c>
      <c r="I675" s="78">
        <v>1</v>
      </c>
      <c r="J675" s="44">
        <v>1401</v>
      </c>
      <c r="K675" s="44">
        <v>1155.5999999999999</v>
      </c>
      <c r="L675" s="44">
        <v>81.099999999999994</v>
      </c>
      <c r="M675" s="79">
        <v>60</v>
      </c>
      <c r="N675" s="129">
        <f t="shared" si="254"/>
        <v>6055299.0787000004</v>
      </c>
      <c r="O675" s="44"/>
      <c r="P675" s="68">
        <f>+'Приложение №2'!E675-'Приложение №1'!R675-'Приложение №1'!S675</f>
        <v>666884.95870000031</v>
      </c>
      <c r="Q675" s="68"/>
      <c r="R675" s="68">
        <f t="shared" si="261"/>
        <v>644334.12</v>
      </c>
      <c r="S675" s="68">
        <f t="shared" ref="S675:S693" si="263">+AS675</f>
        <v>4744080</v>
      </c>
      <c r="T675" s="68">
        <v>0</v>
      </c>
      <c r="U675" s="68">
        <f t="shared" si="259"/>
        <v>5239.9611272931816</v>
      </c>
      <c r="V675" s="68">
        <v>1363.2830200640001</v>
      </c>
      <c r="W675" s="80">
        <v>2024</v>
      </c>
      <c r="X675" s="29" t="e">
        <f>+#REF!-'[1]Приложение №1'!$P1168</f>
        <v>#REF!</v>
      </c>
      <c r="Z675" s="31">
        <f t="shared" si="253"/>
        <v>6803706.830000001</v>
      </c>
      <c r="AA675" s="27">
        <v>0</v>
      </c>
      <c r="AB675" s="27">
        <v>0</v>
      </c>
      <c r="AC675" s="27">
        <v>1348975.3697015401</v>
      </c>
      <c r="AD675" s="27">
        <v>0</v>
      </c>
      <c r="AE675" s="27">
        <v>0</v>
      </c>
      <c r="AF675" s="27"/>
      <c r="AG675" s="27">
        <v>0</v>
      </c>
      <c r="AH675" s="27">
        <v>0</v>
      </c>
      <c r="AI675" s="27">
        <v>0</v>
      </c>
      <c r="AJ675" s="27">
        <v>867045.8987589</v>
      </c>
      <c r="AK675" s="27">
        <v>0</v>
      </c>
      <c r="AL675" s="27">
        <v>3709694.4099553796</v>
      </c>
      <c r="AM675" s="27">
        <v>680370.68299999996</v>
      </c>
      <c r="AN675" s="32">
        <v>68037.068299999999</v>
      </c>
      <c r="AO675" s="33">
        <v>129583.40028418</v>
      </c>
      <c r="AP675" s="84">
        <f>+N675-'Приложение №2'!E675</f>
        <v>0</v>
      </c>
      <c r="AQ675" s="1">
        <v>509918.52</v>
      </c>
      <c r="AR675" s="1">
        <f t="shared" si="256"/>
        <v>134415.6</v>
      </c>
      <c r="AS675" s="1">
        <f>+(K675*10+L675*20)*12*30</f>
        <v>4744080</v>
      </c>
      <c r="AT675" s="29">
        <f t="shared" si="260"/>
        <v>0</v>
      </c>
      <c r="AU675" s="29">
        <f>+P675-'[6]Приложение №1'!$P643</f>
        <v>0</v>
      </c>
      <c r="AV675" s="29">
        <f>+Q675-'[6]Приложение №1'!$Q643</f>
        <v>0</v>
      </c>
      <c r="AW675" s="29">
        <f>+R675-'[6]Приложение №1'!$R643</f>
        <v>0</v>
      </c>
      <c r="AX675" s="29">
        <f>+S675-'[6]Приложение №1'!$S643</f>
        <v>0</v>
      </c>
      <c r="AY675" s="29">
        <f>+T675-'[6]Приложение №1'!$T643</f>
        <v>0</v>
      </c>
    </row>
    <row r="676" spans="1:51" x14ac:dyDescent="0.25">
      <c r="A676" s="133">
        <f t="shared" si="262"/>
        <v>658</v>
      </c>
      <c r="B676" s="132">
        <f t="shared" si="262"/>
        <v>196</v>
      </c>
      <c r="C676" s="77" t="s">
        <v>47</v>
      </c>
      <c r="D676" s="77" t="s">
        <v>403</v>
      </c>
      <c r="E676" s="78">
        <v>1970</v>
      </c>
      <c r="F676" s="78">
        <v>1970</v>
      </c>
      <c r="G676" s="78" t="s">
        <v>44</v>
      </c>
      <c r="H676" s="78">
        <v>4</v>
      </c>
      <c r="I676" s="78">
        <v>1</v>
      </c>
      <c r="J676" s="44">
        <v>1343.6</v>
      </c>
      <c r="K676" s="44">
        <v>929.1</v>
      </c>
      <c r="L676" s="44">
        <v>317.89999999999998</v>
      </c>
      <c r="M676" s="79">
        <v>43</v>
      </c>
      <c r="N676" s="129">
        <f t="shared" si="254"/>
        <v>8964551.3562646136</v>
      </c>
      <c r="O676" s="44"/>
      <c r="P676" s="68">
        <v>1321634.5791319686</v>
      </c>
      <c r="Q676" s="68"/>
      <c r="R676" s="68">
        <f t="shared" si="261"/>
        <v>861801.35000000009</v>
      </c>
      <c r="S676" s="68">
        <f t="shared" si="263"/>
        <v>5633640</v>
      </c>
      <c r="T676" s="68">
        <f>+'Приложение №2'!E676-'Приложение №1'!P676-'Приложение №1'!R676-'Приложение №1'!S676</f>
        <v>1147475.4271326456</v>
      </c>
      <c r="U676" s="68">
        <f t="shared" si="259"/>
        <v>9648.639927095699</v>
      </c>
      <c r="V676" s="68">
        <v>1364.2830200640001</v>
      </c>
      <c r="W676" s="80">
        <v>2024</v>
      </c>
      <c r="X676" s="29" t="e">
        <f>+#REF!-'[1]Приложение №1'!$P1170</f>
        <v>#REF!</v>
      </c>
      <c r="Z676" s="31">
        <f t="shared" si="253"/>
        <v>19642322.439999998</v>
      </c>
      <c r="AA676" s="27">
        <v>2821780.5180419399</v>
      </c>
      <c r="AB676" s="27">
        <v>1017993.6538753798</v>
      </c>
      <c r="AC676" s="27">
        <v>1063553.7540591599</v>
      </c>
      <c r="AD676" s="27">
        <v>665875.47655355989</v>
      </c>
      <c r="AE676" s="27">
        <v>0</v>
      </c>
      <c r="AF676" s="27"/>
      <c r="AG676" s="27">
        <v>101809.49181312</v>
      </c>
      <c r="AH676" s="27">
        <v>0</v>
      </c>
      <c r="AI676" s="27">
        <v>5222681.4190823995</v>
      </c>
      <c r="AJ676" s="27">
        <v>683592.85135050002</v>
      </c>
      <c r="AK676" s="27">
        <v>2711658.3273179396</v>
      </c>
      <c r="AL676" s="27">
        <v>2924782.3910923805</v>
      </c>
      <c r="AM676" s="27">
        <v>1855741.9672999999</v>
      </c>
      <c r="AN676" s="32">
        <v>196423.22439999998</v>
      </c>
      <c r="AO676" s="33">
        <v>376429.36511361995</v>
      </c>
      <c r="AP676" s="84">
        <f>+N676-'Приложение №2'!E676</f>
        <v>0</v>
      </c>
      <c r="AQ676" s="1">
        <v>702181.55</v>
      </c>
      <c r="AR676" s="1">
        <f t="shared" si="256"/>
        <v>159619.79999999999</v>
      </c>
      <c r="AS676" s="1">
        <f>+(K676*10+L676*20)*12*30</f>
        <v>5633640</v>
      </c>
      <c r="AT676" s="29">
        <f t="shared" si="260"/>
        <v>0</v>
      </c>
      <c r="AU676" s="29">
        <f>+P676-'[6]Приложение №1'!$P644</f>
        <v>0</v>
      </c>
      <c r="AV676" s="29">
        <f>+Q676-'[6]Приложение №1'!$Q644</f>
        <v>0</v>
      </c>
      <c r="AW676" s="29">
        <f>+R676-'[6]Приложение №1'!$R644</f>
        <v>0</v>
      </c>
      <c r="AX676" s="29">
        <f>+S676-'[6]Приложение №1'!$S644</f>
        <v>0</v>
      </c>
      <c r="AY676" s="29">
        <f>+T676-'[6]Приложение №1'!$T644</f>
        <v>0</v>
      </c>
    </row>
    <row r="677" spans="1:51" x14ac:dyDescent="0.25">
      <c r="A677" s="133">
        <f t="shared" si="262"/>
        <v>659</v>
      </c>
      <c r="B677" s="132">
        <f t="shared" si="262"/>
        <v>197</v>
      </c>
      <c r="C677" s="77" t="s">
        <v>47</v>
      </c>
      <c r="D677" s="77" t="s">
        <v>404</v>
      </c>
      <c r="E677" s="78">
        <v>1969</v>
      </c>
      <c r="F677" s="78">
        <v>1969</v>
      </c>
      <c r="G677" s="78" t="s">
        <v>44</v>
      </c>
      <c r="H677" s="78">
        <v>4</v>
      </c>
      <c r="I677" s="78">
        <v>4</v>
      </c>
      <c r="J677" s="44">
        <v>1301.0999999999999</v>
      </c>
      <c r="K677" s="44">
        <v>1206.0999999999999</v>
      </c>
      <c r="L677" s="44">
        <v>0</v>
      </c>
      <c r="M677" s="79">
        <v>55</v>
      </c>
      <c r="N677" s="129">
        <f t="shared" si="254"/>
        <v>7055254.3933999995</v>
      </c>
      <c r="O677" s="44"/>
      <c r="P677" s="68">
        <v>1920678.6675</v>
      </c>
      <c r="Q677" s="68"/>
      <c r="R677" s="68">
        <f t="shared" si="261"/>
        <v>591478.23</v>
      </c>
      <c r="S677" s="68">
        <f t="shared" si="263"/>
        <v>3336994.5446359999</v>
      </c>
      <c r="T677" s="68">
        <f>+'Приложение №2'!E677-'Приложение №1'!P677-'Приложение №1'!Q677-'Приложение №1'!R677-'Приложение №1'!S677</f>
        <v>1206102.9512639996</v>
      </c>
      <c r="U677" s="68">
        <f t="shared" si="259"/>
        <v>5849.6429760384708</v>
      </c>
      <c r="V677" s="68">
        <v>1365.2830200640001</v>
      </c>
      <c r="W677" s="80">
        <v>2024</v>
      </c>
      <c r="X677" s="29" t="e">
        <f>+#REF!-'[1]Приложение №1'!$P1507</f>
        <v>#REF!</v>
      </c>
      <c r="Z677" s="31">
        <f t="shared" ref="Z677:Z693" si="264">SUM(AA677:AO677)</f>
        <v>20711430.510000002</v>
      </c>
      <c r="AA677" s="27">
        <v>3099206.3677902599</v>
      </c>
      <c r="AB677" s="27">
        <v>1118078.6011840198</v>
      </c>
      <c r="AC677" s="27">
        <v>1168117.9829516402</v>
      </c>
      <c r="AD677" s="27">
        <v>731341.61352924001</v>
      </c>
      <c r="AE677" s="27">
        <v>0</v>
      </c>
      <c r="AF677" s="27"/>
      <c r="AG677" s="27">
        <v>111818.98213248001</v>
      </c>
      <c r="AH677" s="27">
        <v>0</v>
      </c>
      <c r="AI677" s="27">
        <v>5736153.9664296005</v>
      </c>
      <c r="AJ677" s="27">
        <v>0</v>
      </c>
      <c r="AK677" s="27">
        <v>2978257.4163942602</v>
      </c>
      <c r="AL677" s="27">
        <v>3212334.9611770199</v>
      </c>
      <c r="AM677" s="27">
        <v>1951986.4567</v>
      </c>
      <c r="AN677" s="32">
        <v>207114.30510000003</v>
      </c>
      <c r="AO677" s="33">
        <v>397019.85661148006</v>
      </c>
      <c r="AP677" s="84">
        <f>+N677-'Приложение №2'!E677</f>
        <v>0</v>
      </c>
      <c r="AQ677" s="29">
        <f>468456.03-R149</f>
        <v>468456.03</v>
      </c>
      <c r="AR677" s="1">
        <f t="shared" si="256"/>
        <v>123022.2</v>
      </c>
      <c r="AS677" s="1">
        <f>+(K677*10+L677*20)*12*30-S149</f>
        <v>3336994.5446359999</v>
      </c>
      <c r="AT677" s="29">
        <f t="shared" si="260"/>
        <v>0</v>
      </c>
      <c r="AU677" s="29">
        <f>+P677-'[6]Приложение №1'!$P645</f>
        <v>0</v>
      </c>
      <c r="AV677" s="29">
        <f>+Q677-'[6]Приложение №1'!$Q645</f>
        <v>0</v>
      </c>
      <c r="AW677" s="29">
        <f>+R677-'[6]Приложение №1'!$R645</f>
        <v>0</v>
      </c>
      <c r="AX677" s="29">
        <f>+S677-'[6]Приложение №1'!$S645</f>
        <v>0</v>
      </c>
      <c r="AY677" s="29">
        <f>+T677-'[6]Приложение №1'!$T645</f>
        <v>0</v>
      </c>
    </row>
    <row r="678" spans="1:51" x14ac:dyDescent="0.25">
      <c r="A678" s="133">
        <f t="shared" si="262"/>
        <v>660</v>
      </c>
      <c r="B678" s="132">
        <f t="shared" si="262"/>
        <v>198</v>
      </c>
      <c r="C678" s="77" t="s">
        <v>47</v>
      </c>
      <c r="D678" s="77" t="s">
        <v>405</v>
      </c>
      <c r="E678" s="78">
        <v>1970</v>
      </c>
      <c r="F678" s="78">
        <v>1970</v>
      </c>
      <c r="G678" s="78" t="s">
        <v>44</v>
      </c>
      <c r="H678" s="78">
        <v>4</v>
      </c>
      <c r="I678" s="78">
        <v>4</v>
      </c>
      <c r="J678" s="44">
        <v>1365.1</v>
      </c>
      <c r="K678" s="44">
        <v>1195.1600000000001</v>
      </c>
      <c r="L678" s="44">
        <v>66.400000000000006</v>
      </c>
      <c r="M678" s="79">
        <v>42</v>
      </c>
      <c r="N678" s="129">
        <f t="shared" ref="N678:N709" si="265">SUM(O678:T678)</f>
        <v>10250824.942299999</v>
      </c>
      <c r="O678" s="44"/>
      <c r="P678" s="68">
        <v>1460525.3899999997</v>
      </c>
      <c r="Q678" s="68"/>
      <c r="R678" s="68">
        <f t="shared" si="261"/>
        <v>436891.19000000006</v>
      </c>
      <c r="S678" s="68">
        <f t="shared" si="263"/>
        <v>3770010.74</v>
      </c>
      <c r="T678" s="68">
        <f>+'Приложение №2'!E678-'Приложение №1'!P678-'Приложение №1'!R678-'Приложение №1'!S678</f>
        <v>4583397.6222999981</v>
      </c>
      <c r="U678" s="68">
        <f t="shared" si="259"/>
        <v>8576.9478080759054</v>
      </c>
      <c r="V678" s="68">
        <v>1366.2830200640001</v>
      </c>
      <c r="W678" s="80">
        <v>2024</v>
      </c>
      <c r="X678" s="29" t="e">
        <f>+#REF!-'[1]Приложение №1'!$P1172</f>
        <v>#REF!</v>
      </c>
      <c r="Z678" s="31">
        <f t="shared" si="264"/>
        <v>20539765.109999996</v>
      </c>
      <c r="AA678" s="27">
        <v>3073518.7891098596</v>
      </c>
      <c r="AB678" s="27">
        <v>1108811.4764332199</v>
      </c>
      <c r="AC678" s="27">
        <v>1158436.1099060399</v>
      </c>
      <c r="AD678" s="27">
        <v>725279.93417963991</v>
      </c>
      <c r="AE678" s="27">
        <v>0</v>
      </c>
      <c r="AF678" s="27"/>
      <c r="AG678" s="27">
        <v>110892.17747327998</v>
      </c>
      <c r="AH678" s="27">
        <v>0</v>
      </c>
      <c r="AI678" s="27">
        <v>5688610.2120455997</v>
      </c>
      <c r="AJ678" s="27">
        <v>0</v>
      </c>
      <c r="AK678" s="27">
        <v>2953572.3155538603</v>
      </c>
      <c r="AL678" s="27">
        <v>3185709.7232062202</v>
      </c>
      <c r="AM678" s="27">
        <v>1935807.5387000002</v>
      </c>
      <c r="AN678" s="32">
        <v>205397.65109999999</v>
      </c>
      <c r="AO678" s="33">
        <v>393729.18229228002</v>
      </c>
      <c r="AP678" s="84">
        <f>+N678-'Приложение №2'!E678</f>
        <v>0</v>
      </c>
      <c r="AQ678" s="1">
        <f>462874.44-161435.17</f>
        <v>301439.27</v>
      </c>
      <c r="AR678" s="1">
        <f t="shared" si="256"/>
        <v>135451.92000000001</v>
      </c>
      <c r="AS678" s="1">
        <f>+(K678*10+L678*20)*12*30-1010645.26</f>
        <v>3770010.74</v>
      </c>
      <c r="AT678" s="29">
        <f t="shared" si="260"/>
        <v>0</v>
      </c>
      <c r="AU678" s="29">
        <f>+P678-'[6]Приложение №1'!$P646</f>
        <v>0</v>
      </c>
      <c r="AV678" s="29">
        <f>+Q678-'[6]Приложение №1'!$Q646</f>
        <v>0</v>
      </c>
      <c r="AW678" s="29">
        <f>+R678-'[6]Приложение №1'!$R646</f>
        <v>0</v>
      </c>
      <c r="AX678" s="29">
        <f>+S678-'[6]Приложение №1'!$S646</f>
        <v>0</v>
      </c>
      <c r="AY678" s="29">
        <f>+T678-'[6]Приложение №1'!$T646</f>
        <v>0</v>
      </c>
    </row>
    <row r="679" spans="1:51" x14ac:dyDescent="0.25">
      <c r="A679" s="133">
        <f t="shared" si="262"/>
        <v>661</v>
      </c>
      <c r="B679" s="132">
        <f t="shared" si="262"/>
        <v>199</v>
      </c>
      <c r="C679" s="77" t="s">
        <v>47</v>
      </c>
      <c r="D679" s="77" t="s">
        <v>406</v>
      </c>
      <c r="E679" s="78">
        <v>1965</v>
      </c>
      <c r="F679" s="78">
        <v>1965</v>
      </c>
      <c r="G679" s="78" t="s">
        <v>44</v>
      </c>
      <c r="H679" s="78">
        <v>3</v>
      </c>
      <c r="I679" s="78">
        <v>2</v>
      </c>
      <c r="J679" s="44">
        <v>987.3</v>
      </c>
      <c r="K679" s="44">
        <v>918.1</v>
      </c>
      <c r="L679" s="44">
        <v>68.099999999999994</v>
      </c>
      <c r="M679" s="79">
        <v>38</v>
      </c>
      <c r="N679" s="129">
        <f t="shared" si="265"/>
        <v>36148005.414999992</v>
      </c>
      <c r="O679" s="44"/>
      <c r="P679" s="68">
        <v>6467982.027999999</v>
      </c>
      <c r="Q679" s="68"/>
      <c r="R679" s="68">
        <f t="shared" si="261"/>
        <v>439706.48</v>
      </c>
      <c r="S679" s="68">
        <f t="shared" si="263"/>
        <v>3795480</v>
      </c>
      <c r="T679" s="68">
        <f>+'Приложение №2'!E679-'Приложение №1'!P679-'Приложение №1'!R679-'Приложение №1'!S679</f>
        <v>25444836.906999994</v>
      </c>
      <c r="U679" s="68">
        <f t="shared" si="259"/>
        <v>39372.623259993452</v>
      </c>
      <c r="V679" s="68">
        <v>1367.2830200640001</v>
      </c>
      <c r="W679" s="80">
        <v>2024</v>
      </c>
      <c r="X679" s="29" t="e">
        <f>+#REF!-'[1]Приложение №1'!$P1173</f>
        <v>#REF!</v>
      </c>
      <c r="Z679" s="31">
        <f t="shared" si="264"/>
        <v>36579168.819999993</v>
      </c>
      <c r="AA679" s="27">
        <v>3296586.4242183599</v>
      </c>
      <c r="AB679" s="27">
        <v>2005923.7262883002</v>
      </c>
      <c r="AC679" s="27">
        <v>945220.05597012001</v>
      </c>
      <c r="AD679" s="27">
        <v>805515.18886355986</v>
      </c>
      <c r="AE679" s="27">
        <v>0</v>
      </c>
      <c r="AF679" s="27"/>
      <c r="AG679" s="27">
        <v>312478.89445500006</v>
      </c>
      <c r="AH679" s="27">
        <v>0</v>
      </c>
      <c r="AI679" s="27">
        <v>9536457.495171601</v>
      </c>
      <c r="AJ679" s="27">
        <v>0</v>
      </c>
      <c r="AK679" s="27">
        <v>7797629.057187479</v>
      </c>
      <c r="AL679" s="27">
        <v>7337973.3202931397</v>
      </c>
      <c r="AM679" s="27">
        <v>3474991.5172000001</v>
      </c>
      <c r="AN679" s="32">
        <v>365791.68819999992</v>
      </c>
      <c r="AO679" s="33">
        <v>700601.45215243986</v>
      </c>
      <c r="AP679" s="84">
        <f>+N679-'Приложение №2'!E679</f>
        <v>0</v>
      </c>
      <c r="AQ679" s="1">
        <v>332167.88</v>
      </c>
      <c r="AR679" s="1">
        <f t="shared" si="256"/>
        <v>107538.59999999999</v>
      </c>
      <c r="AS679" s="1">
        <f>+(K679*10+L679*20)*12*30</f>
        <v>3795480</v>
      </c>
      <c r="AT679" s="29">
        <f t="shared" si="260"/>
        <v>0</v>
      </c>
      <c r="AU679" s="29">
        <f>+P679-'[6]Приложение №1'!$P647</f>
        <v>0</v>
      </c>
      <c r="AV679" s="29">
        <f>+Q679-'[6]Приложение №1'!$Q647</f>
        <v>0</v>
      </c>
      <c r="AW679" s="29">
        <f>+R679-'[6]Приложение №1'!$R647</f>
        <v>0</v>
      </c>
      <c r="AX679" s="29">
        <f>+S679-'[6]Приложение №1'!$S647</f>
        <v>0</v>
      </c>
      <c r="AY679" s="29">
        <f>+T679-'[6]Приложение №1'!$T647</f>
        <v>0</v>
      </c>
    </row>
    <row r="680" spans="1:51" x14ac:dyDescent="0.25">
      <c r="A680" s="133">
        <f t="shared" si="262"/>
        <v>662</v>
      </c>
      <c r="B680" s="132">
        <f t="shared" si="262"/>
        <v>200</v>
      </c>
      <c r="C680" s="77" t="s">
        <v>47</v>
      </c>
      <c r="D680" s="77" t="s">
        <v>407</v>
      </c>
      <c r="E680" s="78">
        <v>1964</v>
      </c>
      <c r="F680" s="78">
        <v>1964</v>
      </c>
      <c r="G680" s="78" t="s">
        <v>44</v>
      </c>
      <c r="H680" s="78">
        <v>3</v>
      </c>
      <c r="I680" s="78">
        <v>1</v>
      </c>
      <c r="J680" s="44">
        <v>998.5</v>
      </c>
      <c r="K680" s="44">
        <v>928.6</v>
      </c>
      <c r="L680" s="44">
        <v>69.900000000000006</v>
      </c>
      <c r="M680" s="79">
        <v>43</v>
      </c>
      <c r="N680" s="129">
        <f t="shared" si="265"/>
        <v>36523083.032605998</v>
      </c>
      <c r="O680" s="44"/>
      <c r="P680" s="68">
        <v>6526236.7062411997</v>
      </c>
      <c r="Q680" s="68"/>
      <c r="R680" s="68">
        <f t="shared" si="261"/>
        <v>452296.52999999997</v>
      </c>
      <c r="S680" s="68">
        <f t="shared" si="263"/>
        <v>3846240</v>
      </c>
      <c r="T680" s="68">
        <f>+'Приложение №2'!E680-'Приложение №1'!P680-'Приложение №1'!R680-'Приложение №1'!S680</f>
        <v>25698309.796364799</v>
      </c>
      <c r="U680" s="68">
        <f t="shared" si="259"/>
        <v>39331.340763090673</v>
      </c>
      <c r="V680" s="68">
        <v>1368.2830200640001</v>
      </c>
      <c r="W680" s="80">
        <v>2024</v>
      </c>
      <c r="X680" s="29" t="e">
        <f>+#REF!-'[1]Приложение №1'!$P1174</f>
        <v>#REF!</v>
      </c>
      <c r="Z680" s="31">
        <f t="shared" si="264"/>
        <v>36927435.980000004</v>
      </c>
      <c r="AA680" s="27">
        <v>3327972.9418462794</v>
      </c>
      <c r="AB680" s="27">
        <v>2025021.9533430603</v>
      </c>
      <c r="AC680" s="27">
        <v>954219.41462316003</v>
      </c>
      <c r="AD680" s="27">
        <v>813184.43439659989</v>
      </c>
      <c r="AE680" s="27">
        <v>0</v>
      </c>
      <c r="AF680" s="27"/>
      <c r="AG680" s="27">
        <v>315453.97193603998</v>
      </c>
      <c r="AH680" s="27">
        <v>0</v>
      </c>
      <c r="AI680" s="27">
        <v>9627253.2988379989</v>
      </c>
      <c r="AJ680" s="27">
        <v>0</v>
      </c>
      <c r="AK680" s="27">
        <v>7871869.6290435605</v>
      </c>
      <c r="AL680" s="27">
        <v>7407837.5399091002</v>
      </c>
      <c r="AM680" s="27">
        <v>3508076.6171999997</v>
      </c>
      <c r="AN680" s="32">
        <v>369274.35979999998</v>
      </c>
      <c r="AO680" s="33">
        <v>707271.81906420004</v>
      </c>
      <c r="AP680" s="84">
        <f>+N680-'Приложение №2'!E680</f>
        <v>0</v>
      </c>
      <c r="AQ680" s="1">
        <v>343319.73</v>
      </c>
      <c r="AR680" s="1">
        <f t="shared" si="256"/>
        <v>108976.8</v>
      </c>
      <c r="AS680" s="1">
        <f>+(K680*10+L680*20)*12*30</f>
        <v>3846240</v>
      </c>
      <c r="AT680" s="29">
        <f t="shared" si="260"/>
        <v>0</v>
      </c>
      <c r="AU680" s="29">
        <f>+P680-'[6]Приложение №1'!$P648</f>
        <v>0</v>
      </c>
      <c r="AV680" s="29">
        <f>+Q680-'[6]Приложение №1'!$Q648</f>
        <v>0</v>
      </c>
      <c r="AW680" s="29">
        <f>+R680-'[6]Приложение №1'!$R648</f>
        <v>0</v>
      </c>
      <c r="AX680" s="29">
        <f>+S680-'[6]Приложение №1'!$S648</f>
        <v>0</v>
      </c>
      <c r="AY680" s="29">
        <f>+T680-'[6]Приложение №1'!$T648</f>
        <v>0</v>
      </c>
    </row>
    <row r="681" spans="1:51" x14ac:dyDescent="0.25">
      <c r="A681" s="133">
        <f t="shared" si="262"/>
        <v>663</v>
      </c>
      <c r="B681" s="132">
        <f t="shared" si="262"/>
        <v>201</v>
      </c>
      <c r="C681" s="77" t="s">
        <v>47</v>
      </c>
      <c r="D681" s="77" t="s">
        <v>408</v>
      </c>
      <c r="E681" s="78">
        <v>1967</v>
      </c>
      <c r="F681" s="78">
        <v>1967</v>
      </c>
      <c r="G681" s="78" t="s">
        <v>44</v>
      </c>
      <c r="H681" s="78">
        <v>3</v>
      </c>
      <c r="I681" s="78">
        <v>2</v>
      </c>
      <c r="J681" s="44">
        <v>994.3</v>
      </c>
      <c r="K681" s="44">
        <v>775.2</v>
      </c>
      <c r="L681" s="44">
        <v>168.7</v>
      </c>
      <c r="M681" s="79">
        <v>26</v>
      </c>
      <c r="N681" s="129">
        <f t="shared" si="265"/>
        <v>19329020.200000007</v>
      </c>
      <c r="O681" s="44"/>
      <c r="P681" s="68">
        <v>4845301.1875000009</v>
      </c>
      <c r="Q681" s="68"/>
      <c r="R681" s="68">
        <f>+AR681</f>
        <v>113485.2</v>
      </c>
      <c r="S681" s="68">
        <f t="shared" si="263"/>
        <v>1681061.3913666802</v>
      </c>
      <c r="T681" s="68">
        <f>+'Приложение №2'!E681-'Приложение №1'!P681-'Приложение №1'!Q681-'Приложение №1'!R681-'Приложение №1'!S681</f>
        <v>12689172.421133325</v>
      </c>
      <c r="U681" s="68">
        <f t="shared" si="259"/>
        <v>24934.236584107333</v>
      </c>
      <c r="V681" s="68">
        <v>1369.2830200640001</v>
      </c>
      <c r="W681" s="80">
        <v>2024</v>
      </c>
      <c r="X681" s="29" t="e">
        <f>+#REF!-'[1]Приложение №1'!$P1512</f>
        <v>#REF!</v>
      </c>
      <c r="Z681" s="31">
        <f t="shared" si="264"/>
        <v>34167233.340000004</v>
      </c>
      <c r="AA681" s="27">
        <v>3079218.0664572599</v>
      </c>
      <c r="AB681" s="27">
        <v>1873658.3176915799</v>
      </c>
      <c r="AC681" s="27">
        <v>882894.70095414005</v>
      </c>
      <c r="AD681" s="27">
        <v>752401.6108417199</v>
      </c>
      <c r="AE681" s="27">
        <v>0</v>
      </c>
      <c r="AF681" s="27"/>
      <c r="AG681" s="27">
        <v>291874.83960432006</v>
      </c>
      <c r="AH681" s="27">
        <v>0</v>
      </c>
      <c r="AI681" s="27">
        <v>8907648.2312202007</v>
      </c>
      <c r="AJ681" s="27">
        <v>0</v>
      </c>
      <c r="AK681" s="27">
        <v>7283473.6350293402</v>
      </c>
      <c r="AL681" s="27">
        <v>6854126.4005717998</v>
      </c>
      <c r="AM681" s="27">
        <v>3245859.5940000005</v>
      </c>
      <c r="AN681" s="32">
        <v>341672.33340000006</v>
      </c>
      <c r="AO681" s="33">
        <v>654405.61022964003</v>
      </c>
      <c r="AP681" s="84">
        <f>+N681-'Приложение №2'!E681</f>
        <v>0</v>
      </c>
      <c r="AQ681" s="29">
        <f>373291.08-R389</f>
        <v>-113485.20000000001</v>
      </c>
      <c r="AR681" s="1">
        <f t="shared" si="256"/>
        <v>113485.2</v>
      </c>
      <c r="AS681" s="1">
        <f>+(K681*10+L681*20)*12*30-S389</f>
        <v>1681061.3913666802</v>
      </c>
      <c r="AT681" s="29">
        <f t="shared" si="260"/>
        <v>0</v>
      </c>
      <c r="AU681" s="29">
        <f>+P681-'[6]Приложение №1'!$P649</f>
        <v>0</v>
      </c>
      <c r="AV681" s="29">
        <f>+Q681-'[6]Приложение №1'!$Q649</f>
        <v>0</v>
      </c>
      <c r="AW681" s="29">
        <f>+R681-'[6]Приложение №1'!$R649</f>
        <v>0</v>
      </c>
      <c r="AX681" s="29">
        <f>+S681-'[6]Приложение №1'!$S649</f>
        <v>-1171675.2999999998</v>
      </c>
      <c r="AY681" s="29">
        <f>+T681-'[6]Приложение №1'!$T649</f>
        <v>1171675.3000000007</v>
      </c>
    </row>
    <row r="682" spans="1:51" x14ac:dyDescent="0.25">
      <c r="A682" s="133">
        <f t="shared" si="262"/>
        <v>664</v>
      </c>
      <c r="B682" s="132">
        <f t="shared" si="262"/>
        <v>202</v>
      </c>
      <c r="C682" s="77" t="s">
        <v>47</v>
      </c>
      <c r="D682" s="77" t="s">
        <v>409</v>
      </c>
      <c r="E682" s="78">
        <v>1970</v>
      </c>
      <c r="F682" s="78">
        <v>1970</v>
      </c>
      <c r="G682" s="78" t="s">
        <v>44</v>
      </c>
      <c r="H682" s="78">
        <v>3</v>
      </c>
      <c r="I682" s="78">
        <v>3</v>
      </c>
      <c r="J682" s="44">
        <v>1002.4</v>
      </c>
      <c r="K682" s="44">
        <v>930.4</v>
      </c>
      <c r="L682" s="44">
        <v>71.8</v>
      </c>
      <c r="M682" s="79">
        <v>40</v>
      </c>
      <c r="N682" s="129">
        <f t="shared" si="265"/>
        <v>33239094.227299996</v>
      </c>
      <c r="O682" s="44"/>
      <c r="P682" s="68">
        <v>6554730.6119999988</v>
      </c>
      <c r="Q682" s="68"/>
      <c r="R682" s="68">
        <f>+AQ682+AR682</f>
        <v>497825.82</v>
      </c>
      <c r="S682" s="68">
        <f t="shared" si="263"/>
        <v>3866400</v>
      </c>
      <c r="T682" s="68">
        <f>+'Приложение №2'!E682-'Приложение №1'!P682-'Приложение №1'!R682-'Приложение №1'!S682</f>
        <v>22320137.795299996</v>
      </c>
      <c r="U682" s="68">
        <f t="shared" si="259"/>
        <v>35725.595687123816</v>
      </c>
      <c r="V682" s="68">
        <v>1370.2830200640001</v>
      </c>
      <c r="W682" s="80">
        <v>2024</v>
      </c>
      <c r="X682" s="29" t="e">
        <f>+#REF!-'[1]Приложение №1'!$P1176</f>
        <v>#REF!</v>
      </c>
      <c r="Z682" s="31">
        <f t="shared" si="264"/>
        <v>37138619.279999994</v>
      </c>
      <c r="AA682" s="27">
        <v>3347005.1922762003</v>
      </c>
      <c r="AB682" s="27">
        <v>2036602.79352348</v>
      </c>
      <c r="AC682" s="27">
        <v>959676.47271510004</v>
      </c>
      <c r="AD682" s="27">
        <v>817834.93398936011</v>
      </c>
      <c r="AE682" s="27">
        <v>0</v>
      </c>
      <c r="AF682" s="27"/>
      <c r="AG682" s="27">
        <v>317258.01868739998</v>
      </c>
      <c r="AH682" s="27">
        <v>0</v>
      </c>
      <c r="AI682" s="27">
        <v>9682310.3290956002</v>
      </c>
      <c r="AJ682" s="27">
        <v>0</v>
      </c>
      <c r="AK682" s="27">
        <v>7916887.847777158</v>
      </c>
      <c r="AL682" s="27">
        <v>7450202.0227714796</v>
      </c>
      <c r="AM682" s="27">
        <v>3528138.8598999996</v>
      </c>
      <c r="AN682" s="32">
        <v>371386.19280000002</v>
      </c>
      <c r="AO682" s="33">
        <v>711316.6164642201</v>
      </c>
      <c r="AP682" s="84">
        <f>+N682-'Приложение №2'!E682</f>
        <v>0</v>
      </c>
      <c r="AQ682" s="1">
        <v>388277.82</v>
      </c>
      <c r="AR682" s="1">
        <f t="shared" si="256"/>
        <v>109548</v>
      </c>
      <c r="AS682" s="1">
        <f>+(K682*10+L682*20)*12*30</f>
        <v>3866400</v>
      </c>
      <c r="AT682" s="29">
        <f t="shared" si="260"/>
        <v>0</v>
      </c>
      <c r="AU682" s="29">
        <f>+P682-'[6]Приложение №1'!$P650</f>
        <v>0</v>
      </c>
      <c r="AV682" s="29">
        <f>+Q682-'[6]Приложение №1'!$Q650</f>
        <v>0</v>
      </c>
      <c r="AW682" s="29">
        <f>+R682-'[6]Приложение №1'!$R650</f>
        <v>0</v>
      </c>
      <c r="AX682" s="29">
        <f>+S682-'[6]Приложение №1'!$S650</f>
        <v>0</v>
      </c>
      <c r="AY682" s="29">
        <f>+T682-'[6]Приложение №1'!$T650</f>
        <v>0</v>
      </c>
    </row>
    <row r="683" spans="1:51" x14ac:dyDescent="0.25">
      <c r="A683" s="133">
        <f t="shared" si="262"/>
        <v>665</v>
      </c>
      <c r="B683" s="132">
        <f t="shared" si="262"/>
        <v>203</v>
      </c>
      <c r="C683" s="77" t="s">
        <v>47</v>
      </c>
      <c r="D683" s="77" t="s">
        <v>410</v>
      </c>
      <c r="E683" s="78">
        <v>1974</v>
      </c>
      <c r="F683" s="78">
        <v>1974</v>
      </c>
      <c r="G683" s="78" t="s">
        <v>44</v>
      </c>
      <c r="H683" s="78">
        <v>4</v>
      </c>
      <c r="I683" s="78">
        <v>3</v>
      </c>
      <c r="J683" s="44">
        <v>1380.9</v>
      </c>
      <c r="K683" s="44">
        <v>1261.0999999999999</v>
      </c>
      <c r="L683" s="44">
        <v>0</v>
      </c>
      <c r="M683" s="79">
        <v>43</v>
      </c>
      <c r="N683" s="129">
        <f t="shared" si="265"/>
        <v>5128955.3972830009</v>
      </c>
      <c r="O683" s="44"/>
      <c r="P683" s="68">
        <v>1342375.9173957503</v>
      </c>
      <c r="Q683" s="68"/>
      <c r="R683" s="68">
        <f>+AR683</f>
        <v>128632.2</v>
      </c>
      <c r="S683" s="68">
        <f>+'Приложение №2'!E683-'Приложение №1'!P683-'Приложение №1'!R683</f>
        <v>3657947.2798872506</v>
      </c>
      <c r="T683" s="68">
        <f>+'Приложение №2'!E683-'Приложение №1'!P683-'Приложение №1'!Q683-'Приложение №1'!R683-'Приложение №1'!S683</f>
        <v>0</v>
      </c>
      <c r="U683" s="68">
        <f t="shared" si="259"/>
        <v>4067.048923386727</v>
      </c>
      <c r="V683" s="68">
        <v>1371.2830200640001</v>
      </c>
      <c r="W683" s="80">
        <v>2024</v>
      </c>
      <c r="X683" s="29" t="e">
        <f>+#REF!-'[1]Приложение №1'!$P1514</f>
        <v>#REF!</v>
      </c>
      <c r="Z683" s="31">
        <f t="shared" si="264"/>
        <v>24082184.68</v>
      </c>
      <c r="AA683" s="27">
        <v>3459603.0948952204</v>
      </c>
      <c r="AB683" s="27">
        <v>1248096.36492156</v>
      </c>
      <c r="AC683" s="27">
        <v>1303954.6600395001</v>
      </c>
      <c r="AD683" s="27">
        <v>816386.97648732003</v>
      </c>
      <c r="AE683" s="27">
        <v>0</v>
      </c>
      <c r="AF683" s="27"/>
      <c r="AG683" s="27">
        <v>124822.049583</v>
      </c>
      <c r="AH683" s="27">
        <v>0</v>
      </c>
      <c r="AI683" s="27">
        <v>6403192.8421985991</v>
      </c>
      <c r="AJ683" s="27">
        <v>838109.10532439989</v>
      </c>
      <c r="AK683" s="27">
        <v>3324589.38292698</v>
      </c>
      <c r="AL683" s="27">
        <v>3585887.05339116</v>
      </c>
      <c r="AM683" s="27">
        <v>2275205.5373000004</v>
      </c>
      <c r="AN683" s="32">
        <v>240821.8468</v>
      </c>
      <c r="AO683" s="33">
        <v>461515.76613225997</v>
      </c>
      <c r="AP683" s="84">
        <f>+N683-'Приложение №2'!E683</f>
        <v>0</v>
      </c>
      <c r="AQ683" s="29">
        <f>513292.56-R150</f>
        <v>-128632.20000000001</v>
      </c>
      <c r="AR683" s="1">
        <f t="shared" si="256"/>
        <v>128632.2</v>
      </c>
      <c r="AS683" s="1">
        <f>+(K683*10+L683*20)*12*30-S150</f>
        <v>3849750.0691816397</v>
      </c>
      <c r="AT683" s="29">
        <f t="shared" si="260"/>
        <v>-191802.78929438908</v>
      </c>
      <c r="AU683" s="29">
        <f>+P683-'[6]Приложение №1'!$P651</f>
        <v>0</v>
      </c>
      <c r="AV683" s="29">
        <f>+Q683-'[6]Приложение №1'!$Q651</f>
        <v>0</v>
      </c>
      <c r="AW683" s="29">
        <f>+R683-'[6]Приложение №1'!$R651</f>
        <v>0</v>
      </c>
      <c r="AX683" s="29">
        <f>+S683-'[6]Приложение №1'!$S651</f>
        <v>214957.20070561068</v>
      </c>
      <c r="AY683" s="29">
        <f>+T683-'[6]Приложение №1'!$T651</f>
        <v>-214957.20070561068</v>
      </c>
    </row>
    <row r="684" spans="1:51" x14ac:dyDescent="0.25">
      <c r="A684" s="133">
        <f t="shared" si="262"/>
        <v>666</v>
      </c>
      <c r="B684" s="132">
        <f t="shared" si="262"/>
        <v>204</v>
      </c>
      <c r="C684" s="77" t="s">
        <v>47</v>
      </c>
      <c r="D684" s="77" t="s">
        <v>411</v>
      </c>
      <c r="E684" s="78">
        <v>1962</v>
      </c>
      <c r="F684" s="78">
        <v>1962</v>
      </c>
      <c r="G684" s="78" t="s">
        <v>44</v>
      </c>
      <c r="H684" s="78">
        <v>3</v>
      </c>
      <c r="I684" s="78">
        <v>2</v>
      </c>
      <c r="J684" s="44">
        <v>937.1</v>
      </c>
      <c r="K684" s="44">
        <v>723.7</v>
      </c>
      <c r="L684" s="44">
        <v>213.4</v>
      </c>
      <c r="M684" s="79">
        <v>26</v>
      </c>
      <c r="N684" s="129">
        <f t="shared" si="265"/>
        <v>9473346.4440000001</v>
      </c>
      <c r="O684" s="44"/>
      <c r="P684" s="68">
        <v>2546073</v>
      </c>
      <c r="Q684" s="68"/>
      <c r="R684" s="68">
        <f>+AR684</f>
        <v>117351</v>
      </c>
      <c r="S684" s="68">
        <f t="shared" si="263"/>
        <v>3249806.9578032</v>
      </c>
      <c r="T684" s="68">
        <f>+'Приложение №2'!E684-'Приложение №1'!P684-'Приложение №1'!Q684-'Приложение №1'!R684-'Приложение №1'!S684</f>
        <v>3560115.4861968001</v>
      </c>
      <c r="U684" s="68">
        <f t="shared" si="259"/>
        <v>13090.156755561697</v>
      </c>
      <c r="V684" s="68">
        <v>1372.2830200640001</v>
      </c>
      <c r="W684" s="80">
        <v>2024</v>
      </c>
      <c r="X684" s="29" t="e">
        <f>+#REF!-'[1]Приложение №1'!$P1515</f>
        <v>#REF!</v>
      </c>
      <c r="Z684" s="31">
        <f t="shared" si="264"/>
        <v>26675784</v>
      </c>
      <c r="AA684" s="27">
        <v>2404073.9634912</v>
      </c>
      <c r="AB684" s="27">
        <v>1462843.1901888</v>
      </c>
      <c r="AC684" s="27">
        <v>689312.71110239998</v>
      </c>
      <c r="AD684" s="27">
        <v>587431.31489280006</v>
      </c>
      <c r="AE684" s="27">
        <v>0</v>
      </c>
      <c r="AF684" s="27"/>
      <c r="AG684" s="27">
        <v>227878.8628032</v>
      </c>
      <c r="AH684" s="27">
        <v>0</v>
      </c>
      <c r="AI684" s="27">
        <v>6954572.4655679995</v>
      </c>
      <c r="AJ684" s="27">
        <v>0</v>
      </c>
      <c r="AK684" s="27">
        <v>5686511.6200032001</v>
      </c>
      <c r="AL684" s="27">
        <v>5351302.3282992002</v>
      </c>
      <c r="AM684" s="27">
        <v>2534177.952</v>
      </c>
      <c r="AN684" s="32">
        <v>266757.84000000003</v>
      </c>
      <c r="AO684" s="33">
        <v>510921.75165120006</v>
      </c>
      <c r="AP684" s="84">
        <f>+N684-'Приложение №2'!E684</f>
        <v>0</v>
      </c>
      <c r="AQ684" s="29">
        <f>294416.56-R151</f>
        <v>101159.12</v>
      </c>
      <c r="AR684" s="1">
        <f t="shared" si="256"/>
        <v>117351</v>
      </c>
      <c r="AS684" s="1">
        <f>+(K684*10+L684*20)*12*30-S151</f>
        <v>3249806.9578032</v>
      </c>
      <c r="AT684" s="29">
        <f t="shared" si="260"/>
        <v>0</v>
      </c>
      <c r="AU684" s="29">
        <f>+P684-'[6]Приложение №1'!$P652</f>
        <v>0</v>
      </c>
      <c r="AV684" s="29">
        <f>+Q684-'[6]Приложение №1'!$Q652</f>
        <v>0</v>
      </c>
      <c r="AW684" s="29">
        <f>+R684-'[6]Приложение №1'!$R652</f>
        <v>0</v>
      </c>
      <c r="AX684" s="29">
        <f>+S684-'[6]Приложение №1'!$S652</f>
        <v>1470538.8199999998</v>
      </c>
      <c r="AY684" s="29">
        <f>+T684-'[6]Приложение №1'!$T652</f>
        <v>-1470538.8199999994</v>
      </c>
    </row>
    <row r="685" spans="1:51" x14ac:dyDescent="0.25">
      <c r="A685" s="133">
        <f t="shared" si="262"/>
        <v>667</v>
      </c>
      <c r="B685" s="132">
        <f t="shared" si="262"/>
        <v>205</v>
      </c>
      <c r="C685" s="77" t="s">
        <v>47</v>
      </c>
      <c r="D685" s="77" t="s">
        <v>412</v>
      </c>
      <c r="E685" s="78">
        <v>1973</v>
      </c>
      <c r="F685" s="78">
        <v>1973</v>
      </c>
      <c r="G685" s="78" t="s">
        <v>44</v>
      </c>
      <c r="H685" s="78">
        <v>4</v>
      </c>
      <c r="I685" s="78">
        <v>1</v>
      </c>
      <c r="J685" s="44">
        <v>1419.3</v>
      </c>
      <c r="K685" s="44">
        <v>1084.2</v>
      </c>
      <c r="L685" s="44">
        <v>165.8</v>
      </c>
      <c r="M685" s="79">
        <v>48</v>
      </c>
      <c r="N685" s="129">
        <f t="shared" si="265"/>
        <v>18198573.6325</v>
      </c>
      <c r="O685" s="44"/>
      <c r="P685" s="68">
        <v>3168000.6575000002</v>
      </c>
      <c r="Q685" s="68"/>
      <c r="R685" s="68">
        <f t="shared" ref="R685:R708" si="266">+AQ685+AR685</f>
        <v>676632.91</v>
      </c>
      <c r="S685" s="68">
        <f t="shared" si="263"/>
        <v>5096880</v>
      </c>
      <c r="T685" s="68">
        <f>+'Приложение №2'!E685-'Приложение №1'!P685-'Приложение №1'!R685-'Приложение №1'!S685</f>
        <v>9257060.0649999995</v>
      </c>
      <c r="U685" s="68">
        <f t="shared" si="259"/>
        <v>16785.255148957756</v>
      </c>
      <c r="V685" s="68">
        <v>1373.2830200640001</v>
      </c>
      <c r="W685" s="80">
        <v>2024</v>
      </c>
      <c r="X685" s="29" t="e">
        <f>+#REF!-'[1]Приложение №1'!$P1179</f>
        <v>#REF!</v>
      </c>
      <c r="Z685" s="31">
        <f t="shared" si="264"/>
        <v>23254292.520000007</v>
      </c>
      <c r="AA685" s="27">
        <v>3340669.60738602</v>
      </c>
      <c r="AB685" s="27">
        <v>1205189.5738415401</v>
      </c>
      <c r="AC685" s="27">
        <v>1259127.5895802802</v>
      </c>
      <c r="AD685" s="27">
        <v>788321.39941547997</v>
      </c>
      <c r="AE685" s="27">
        <v>0</v>
      </c>
      <c r="AF685" s="27"/>
      <c r="AG685" s="27">
        <v>120530.94592896002</v>
      </c>
      <c r="AH685" s="27">
        <v>0</v>
      </c>
      <c r="AI685" s="27">
        <v>6183065.2576392004</v>
      </c>
      <c r="AJ685" s="27">
        <v>809296.77121649997</v>
      </c>
      <c r="AK685" s="27">
        <v>3210297.3642940195</v>
      </c>
      <c r="AL685" s="27">
        <v>3462612.1981025399</v>
      </c>
      <c r="AM685" s="27">
        <v>2196989.0109000001</v>
      </c>
      <c r="AN685" s="32">
        <v>232542.92520000003</v>
      </c>
      <c r="AO685" s="33">
        <v>445649.87649546011</v>
      </c>
      <c r="AP685" s="84">
        <f>+N685-'Приложение №2'!E685</f>
        <v>0</v>
      </c>
      <c r="AQ685" s="1">
        <v>532221.31000000006</v>
      </c>
      <c r="AR685" s="1">
        <f t="shared" si="256"/>
        <v>144411.6</v>
      </c>
      <c r="AS685" s="1">
        <f t="shared" ref="AS685:AS691" si="267">+(K685*10+L685*20)*12*30</f>
        <v>5096880</v>
      </c>
      <c r="AT685" s="29">
        <f t="shared" si="260"/>
        <v>0</v>
      </c>
      <c r="AU685" s="29">
        <f>+P685-'[6]Приложение №1'!$P653</f>
        <v>0</v>
      </c>
      <c r="AV685" s="29">
        <f>+Q685-'[6]Приложение №1'!$Q653</f>
        <v>0</v>
      </c>
      <c r="AW685" s="29">
        <f>+R685-'[6]Приложение №1'!$R653</f>
        <v>0</v>
      </c>
      <c r="AX685" s="29">
        <f>+S685-'[6]Приложение №1'!$S653</f>
        <v>0</v>
      </c>
      <c r="AY685" s="29">
        <f>+T685-'[6]Приложение №1'!$T653</f>
        <v>0</v>
      </c>
    </row>
    <row r="686" spans="1:51" x14ac:dyDescent="0.25">
      <c r="A686" s="133">
        <f t="shared" si="262"/>
        <v>668</v>
      </c>
      <c r="B686" s="132">
        <f t="shared" si="262"/>
        <v>206</v>
      </c>
      <c r="C686" s="77" t="s">
        <v>47</v>
      </c>
      <c r="D686" s="77" t="s">
        <v>485</v>
      </c>
      <c r="E686" s="78">
        <v>1977</v>
      </c>
      <c r="F686" s="78">
        <v>1977</v>
      </c>
      <c r="G686" s="78" t="s">
        <v>44</v>
      </c>
      <c r="H686" s="78">
        <v>4</v>
      </c>
      <c r="I686" s="78">
        <v>1</v>
      </c>
      <c r="J686" s="44">
        <v>1434.1</v>
      </c>
      <c r="K686" s="44">
        <v>1287.5999999999999</v>
      </c>
      <c r="L686" s="44">
        <v>100.6</v>
      </c>
      <c r="M686" s="79">
        <v>46</v>
      </c>
      <c r="N686" s="129">
        <f t="shared" si="265"/>
        <v>18481458.828001961</v>
      </c>
      <c r="O686" s="44"/>
      <c r="P686" s="68">
        <v>3371309.4466504906</v>
      </c>
      <c r="Q686" s="68"/>
      <c r="R686" s="68">
        <f t="shared" si="266"/>
        <v>647651.78</v>
      </c>
      <c r="S686" s="68">
        <f t="shared" si="263"/>
        <v>5359680</v>
      </c>
      <c r="T686" s="68">
        <f>+'Приложение №2'!E686-'Приложение №1'!P686-'Приложение №1'!R686-'Приложение №1'!S686</f>
        <v>9102817.6013514716</v>
      </c>
      <c r="U686" s="68">
        <f t="shared" si="259"/>
        <v>14353.416300094721</v>
      </c>
      <c r="V686" s="68">
        <v>1374.2830200640001</v>
      </c>
      <c r="W686" s="80">
        <v>2024</v>
      </c>
      <c r="X686" s="29" t="e">
        <f>+#REF!-'[1]Приложение №1'!$P1552</f>
        <v>#REF!</v>
      </c>
      <c r="Z686" s="31">
        <f t="shared" si="264"/>
        <v>23517143.800000001</v>
      </c>
      <c r="AA686" s="27">
        <v>3661472.2518719994</v>
      </c>
      <c r="AB686" s="27">
        <v>1317876.0443460001</v>
      </c>
      <c r="AC686" s="27">
        <v>1401977.6916540002</v>
      </c>
      <c r="AD686" s="27">
        <v>886159.65735600004</v>
      </c>
      <c r="AE686" s="27">
        <v>0</v>
      </c>
      <c r="AF686" s="27"/>
      <c r="AG686" s="27">
        <v>124380.97009799999</v>
      </c>
      <c r="AH686" s="27">
        <v>0</v>
      </c>
      <c r="AI686" s="27">
        <v>6856026.5788080012</v>
      </c>
      <c r="AJ686" s="27">
        <v>848379.40495800006</v>
      </c>
      <c r="AK686" s="27">
        <v>3566453.5386839998</v>
      </c>
      <c r="AL686" s="27">
        <v>3838143.5148840002</v>
      </c>
      <c r="AM686" s="27">
        <v>460066.39</v>
      </c>
      <c r="AN686" s="27">
        <v>64159.31</v>
      </c>
      <c r="AO686" s="33">
        <v>492048.44734000007</v>
      </c>
      <c r="AP686" s="84">
        <f>+N686-'Приложение №2'!E686</f>
        <v>0</v>
      </c>
      <c r="AQ686" s="1">
        <v>495794.18</v>
      </c>
      <c r="AR686" s="1">
        <f t="shared" si="256"/>
        <v>151857.60000000001</v>
      </c>
      <c r="AS686" s="1">
        <f t="shared" si="267"/>
        <v>5359680</v>
      </c>
      <c r="AT686" s="29">
        <f t="shared" si="260"/>
        <v>0</v>
      </c>
      <c r="AU686" s="29">
        <f>+P686-'[6]Приложение №1'!$P654</f>
        <v>0</v>
      </c>
      <c r="AV686" s="29">
        <f>+Q686-'[6]Приложение №1'!$Q654</f>
        <v>0</v>
      </c>
      <c r="AW686" s="29">
        <f>+R686-'[6]Приложение №1'!$R654</f>
        <v>0</v>
      </c>
      <c r="AX686" s="29">
        <f>+S686-'[6]Приложение №1'!$S654</f>
        <v>0</v>
      </c>
      <c r="AY686" s="29">
        <f>+T686-'[6]Приложение №1'!$T654</f>
        <v>0</v>
      </c>
    </row>
    <row r="687" spans="1:51" x14ac:dyDescent="0.25">
      <c r="A687" s="133">
        <f t="shared" si="262"/>
        <v>669</v>
      </c>
      <c r="B687" s="132">
        <f t="shared" si="262"/>
        <v>207</v>
      </c>
      <c r="C687" s="77" t="s">
        <v>47</v>
      </c>
      <c r="D687" s="77" t="s">
        <v>486</v>
      </c>
      <c r="E687" s="78">
        <v>1975</v>
      </c>
      <c r="F687" s="78">
        <v>1975</v>
      </c>
      <c r="G687" s="78" t="s">
        <v>44</v>
      </c>
      <c r="H687" s="78">
        <v>5</v>
      </c>
      <c r="I687" s="78">
        <v>5</v>
      </c>
      <c r="J687" s="44">
        <v>3670.4</v>
      </c>
      <c r="K687" s="44">
        <v>2958</v>
      </c>
      <c r="L687" s="44">
        <v>417.2</v>
      </c>
      <c r="M687" s="79">
        <v>116</v>
      </c>
      <c r="N687" s="129">
        <f t="shared" si="265"/>
        <v>52108784.005023412</v>
      </c>
      <c r="O687" s="44"/>
      <c r="P687" s="68">
        <v>6983424.6841790471</v>
      </c>
      <c r="Q687" s="68"/>
      <c r="R687" s="68">
        <f t="shared" si="266"/>
        <v>1837349.24</v>
      </c>
      <c r="S687" s="68">
        <f t="shared" si="263"/>
        <v>13652640</v>
      </c>
      <c r="T687" s="68">
        <f>+'Приложение №2'!E687-'Приложение №1'!P687-'Приложение №1'!R687-'Приложение №1'!S687</f>
        <v>29635370.080844365</v>
      </c>
      <c r="U687" s="68">
        <f t="shared" si="259"/>
        <v>17616.221773165453</v>
      </c>
      <c r="V687" s="68">
        <v>1375.2830200640001</v>
      </c>
      <c r="W687" s="80">
        <v>2024</v>
      </c>
      <c r="X687" s="29" t="e">
        <f>+#REF!-'[1]Приложение №1'!$P1554</f>
        <v>#REF!</v>
      </c>
      <c r="Z687" s="31">
        <f t="shared" si="264"/>
        <v>63008068.420000002</v>
      </c>
      <c r="AA687" s="27">
        <v>10289263.558588</v>
      </c>
      <c r="AB687" s="27">
        <v>3743156.0614419999</v>
      </c>
      <c r="AC687" s="27">
        <v>3946478.5112620001</v>
      </c>
      <c r="AD687" s="27">
        <v>2525477.5150359999</v>
      </c>
      <c r="AE687" s="27">
        <v>0</v>
      </c>
      <c r="AF687" s="27"/>
      <c r="AG687" s="27">
        <v>347116.72035600001</v>
      </c>
      <c r="AH687" s="27">
        <v>0</v>
      </c>
      <c r="AI687" s="27">
        <v>19311206.205424</v>
      </c>
      <c r="AJ687" s="27">
        <v>0</v>
      </c>
      <c r="AK687" s="27">
        <v>10034931.104254002</v>
      </c>
      <c r="AL687" s="27">
        <v>10831078.675998004</v>
      </c>
      <c r="AM687" s="27">
        <v>572156.82000000007</v>
      </c>
      <c r="AN687" s="27">
        <v>72629</v>
      </c>
      <c r="AO687" s="33">
        <v>1334574.2476400002</v>
      </c>
      <c r="AP687" s="84">
        <f>+N687-'Приложение №2'!E687</f>
        <v>0</v>
      </c>
      <c r="AQ687" s="1">
        <v>1450524.44</v>
      </c>
      <c r="AR687" s="1">
        <f t="shared" si="256"/>
        <v>386824.8</v>
      </c>
      <c r="AS687" s="1">
        <f t="shared" si="267"/>
        <v>13652640</v>
      </c>
      <c r="AT687" s="29">
        <f t="shared" si="260"/>
        <v>0</v>
      </c>
      <c r="AU687" s="29">
        <f>+P687-'[6]Приложение №1'!$P655</f>
        <v>0</v>
      </c>
      <c r="AV687" s="29">
        <f>+Q687-'[6]Приложение №1'!$Q655</f>
        <v>0</v>
      </c>
      <c r="AW687" s="29">
        <f>+R687-'[6]Приложение №1'!$R655</f>
        <v>0</v>
      </c>
      <c r="AX687" s="29">
        <f>+S687-'[6]Приложение №1'!$S655</f>
        <v>0</v>
      </c>
      <c r="AY687" s="29">
        <f>+T687-'[6]Приложение №1'!$T655</f>
        <v>0</v>
      </c>
    </row>
    <row r="688" spans="1:51" x14ac:dyDescent="0.25">
      <c r="A688" s="133">
        <f t="shared" si="262"/>
        <v>670</v>
      </c>
      <c r="B688" s="132">
        <f t="shared" si="262"/>
        <v>208</v>
      </c>
      <c r="C688" s="77" t="s">
        <v>47</v>
      </c>
      <c r="D688" s="77" t="s">
        <v>487</v>
      </c>
      <c r="E688" s="78">
        <v>1976</v>
      </c>
      <c r="F688" s="78">
        <v>1976</v>
      </c>
      <c r="G688" s="78" t="s">
        <v>44</v>
      </c>
      <c r="H688" s="78">
        <v>5</v>
      </c>
      <c r="I688" s="78">
        <v>5</v>
      </c>
      <c r="J688" s="44">
        <v>3760.4</v>
      </c>
      <c r="K688" s="44">
        <v>2861.4</v>
      </c>
      <c r="L688" s="44">
        <v>798.2</v>
      </c>
      <c r="M688" s="79">
        <v>103</v>
      </c>
      <c r="N688" s="129">
        <f t="shared" si="265"/>
        <v>53282617.340654321</v>
      </c>
      <c r="O688" s="44"/>
      <c r="P688" s="68">
        <v>7052461.9983708654</v>
      </c>
      <c r="Q688" s="68"/>
      <c r="R688" s="68">
        <f t="shared" si="266"/>
        <v>1767334.38</v>
      </c>
      <c r="S688" s="68">
        <f t="shared" si="263"/>
        <v>16048080</v>
      </c>
      <c r="T688" s="68">
        <f>+'Приложение №2'!E688-'Приложение №1'!P688-'Приложение №1'!R688-'Приложение №1'!S688</f>
        <v>28414740.962283455</v>
      </c>
      <c r="U688" s="68">
        <f t="shared" si="259"/>
        <v>18621.170525146543</v>
      </c>
      <c r="V688" s="68">
        <v>1376.2830200640001</v>
      </c>
      <c r="W688" s="80">
        <v>2024</v>
      </c>
      <c r="X688" s="29" t="e">
        <f>+#REF!-'[1]Приложение №1'!$P1555</f>
        <v>#REF!</v>
      </c>
      <c r="Z688" s="31">
        <f t="shared" si="264"/>
        <v>64553057.020000003</v>
      </c>
      <c r="AA688" s="27">
        <v>10537075.366258001</v>
      </c>
      <c r="AB688" s="27">
        <v>3835013.4758320004</v>
      </c>
      <c r="AC688" s="27">
        <v>4042843.3866100004</v>
      </c>
      <c r="AD688" s="27">
        <v>2587058.6111860005</v>
      </c>
      <c r="AE688" s="27">
        <v>0</v>
      </c>
      <c r="AF688" s="27"/>
      <c r="AG688" s="27">
        <v>355628.19171599997</v>
      </c>
      <c r="AH688" s="27">
        <v>0</v>
      </c>
      <c r="AI688" s="27">
        <v>19695633.831831999</v>
      </c>
      <c r="AJ688" s="27">
        <v>0</v>
      </c>
      <c r="AK688" s="27">
        <v>10278986.262244001</v>
      </c>
      <c r="AL688" s="27">
        <v>11095009.757790001</v>
      </c>
      <c r="AM688" s="27">
        <v>686396.29</v>
      </c>
      <c r="AN688" s="27">
        <v>74254.350000000006</v>
      </c>
      <c r="AO688" s="33">
        <v>1365157.4965319997</v>
      </c>
      <c r="AP688" s="84">
        <f>+N688-'Приложение №2'!E688</f>
        <v>0</v>
      </c>
      <c r="AQ688" s="1">
        <v>1312638.78</v>
      </c>
      <c r="AR688" s="1">
        <f t="shared" si="256"/>
        <v>454695.6</v>
      </c>
      <c r="AS688" s="1">
        <f t="shared" si="267"/>
        <v>16048080</v>
      </c>
      <c r="AT688" s="29">
        <f t="shared" si="260"/>
        <v>0</v>
      </c>
      <c r="AU688" s="29">
        <f>+P688-'[6]Приложение №1'!$P656</f>
        <v>0</v>
      </c>
      <c r="AV688" s="29">
        <f>+Q688-'[6]Приложение №1'!$Q656</f>
        <v>0</v>
      </c>
      <c r="AW688" s="29">
        <f>+R688-'[6]Приложение №1'!$R656</f>
        <v>0</v>
      </c>
      <c r="AX688" s="29">
        <f>+S688-'[6]Приложение №1'!$S656</f>
        <v>0</v>
      </c>
      <c r="AY688" s="29">
        <f>+T688-'[6]Приложение №1'!$T656</f>
        <v>0</v>
      </c>
    </row>
    <row r="689" spans="1:51" x14ac:dyDescent="0.25">
      <c r="A689" s="133">
        <f t="shared" si="262"/>
        <v>671</v>
      </c>
      <c r="B689" s="132">
        <f t="shared" si="262"/>
        <v>209</v>
      </c>
      <c r="C689" s="77" t="s">
        <v>47</v>
      </c>
      <c r="D689" s="77" t="s">
        <v>488</v>
      </c>
      <c r="E689" s="78">
        <v>1977</v>
      </c>
      <c r="F689" s="78">
        <v>1977</v>
      </c>
      <c r="G689" s="78" t="s">
        <v>44</v>
      </c>
      <c r="H689" s="78">
        <v>4</v>
      </c>
      <c r="I689" s="78">
        <v>1</v>
      </c>
      <c r="J689" s="44">
        <v>1491.2</v>
      </c>
      <c r="K689" s="44">
        <v>1247.2</v>
      </c>
      <c r="L689" s="44">
        <v>130.5</v>
      </c>
      <c r="M689" s="79">
        <v>31</v>
      </c>
      <c r="N689" s="129">
        <f t="shared" si="265"/>
        <v>19313313.5727886</v>
      </c>
      <c r="O689" s="44"/>
      <c r="P689" s="68">
        <v>3961606.8484471501</v>
      </c>
      <c r="Q689" s="68"/>
      <c r="R689" s="68">
        <f t="shared" si="266"/>
        <v>567325.17000000004</v>
      </c>
      <c r="S689" s="68">
        <f t="shared" si="263"/>
        <v>5429520</v>
      </c>
      <c r="T689" s="68">
        <f>+'Приложение №2'!E689-'Приложение №1'!P689-'Приложение №1'!R689-'Приложение №1'!S689</f>
        <v>9354861.5543414503</v>
      </c>
      <c r="U689" s="68">
        <f t="shared" si="259"/>
        <v>15485.338015385343</v>
      </c>
      <c r="V689" s="68">
        <v>1377.2830200640001</v>
      </c>
      <c r="W689" s="80">
        <v>2024</v>
      </c>
      <c r="X689" s="29" t="e">
        <f>+#REF!-'[1]Приложение №1'!$P1556</f>
        <v>#REF!</v>
      </c>
      <c r="Z689" s="31">
        <f t="shared" si="264"/>
        <v>24547091.719999999</v>
      </c>
      <c r="AA689" s="27">
        <v>3823646.7931139995</v>
      </c>
      <c r="AB689" s="27">
        <v>1377432.691104</v>
      </c>
      <c r="AC689" s="27">
        <v>1464223.795434</v>
      </c>
      <c r="AD689" s="27">
        <v>926339.45652600005</v>
      </c>
      <c r="AE689" s="27">
        <v>0</v>
      </c>
      <c r="AF689" s="27"/>
      <c r="AG689" s="27">
        <v>129828.30785400001</v>
      </c>
      <c r="AH689" s="27">
        <v>0</v>
      </c>
      <c r="AI689" s="27">
        <v>7205871.6359640006</v>
      </c>
      <c r="AJ689" s="27">
        <v>887837.01690000005</v>
      </c>
      <c r="AK689" s="27">
        <v>3723413.4532499993</v>
      </c>
      <c r="AL689" s="27">
        <v>4008332.672693999</v>
      </c>
      <c r="AM689" s="27">
        <v>421405.55000000005</v>
      </c>
      <c r="AN689" s="27">
        <v>63836.770000000004</v>
      </c>
      <c r="AO689" s="33">
        <v>514923.57715999999</v>
      </c>
      <c r="AP689" s="84">
        <f>+N689-'Приложение №2'!E689</f>
        <v>0</v>
      </c>
      <c r="AQ689" s="1">
        <v>413488.77</v>
      </c>
      <c r="AR689" s="1">
        <f t="shared" si="256"/>
        <v>153836.4</v>
      </c>
      <c r="AS689" s="1">
        <f t="shared" si="267"/>
        <v>5429520</v>
      </c>
      <c r="AT689" s="29">
        <f t="shared" si="260"/>
        <v>0</v>
      </c>
      <c r="AU689" s="29">
        <f>+P689-'[6]Приложение №1'!$P657</f>
        <v>0</v>
      </c>
      <c r="AV689" s="29">
        <f>+Q689-'[6]Приложение №1'!$Q657</f>
        <v>0</v>
      </c>
      <c r="AW689" s="29">
        <f>+R689-'[6]Приложение №1'!$R657</f>
        <v>0</v>
      </c>
      <c r="AX689" s="29">
        <f>+S689-'[6]Приложение №1'!$S657</f>
        <v>0</v>
      </c>
      <c r="AY689" s="29">
        <f>+T689-'[6]Приложение №1'!$T657</f>
        <v>0</v>
      </c>
    </row>
    <row r="690" spans="1:51" x14ac:dyDescent="0.25">
      <c r="A690" s="133">
        <f t="shared" ref="A690:B705" si="268">+A689+1</f>
        <v>672</v>
      </c>
      <c r="B690" s="132">
        <f t="shared" si="268"/>
        <v>210</v>
      </c>
      <c r="C690" s="77" t="s">
        <v>47</v>
      </c>
      <c r="D690" s="77" t="s">
        <v>489</v>
      </c>
      <c r="E690" s="78">
        <v>1979</v>
      </c>
      <c r="F690" s="78">
        <v>1979</v>
      </c>
      <c r="G690" s="78" t="s">
        <v>44</v>
      </c>
      <c r="H690" s="78">
        <v>5</v>
      </c>
      <c r="I690" s="78">
        <v>4</v>
      </c>
      <c r="J690" s="44">
        <v>3568.8</v>
      </c>
      <c r="K690" s="44">
        <v>2956.3</v>
      </c>
      <c r="L690" s="44">
        <v>398.4</v>
      </c>
      <c r="M690" s="79">
        <v>89</v>
      </c>
      <c r="N690" s="129">
        <f t="shared" si="265"/>
        <v>46230178.072141826</v>
      </c>
      <c r="O690" s="44"/>
      <c r="P690" s="68">
        <v>6585721.5913083674</v>
      </c>
      <c r="Q690" s="68"/>
      <c r="R690" s="68">
        <f t="shared" si="266"/>
        <v>1681347.92</v>
      </c>
      <c r="S690" s="68">
        <f t="shared" si="263"/>
        <v>13511160</v>
      </c>
      <c r="T690" s="68">
        <f>+'Приложение №2'!E690-'Приложение №1'!P690-'Приложение №1'!R690-'Приложение №1'!S690</f>
        <v>24451948.560833462</v>
      </c>
      <c r="U690" s="68">
        <f t="shared" si="259"/>
        <v>15637.850716145798</v>
      </c>
      <c r="V690" s="68">
        <v>1378.2830200640001</v>
      </c>
      <c r="W690" s="80">
        <v>2024</v>
      </c>
      <c r="X690" s="29" t="e">
        <f>+#REF!-'[1]Приложение №1'!$P1557</f>
        <v>#REF!</v>
      </c>
      <c r="Z690" s="31">
        <f t="shared" si="264"/>
        <v>58415569.579999998</v>
      </c>
      <c r="AA690" s="27">
        <v>9150018.9223740008</v>
      </c>
      <c r="AB690" s="27">
        <v>3322771.2370799994</v>
      </c>
      <c r="AC690" s="27">
        <v>3507760.1149860001</v>
      </c>
      <c r="AD690" s="27">
        <v>2240831.5174499997</v>
      </c>
      <c r="AE690" s="27">
        <v>0</v>
      </c>
      <c r="AF690" s="27"/>
      <c r="AG690" s="27">
        <v>308956.957092</v>
      </c>
      <c r="AH690" s="27">
        <v>0</v>
      </c>
      <c r="AI690" s="27">
        <v>17090431.012025997</v>
      </c>
      <c r="AJ690" s="27">
        <v>2174763.3641519998</v>
      </c>
      <c r="AK690" s="27">
        <v>8910518.0415660013</v>
      </c>
      <c r="AL690" s="27">
        <v>9620247.9809520002</v>
      </c>
      <c r="AM690" s="27">
        <v>780893.53</v>
      </c>
      <c r="AN690" s="27">
        <v>76634.820000000007</v>
      </c>
      <c r="AO690" s="33">
        <v>1231742.0823220001</v>
      </c>
      <c r="AP690" s="84">
        <f>+N690-'Приложение №2'!E690</f>
        <v>0</v>
      </c>
      <c r="AQ690" s="1">
        <v>1298531.72</v>
      </c>
      <c r="AR690" s="1">
        <f t="shared" si="256"/>
        <v>382816.2</v>
      </c>
      <c r="AS690" s="1">
        <f t="shared" si="267"/>
        <v>13511160</v>
      </c>
      <c r="AT690" s="29">
        <f t="shared" si="260"/>
        <v>0</v>
      </c>
      <c r="AU690" s="29">
        <f>+P690-'[6]Приложение №1'!$P658</f>
        <v>0</v>
      </c>
      <c r="AV690" s="29">
        <f>+Q690-'[6]Приложение №1'!$Q658</f>
        <v>0</v>
      </c>
      <c r="AW690" s="29">
        <f>+R690-'[6]Приложение №1'!$R658</f>
        <v>0</v>
      </c>
      <c r="AX690" s="29">
        <f>+S690-'[6]Приложение №1'!$S658</f>
        <v>0</v>
      </c>
      <c r="AY690" s="29">
        <f>+T690-'[6]Приложение №1'!$T658</f>
        <v>0</v>
      </c>
    </row>
    <row r="691" spans="1:51" x14ac:dyDescent="0.25">
      <c r="A691" s="133">
        <f t="shared" si="268"/>
        <v>673</v>
      </c>
      <c r="B691" s="132">
        <f t="shared" si="268"/>
        <v>211</v>
      </c>
      <c r="C691" s="77" t="s">
        <v>47</v>
      </c>
      <c r="D691" s="77" t="s">
        <v>490</v>
      </c>
      <c r="E691" s="78">
        <v>1975</v>
      </c>
      <c r="F691" s="78">
        <v>1975</v>
      </c>
      <c r="G691" s="78" t="s">
        <v>44</v>
      </c>
      <c r="H691" s="78">
        <v>4</v>
      </c>
      <c r="I691" s="78">
        <v>1</v>
      </c>
      <c r="J691" s="44">
        <v>1425.2</v>
      </c>
      <c r="K691" s="44">
        <v>1131.8</v>
      </c>
      <c r="L691" s="44">
        <v>129.9</v>
      </c>
      <c r="M691" s="79">
        <v>56</v>
      </c>
      <c r="N691" s="129">
        <f t="shared" si="265"/>
        <v>18372220.31548094</v>
      </c>
      <c r="O691" s="44"/>
      <c r="P691" s="68">
        <v>3367479.3183452347</v>
      </c>
      <c r="Q691" s="68"/>
      <c r="R691" s="68">
        <f t="shared" si="266"/>
        <v>623128.77</v>
      </c>
      <c r="S691" s="68">
        <f t="shared" si="263"/>
        <v>5009760</v>
      </c>
      <c r="T691" s="68">
        <f>+'Приложение №2'!E691-'Приложение №1'!P691-'Приложение №1'!R691-'Приложение №1'!S691</f>
        <v>9371852.2271357067</v>
      </c>
      <c r="U691" s="68">
        <f t="shared" si="259"/>
        <v>16232.744579855929</v>
      </c>
      <c r="V691" s="68">
        <v>1379.2830200640001</v>
      </c>
      <c r="W691" s="80">
        <v>2024</v>
      </c>
      <c r="X691" s="29" t="e">
        <f>+#REF!-'[1]Приложение №1'!$P1558</f>
        <v>#REF!</v>
      </c>
      <c r="Z691" s="31">
        <f t="shared" si="264"/>
        <v>23375883.600000001</v>
      </c>
      <c r="AA691" s="27">
        <v>3639720.4511280004</v>
      </c>
      <c r="AB691" s="27">
        <v>1310198.586234</v>
      </c>
      <c r="AC691" s="27">
        <v>1393886.8533300001</v>
      </c>
      <c r="AD691" s="27">
        <v>881139.78326399997</v>
      </c>
      <c r="AE691" s="27">
        <v>0</v>
      </c>
      <c r="AF691" s="27"/>
      <c r="AG691" s="27">
        <v>123633.848142</v>
      </c>
      <c r="AH691" s="27">
        <v>0</v>
      </c>
      <c r="AI691" s="27">
        <v>6816774.9733499996</v>
      </c>
      <c r="AJ691" s="27">
        <v>840779.69661599991</v>
      </c>
      <c r="AK691" s="27">
        <v>3546979.2826500004</v>
      </c>
      <c r="AL691" s="27">
        <v>3815904.5950200004</v>
      </c>
      <c r="AM691" s="27">
        <v>455993.49</v>
      </c>
      <c r="AN691" s="27">
        <v>61706.92</v>
      </c>
      <c r="AO691" s="33">
        <v>489165.12026600004</v>
      </c>
      <c r="AP691" s="84">
        <f>+N691-'Приложение №2'!E691</f>
        <v>0</v>
      </c>
      <c r="AQ691" s="1">
        <v>481185.57</v>
      </c>
      <c r="AR691" s="1">
        <f t="shared" si="256"/>
        <v>141943.19999999998</v>
      </c>
      <c r="AS691" s="1">
        <f t="shared" si="267"/>
        <v>5009760</v>
      </c>
      <c r="AT691" s="29">
        <f t="shared" si="260"/>
        <v>0</v>
      </c>
      <c r="AU691" s="29">
        <f>+P691-'[6]Приложение №1'!$P659</f>
        <v>0</v>
      </c>
      <c r="AV691" s="29">
        <f>+Q691-'[6]Приложение №1'!$Q659</f>
        <v>0</v>
      </c>
      <c r="AW691" s="29">
        <f>+R691-'[6]Приложение №1'!$R659</f>
        <v>0</v>
      </c>
      <c r="AX691" s="29">
        <f>+S691-'[6]Приложение №1'!$S659</f>
        <v>0</v>
      </c>
      <c r="AY691" s="29">
        <f>+T691-'[6]Приложение №1'!$T659</f>
        <v>0</v>
      </c>
    </row>
    <row r="692" spans="1:51" x14ac:dyDescent="0.25">
      <c r="A692" s="133">
        <f t="shared" si="268"/>
        <v>674</v>
      </c>
      <c r="B692" s="132">
        <f t="shared" si="268"/>
        <v>212</v>
      </c>
      <c r="C692" s="77" t="s">
        <v>50</v>
      </c>
      <c r="D692" s="77" t="s">
        <v>244</v>
      </c>
      <c r="E692" s="78">
        <v>1967</v>
      </c>
      <c r="F692" s="78">
        <v>2010</v>
      </c>
      <c r="G692" s="78" t="s">
        <v>44</v>
      </c>
      <c r="H692" s="78">
        <v>4</v>
      </c>
      <c r="I692" s="78">
        <v>6</v>
      </c>
      <c r="J692" s="44">
        <v>4129.8999999999996</v>
      </c>
      <c r="K692" s="44">
        <v>3028.01</v>
      </c>
      <c r="L692" s="44">
        <v>1016.7</v>
      </c>
      <c r="M692" s="79">
        <v>153</v>
      </c>
      <c r="N692" s="129">
        <f t="shared" si="265"/>
        <v>23076397.004355602</v>
      </c>
      <c r="O692" s="44"/>
      <c r="P692" s="68">
        <v>2833048.3496888997</v>
      </c>
      <c r="Q692" s="68"/>
      <c r="R692" s="68">
        <f t="shared" si="266"/>
        <v>1148817.4000000001</v>
      </c>
      <c r="S692" s="68">
        <f t="shared" si="263"/>
        <v>14820770.130000003</v>
      </c>
      <c r="T692" s="68">
        <f>+'Приложение №2'!E692-'Приложение №1'!P692-'Приложение №1'!R692-'Приложение №1'!S692</f>
        <v>4273761.1246666983</v>
      </c>
      <c r="U692" s="68">
        <f t="shared" si="259"/>
        <v>7620.9778053426508</v>
      </c>
      <c r="V692" s="68">
        <v>1380.2830200640001</v>
      </c>
      <c r="W692" s="80">
        <v>2024</v>
      </c>
      <c r="X692" s="29" t="e">
        <f>+#REF!-'[1]Приложение №1'!$P819</f>
        <v>#REF!</v>
      </c>
      <c r="Z692" s="31">
        <f t="shared" si="264"/>
        <v>74428273.170000002</v>
      </c>
      <c r="AA692" s="27">
        <v>10992944.493307142</v>
      </c>
      <c r="AB692" s="27">
        <v>4031142.10588698</v>
      </c>
      <c r="AC692" s="27">
        <v>4211597.53865634</v>
      </c>
      <c r="AD692" s="27">
        <v>2636776.0742307599</v>
      </c>
      <c r="AE692" s="27">
        <v>0</v>
      </c>
      <c r="AF692" s="27"/>
      <c r="AG692" s="27">
        <v>362907.99124439992</v>
      </c>
      <c r="AH692" s="27">
        <v>0</v>
      </c>
      <c r="AI692" s="27">
        <v>20681273.964065399</v>
      </c>
      <c r="AJ692" s="27">
        <v>0</v>
      </c>
      <c r="AK692" s="27">
        <v>10737851.5117629</v>
      </c>
      <c r="AL692" s="27">
        <v>11581851.384142619</v>
      </c>
      <c r="AM692" s="27">
        <v>7021058.6343999999</v>
      </c>
      <c r="AN692" s="32">
        <v>744282.7317</v>
      </c>
      <c r="AO692" s="33">
        <v>1426586.74060346</v>
      </c>
      <c r="AP692" s="84">
        <f>+N692-'Приложение №2'!E692</f>
        <v>0</v>
      </c>
      <c r="AQ692" s="1">
        <f>1822364.54-1189810.96</f>
        <v>632553.58000000007</v>
      </c>
      <c r="AR692" s="1">
        <f t="shared" si="256"/>
        <v>516263.82000000007</v>
      </c>
      <c r="AS692" s="1">
        <f>+(K692*10+L692*20)*12*30-3400305.87</f>
        <v>14820770.130000003</v>
      </c>
      <c r="AT692" s="29">
        <f t="shared" si="260"/>
        <v>0</v>
      </c>
      <c r="AU692" s="29">
        <f>+P692-'[6]Приложение №1'!$P660</f>
        <v>0</v>
      </c>
      <c r="AV692" s="29">
        <f>+Q692-'[6]Приложение №1'!$Q660</f>
        <v>0</v>
      </c>
      <c r="AW692" s="29">
        <f>+R692-'[6]Приложение №1'!$R660</f>
        <v>0</v>
      </c>
      <c r="AX692" s="29">
        <f>+S692-'[6]Приложение №1'!$S660</f>
        <v>0</v>
      </c>
      <c r="AY692" s="29">
        <f>+T692-'[6]Приложение №1'!$T660</f>
        <v>0</v>
      </c>
    </row>
    <row r="693" spans="1:51" x14ac:dyDescent="0.25">
      <c r="A693" s="133">
        <f t="shared" si="268"/>
        <v>675</v>
      </c>
      <c r="B693" s="132">
        <f t="shared" si="268"/>
        <v>213</v>
      </c>
      <c r="C693" s="77" t="s">
        <v>50</v>
      </c>
      <c r="D693" s="77" t="s">
        <v>413</v>
      </c>
      <c r="E693" s="78">
        <v>1986</v>
      </c>
      <c r="F693" s="78">
        <v>2013</v>
      </c>
      <c r="G693" s="78" t="s">
        <v>44</v>
      </c>
      <c r="H693" s="78">
        <v>9</v>
      </c>
      <c r="I693" s="78">
        <v>1</v>
      </c>
      <c r="J693" s="44">
        <v>2272.3000000000002</v>
      </c>
      <c r="K693" s="44">
        <v>2002.9</v>
      </c>
      <c r="L693" s="44">
        <v>0</v>
      </c>
      <c r="M693" s="79">
        <v>70</v>
      </c>
      <c r="N693" s="129">
        <f t="shared" si="265"/>
        <v>5271181.1504999995</v>
      </c>
      <c r="O693" s="44"/>
      <c r="P693" s="68">
        <v>1384418.6154499999</v>
      </c>
      <c r="Q693" s="68"/>
      <c r="R693" s="68">
        <f t="shared" si="266"/>
        <v>289630.06999999995</v>
      </c>
      <c r="S693" s="68">
        <f t="shared" si="263"/>
        <v>3066568.9802429616</v>
      </c>
      <c r="T693" s="68">
        <f>+'Приложение №2'!E693-'Приложение №1'!P693-'Приложение №1'!Q693-'Приложение №1'!R693-'Приложение №1'!S693</f>
        <v>530563.48480703915</v>
      </c>
      <c r="U693" s="68">
        <f t="shared" si="259"/>
        <v>2631.7745022217782</v>
      </c>
      <c r="V693" s="68">
        <v>1381.2830200640001</v>
      </c>
      <c r="W693" s="80">
        <v>2024</v>
      </c>
      <c r="X693" s="29" t="e">
        <f>+#REF!-'[1]Приложение №1'!$P1527</f>
        <v>#REF!</v>
      </c>
      <c r="Z693" s="31">
        <f t="shared" si="264"/>
        <v>21594584.64801088</v>
      </c>
      <c r="AA693" s="27">
        <v>4631599.4465777399</v>
      </c>
      <c r="AB693" s="27"/>
      <c r="AC693" s="27">
        <v>1934925.9339127201</v>
      </c>
      <c r="AD693" s="27">
        <v>1745759.1417302401</v>
      </c>
      <c r="AE693" s="27">
        <v>0</v>
      </c>
      <c r="AF693" s="27"/>
      <c r="AG693" s="27">
        <v>222817.11301919998</v>
      </c>
      <c r="AH693" s="27">
        <v>0</v>
      </c>
      <c r="AI693" s="27">
        <v>2259410.2166411998</v>
      </c>
      <c r="AJ693" s="27">
        <v>0</v>
      </c>
      <c r="AK693" s="27"/>
      <c r="AL693" s="27">
        <v>5158377.8738793004</v>
      </c>
      <c r="AM693" s="27">
        <v>4350496.0856000008</v>
      </c>
      <c r="AN693" s="32">
        <v>443884.90120000008</v>
      </c>
      <c r="AO693" s="33">
        <v>847313.93545048009</v>
      </c>
      <c r="AP693" s="84">
        <f>+N693-'Приложение №2'!E693</f>
        <v>0</v>
      </c>
      <c r="AQ693" s="29">
        <f>1170111.39-R392</f>
        <v>18120.951799999923</v>
      </c>
      <c r="AR693" s="1">
        <f>+(K693*13.29+L693*22.52)*12*0.85</f>
        <v>271509.11820000003</v>
      </c>
      <c r="AS693" s="1">
        <f>+(K693*13.29+L693*22.52)*12*30-6343334.16-S392</f>
        <v>3066568.9802429616</v>
      </c>
      <c r="AT693" s="29">
        <f t="shared" si="260"/>
        <v>0</v>
      </c>
      <c r="AU693" s="29">
        <f>+P693-'[6]Приложение №1'!$P661</f>
        <v>0</v>
      </c>
      <c r="AV693" s="29">
        <f>+Q693-'[6]Приложение №1'!$Q661</f>
        <v>0</v>
      </c>
      <c r="AW693" s="29">
        <f>+R693-'[6]Приложение №1'!$R661</f>
        <v>0</v>
      </c>
      <c r="AX693" s="29">
        <f>+S693-'[6]Приложение №1'!$S661</f>
        <v>0</v>
      </c>
      <c r="AY693" s="29">
        <f>+T693-'[6]Приложение №1'!$T661</f>
        <v>0</v>
      </c>
    </row>
    <row r="694" spans="1:51" x14ac:dyDescent="0.25">
      <c r="A694" s="133">
        <f t="shared" si="268"/>
        <v>676</v>
      </c>
      <c r="B694" s="132">
        <f t="shared" si="268"/>
        <v>214</v>
      </c>
      <c r="C694" s="77" t="s">
        <v>50</v>
      </c>
      <c r="D694" s="77" t="s">
        <v>698</v>
      </c>
      <c r="E694" s="78">
        <v>1999</v>
      </c>
      <c r="F694" s="78">
        <v>2006</v>
      </c>
      <c r="G694" s="78" t="s">
        <v>547</v>
      </c>
      <c r="H694" s="78">
        <v>9</v>
      </c>
      <c r="I694" s="78">
        <v>2</v>
      </c>
      <c r="J694" s="44">
        <v>4762.8999999999996</v>
      </c>
      <c r="K694" s="44">
        <v>4203.6000000000004</v>
      </c>
      <c r="L694" s="44">
        <v>0</v>
      </c>
      <c r="M694" s="79">
        <v>167</v>
      </c>
      <c r="N694" s="129">
        <f t="shared" si="265"/>
        <v>7182720</v>
      </c>
      <c r="O694" s="44"/>
      <c r="P694" s="68"/>
      <c r="Q694" s="68"/>
      <c r="R694" s="68">
        <f t="shared" si="266"/>
        <v>2807335.7788</v>
      </c>
      <c r="S694" s="68">
        <f>+'Приложение №2'!E694-'Приложение №1'!R694</f>
        <v>4375384.2212000005</v>
      </c>
      <c r="T694" s="68"/>
      <c r="U694" s="68">
        <f t="shared" si="259"/>
        <v>1708.7068227233799</v>
      </c>
      <c r="V694" s="68">
        <v>1382.2830200640001</v>
      </c>
      <c r="W694" s="80">
        <v>2024</v>
      </c>
      <c r="X694" s="29"/>
      <c r="Z694" s="31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32"/>
      <c r="AO694" s="33"/>
      <c r="AP694" s="84">
        <f>+N694-'Приложение №2'!E694</f>
        <v>0</v>
      </c>
      <c r="AQ694" s="1">
        <v>2237504.17</v>
      </c>
      <c r="AR694" s="1">
        <f>+(K694*13.29+L694*22.52)*12*0.85</f>
        <v>569831.60880000005</v>
      </c>
      <c r="AS694" s="1">
        <f>+(K694*13.29+L694*22.52)*12*30</f>
        <v>20111703.84</v>
      </c>
      <c r="AT694" s="29">
        <f t="shared" si="260"/>
        <v>-15736319.618799999</v>
      </c>
      <c r="AU694" s="29">
        <f>+P694-'[6]Приложение №1'!$P662</f>
        <v>0</v>
      </c>
      <c r="AV694" s="29">
        <f>+Q694-'[6]Приложение №1'!$Q662</f>
        <v>0</v>
      </c>
      <c r="AW694" s="29">
        <f>+R694-'[6]Приложение №1'!$R662</f>
        <v>0</v>
      </c>
      <c r="AX694" s="29">
        <f>+S694-'[6]Приложение №1'!$S662</f>
        <v>0</v>
      </c>
      <c r="AY694" s="29">
        <f>+T694-'[6]Приложение №1'!$T662</f>
        <v>0</v>
      </c>
    </row>
    <row r="695" spans="1:51" s="35" customFormat="1" x14ac:dyDescent="0.25">
      <c r="A695" s="133">
        <f t="shared" si="268"/>
        <v>677</v>
      </c>
      <c r="B695" s="132">
        <f t="shared" si="268"/>
        <v>215</v>
      </c>
      <c r="C695" s="77" t="s">
        <v>50</v>
      </c>
      <c r="D695" s="77" t="s">
        <v>246</v>
      </c>
      <c r="E695" s="78" t="s">
        <v>577</v>
      </c>
      <c r="F695" s="78"/>
      <c r="G695" s="78" t="s">
        <v>573</v>
      </c>
      <c r="H695" s="78" t="s">
        <v>571</v>
      </c>
      <c r="I695" s="78" t="s">
        <v>572</v>
      </c>
      <c r="J695" s="44">
        <v>4698.7</v>
      </c>
      <c r="K695" s="44">
        <v>4088</v>
      </c>
      <c r="L695" s="44">
        <v>0</v>
      </c>
      <c r="M695" s="79">
        <v>152</v>
      </c>
      <c r="N695" s="129">
        <f t="shared" si="265"/>
        <v>7182720</v>
      </c>
      <c r="O695" s="44">
        <v>0</v>
      </c>
      <c r="P695" s="68">
        <f>+'Приложение №2'!E695-'Приложение №1'!R695-'Приложение №1'!S695</f>
        <v>0</v>
      </c>
      <c r="Q695" s="68">
        <v>0</v>
      </c>
      <c r="R695" s="68">
        <f t="shared" si="266"/>
        <v>0</v>
      </c>
      <c r="S695" s="68">
        <f>+'Приложение №2'!E695</f>
        <v>7182720</v>
      </c>
      <c r="T695" s="68">
        <v>0</v>
      </c>
      <c r="U695" s="68">
        <f t="shared" si="259"/>
        <v>1757.0254403131116</v>
      </c>
      <c r="V695" s="68">
        <v>1383.2830200640001</v>
      </c>
      <c r="W695" s="80">
        <v>2024</v>
      </c>
      <c r="X695" s="35">
        <v>1703986.46</v>
      </c>
      <c r="Y695" s="35">
        <f>+(K695*12.08+L695*20.47)*12</f>
        <v>592596.47999999998</v>
      </c>
      <c r="AA695" s="36">
        <f>+N695-'[5]Приложение № 2'!E629</f>
        <v>-54686716.07703615</v>
      </c>
      <c r="AD695" s="36">
        <f>+N695-'[5]Приложение № 2'!E629</f>
        <v>-54686716.07703615</v>
      </c>
      <c r="AP695" s="84">
        <f>+N695-'Приложение №2'!E695</f>
        <v>0</v>
      </c>
      <c r="AQ695" s="37">
        <f>2172694.37-R393</f>
        <v>-554161.10399999982</v>
      </c>
      <c r="AR695" s="1">
        <f>+(K695*13.29+L695*22.52)*12*0.85</f>
        <v>554161.10399999993</v>
      </c>
      <c r="AS695" s="1">
        <f>+(K695*13.29+L695*22.52)*12*30-S393</f>
        <v>16710658.333999999</v>
      </c>
      <c r="AT695" s="29">
        <f t="shared" si="260"/>
        <v>-9527938.3339999989</v>
      </c>
      <c r="AU695" s="29">
        <f>+P695-'[6]Приложение №1'!$P663</f>
        <v>0</v>
      </c>
      <c r="AV695" s="29">
        <f>+Q695-'[6]Приложение №1'!$Q663</f>
        <v>0</v>
      </c>
      <c r="AW695" s="29">
        <f>+R695-'[6]Приложение №1'!$R663</f>
        <v>0</v>
      </c>
      <c r="AX695" s="29">
        <f>+S695-'[6]Приложение №1'!$S663</f>
        <v>0</v>
      </c>
      <c r="AY695" s="29">
        <f>+T695-'[6]Приложение №1'!$T663</f>
        <v>0</v>
      </c>
    </row>
    <row r="696" spans="1:51" x14ac:dyDescent="0.25">
      <c r="A696" s="133">
        <f t="shared" si="268"/>
        <v>678</v>
      </c>
      <c r="B696" s="132">
        <f t="shared" si="268"/>
        <v>216</v>
      </c>
      <c r="C696" s="77" t="s">
        <v>50</v>
      </c>
      <c r="D696" s="77" t="s">
        <v>245</v>
      </c>
      <c r="E696" s="78">
        <v>1994</v>
      </c>
      <c r="F696" s="78">
        <v>2015</v>
      </c>
      <c r="G696" s="78" t="s">
        <v>44</v>
      </c>
      <c r="H696" s="78">
        <v>9</v>
      </c>
      <c r="I696" s="78">
        <v>4</v>
      </c>
      <c r="J696" s="44">
        <v>9059.2999999999993</v>
      </c>
      <c r="K696" s="44">
        <v>7958.2</v>
      </c>
      <c r="L696" s="44">
        <v>49</v>
      </c>
      <c r="M696" s="79">
        <v>376</v>
      </c>
      <c r="N696" s="129">
        <f t="shared" si="265"/>
        <v>141844165.87275687</v>
      </c>
      <c r="O696" s="44"/>
      <c r="P696" s="68">
        <f>+'Приложение №2'!E696-'Приложение №1'!R696-'Приложение №1'!S696-'Приложение №1'!T696</f>
        <v>20048286.631156877</v>
      </c>
      <c r="Q696" s="68"/>
      <c r="R696" s="68">
        <f t="shared" si="266"/>
        <v>5456010.6915999996</v>
      </c>
      <c r="S696" s="68">
        <f>+AS696</f>
        <v>38472464.879999995</v>
      </c>
      <c r="T696" s="68">
        <v>77867403.670000002</v>
      </c>
      <c r="U696" s="68">
        <f t="shared" si="259"/>
        <v>17823.649301695972</v>
      </c>
      <c r="V696" s="68">
        <v>1384.2830200640001</v>
      </c>
      <c r="W696" s="80">
        <v>2024</v>
      </c>
      <c r="X696" s="29" t="e">
        <f>+#REF!-'[1]Приложение №1'!$P821</f>
        <v>#REF!</v>
      </c>
      <c r="Z696" s="31">
        <f t="shared" ref="Z696:Z701" si="269">SUM(AA696:AO696)</f>
        <v>167033614.96000001</v>
      </c>
      <c r="AA696" s="27">
        <v>18497723.436858121</v>
      </c>
      <c r="AB696" s="27">
        <v>12695079.720886501</v>
      </c>
      <c r="AC696" s="27">
        <v>7727724.5646585599</v>
      </c>
      <c r="AD696" s="27">
        <v>6972228.5386101594</v>
      </c>
      <c r="AE696" s="27">
        <v>0</v>
      </c>
      <c r="AF696" s="27"/>
      <c r="AG696" s="27">
        <v>889888.98620159982</v>
      </c>
      <c r="AH696" s="27">
        <v>0</v>
      </c>
      <c r="AI696" s="27">
        <v>0</v>
      </c>
      <c r="AJ696" s="27">
        <v>0</v>
      </c>
      <c r="AK696" s="27">
        <v>78339424.591046214</v>
      </c>
      <c r="AL696" s="27">
        <v>20601575.841979437</v>
      </c>
      <c r="AM696" s="27">
        <v>16452952.139400002</v>
      </c>
      <c r="AN696" s="32">
        <v>1670336.1496000004</v>
      </c>
      <c r="AO696" s="33">
        <v>3186680.9907594007</v>
      </c>
      <c r="AP696" s="84">
        <f>+N696-'Приложение №2'!E696</f>
        <v>0</v>
      </c>
      <c r="AQ696" s="1">
        <v>4365957.5199999996</v>
      </c>
      <c r="AR696" s="1">
        <f>+(K696*13.29+L696*22.52)*12*0.85</f>
        <v>1090053.1715999998</v>
      </c>
      <c r="AS696" s="1">
        <f>+(K696*13.29+L696*22.52)*12*30</f>
        <v>38472464.879999995</v>
      </c>
      <c r="AT696" s="29">
        <f t="shared" si="260"/>
        <v>0</v>
      </c>
      <c r="AU696" s="29">
        <f>+P696-'[6]Приложение №1'!$P664</f>
        <v>0</v>
      </c>
      <c r="AV696" s="29">
        <f>+Q696-'[6]Приложение №1'!$Q664</f>
        <v>0</v>
      </c>
      <c r="AW696" s="29">
        <f>+R696-'[6]Приложение №1'!$R664</f>
        <v>0</v>
      </c>
      <c r="AX696" s="29">
        <f>+S696-'[6]Приложение №1'!$S664</f>
        <v>0</v>
      </c>
      <c r="AY696" s="29">
        <f>+T696-'[6]Приложение №1'!$T664</f>
        <v>0</v>
      </c>
    </row>
    <row r="697" spans="1:51" x14ac:dyDescent="0.25">
      <c r="A697" s="133">
        <f t="shared" si="268"/>
        <v>679</v>
      </c>
      <c r="B697" s="132">
        <f t="shared" si="268"/>
        <v>217</v>
      </c>
      <c r="C697" s="77" t="s">
        <v>50</v>
      </c>
      <c r="D697" s="77" t="s">
        <v>492</v>
      </c>
      <c r="E697" s="78">
        <v>1974</v>
      </c>
      <c r="F697" s="78">
        <v>2013</v>
      </c>
      <c r="G697" s="78" t="s">
        <v>44</v>
      </c>
      <c r="H697" s="78">
        <v>9</v>
      </c>
      <c r="I697" s="78">
        <v>1</v>
      </c>
      <c r="J697" s="44">
        <v>2145.6</v>
      </c>
      <c r="K697" s="44">
        <v>1951.96</v>
      </c>
      <c r="L697" s="44">
        <v>44</v>
      </c>
      <c r="M697" s="79">
        <v>70</v>
      </c>
      <c r="N697" s="129">
        <f t="shared" si="265"/>
        <v>2305199.3400000003</v>
      </c>
      <c r="O697" s="44"/>
      <c r="P697" s="68"/>
      <c r="Q697" s="68"/>
      <c r="R697" s="68">
        <f t="shared" si="266"/>
        <v>1451751.6596799998</v>
      </c>
      <c r="S697" s="68">
        <f>+'Приложение №2'!E697-'Приложение №1'!R697</f>
        <v>853447.68032000051</v>
      </c>
      <c r="T697" s="68">
        <v>0</v>
      </c>
      <c r="U697" s="68">
        <f t="shared" si="259"/>
        <v>1180.9664849689543</v>
      </c>
      <c r="V697" s="68">
        <v>1385.2830200640001</v>
      </c>
      <c r="W697" s="80">
        <v>2024</v>
      </c>
      <c r="X697" s="29" t="e">
        <f>+#REF!-'[1]Приложение №1'!$P1582</f>
        <v>#REF!</v>
      </c>
      <c r="Z697" s="31">
        <f t="shared" si="269"/>
        <v>2561332.6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/>
      <c r="AG697" s="27">
        <v>0</v>
      </c>
      <c r="AH697" s="27">
        <v>0</v>
      </c>
      <c r="AI697" s="27">
        <v>2255868.0741240005</v>
      </c>
      <c r="AJ697" s="27">
        <v>0</v>
      </c>
      <c r="AK697" s="27">
        <v>0</v>
      </c>
      <c r="AL697" s="27">
        <v>0</v>
      </c>
      <c r="AM697" s="27">
        <v>230519.93400000001</v>
      </c>
      <c r="AN697" s="32">
        <v>25613.326000000001</v>
      </c>
      <c r="AO697" s="33">
        <v>49331.265876000012</v>
      </c>
      <c r="AP697" s="84">
        <f>+N697-'Приложение №2'!E697</f>
        <v>0</v>
      </c>
      <c r="AQ697" s="1">
        <v>1177040.8899999999</v>
      </c>
      <c r="AR697" s="1">
        <f>+(K697*13.29+L697*22.52)*12*0.85</f>
        <v>274710.76967999997</v>
      </c>
      <c r="AS697" s="1">
        <f>+(K697*13.29+L697*22.52)*12*30</f>
        <v>9695674.2239999995</v>
      </c>
      <c r="AT697" s="29">
        <f t="shared" si="260"/>
        <v>-8842226.5436799992</v>
      </c>
      <c r="AU697" s="29">
        <f>+P697-'[6]Приложение №1'!$P665</f>
        <v>0</v>
      </c>
      <c r="AV697" s="29">
        <f>+Q697-'[6]Приложение №1'!$Q665</f>
        <v>0</v>
      </c>
      <c r="AW697" s="29">
        <f>+R697-'[6]Приложение №1'!$R665</f>
        <v>0</v>
      </c>
      <c r="AX697" s="29">
        <f>+S697-'[6]Приложение №1'!$S665</f>
        <v>0</v>
      </c>
      <c r="AY697" s="29">
        <f>+T697-'[6]Приложение №1'!$T665</f>
        <v>0</v>
      </c>
    </row>
    <row r="698" spans="1:51" x14ac:dyDescent="0.25">
      <c r="A698" s="133">
        <f t="shared" si="268"/>
        <v>680</v>
      </c>
      <c r="B698" s="132">
        <f t="shared" si="268"/>
        <v>218</v>
      </c>
      <c r="C698" s="77" t="s">
        <v>50</v>
      </c>
      <c r="D698" s="77" t="s">
        <v>494</v>
      </c>
      <c r="E698" s="78">
        <v>1968</v>
      </c>
      <c r="F698" s="78">
        <v>2015</v>
      </c>
      <c r="G698" s="78" t="s">
        <v>44</v>
      </c>
      <c r="H698" s="78">
        <v>4</v>
      </c>
      <c r="I698" s="78">
        <v>4</v>
      </c>
      <c r="J698" s="44">
        <v>2529.1</v>
      </c>
      <c r="K698" s="44">
        <v>2238.1</v>
      </c>
      <c r="L698" s="44">
        <v>227.2</v>
      </c>
      <c r="M698" s="79">
        <v>104</v>
      </c>
      <c r="N698" s="129">
        <f t="shared" si="265"/>
        <v>22037286.195505999</v>
      </c>
      <c r="O698" s="44"/>
      <c r="P698" s="68">
        <v>3007275.9718176005</v>
      </c>
      <c r="Q698" s="68"/>
      <c r="R698" s="68">
        <f t="shared" si="266"/>
        <v>0</v>
      </c>
      <c r="S698" s="68">
        <f>+AS698</f>
        <v>8167617.4056179998</v>
      </c>
      <c r="T698" s="68">
        <f>+'Приложение №2'!E698-'Приложение №1'!P698-'Приложение №1'!R698-'Приложение №1'!S698</f>
        <v>10862392.818070401</v>
      </c>
      <c r="U698" s="68">
        <f t="shared" si="259"/>
        <v>9846.4260736812466</v>
      </c>
      <c r="V698" s="68">
        <v>1386.2830200640001</v>
      </c>
      <c r="W698" s="80">
        <v>2024</v>
      </c>
      <c r="X698" s="29" t="e">
        <f>+#REF!-'[1]Приложение №1'!$P1829</f>
        <v>#REF!</v>
      </c>
      <c r="Z698" s="31">
        <f t="shared" si="269"/>
        <v>29885518.550000001</v>
      </c>
      <c r="AA698" s="27">
        <v>6731956.0892438404</v>
      </c>
      <c r="AB698" s="27">
        <v>2468626.27801314</v>
      </c>
      <c r="AC698" s="27">
        <v>2579135.1598849199</v>
      </c>
      <c r="AD698" s="27">
        <v>1614732.13773312</v>
      </c>
      <c r="AE698" s="27">
        <v>0</v>
      </c>
      <c r="AF698" s="27"/>
      <c r="AG698" s="27">
        <v>222240.79473288002</v>
      </c>
      <c r="AH698" s="27">
        <v>0</v>
      </c>
      <c r="AI698" s="27">
        <v>12664980.5522436</v>
      </c>
      <c r="AJ698" s="27">
        <v>0</v>
      </c>
      <c r="AK698" s="27">
        <v>0</v>
      </c>
      <c r="AL698" s="27">
        <v>0</v>
      </c>
      <c r="AM698" s="27">
        <v>2730265.4369999999</v>
      </c>
      <c r="AN698" s="32">
        <v>298855.18550000008</v>
      </c>
      <c r="AO698" s="33">
        <v>574726.9156485002</v>
      </c>
      <c r="AP698" s="84">
        <f>+N698-'Приложение №2'!E698</f>
        <v>0</v>
      </c>
      <c r="AQ698" s="29">
        <f>1122636.15-R397</f>
        <v>-274635</v>
      </c>
      <c r="AR698" s="1">
        <f>+(K698*10+L698*20)*12*0.85</f>
        <v>274635</v>
      </c>
      <c r="AS698" s="1">
        <f>+(K698*10+L698*20)*12*30-S397</f>
        <v>8167617.4056179998</v>
      </c>
      <c r="AT698" s="29">
        <f t="shared" si="260"/>
        <v>0</v>
      </c>
      <c r="AU698" s="29">
        <f>+P698-'[6]Приложение №1'!$P666</f>
        <v>0</v>
      </c>
      <c r="AV698" s="29">
        <f>+Q698-'[6]Приложение №1'!$Q666</f>
        <v>0</v>
      </c>
      <c r="AW698" s="29">
        <f>+R698-'[6]Приложение №1'!$R666</f>
        <v>0</v>
      </c>
      <c r="AX698" s="29">
        <f>+S698-'[6]Приложение №1'!$S666</f>
        <v>0</v>
      </c>
      <c r="AY698" s="29">
        <f>+T698-'[6]Приложение №1'!$T666</f>
        <v>0</v>
      </c>
    </row>
    <row r="699" spans="1:51" x14ac:dyDescent="0.25">
      <c r="A699" s="133">
        <f t="shared" si="268"/>
        <v>681</v>
      </c>
      <c r="B699" s="132">
        <f t="shared" si="268"/>
        <v>219</v>
      </c>
      <c r="C699" s="77" t="s">
        <v>50</v>
      </c>
      <c r="D699" s="77" t="s">
        <v>496</v>
      </c>
      <c r="E699" s="78">
        <v>1967</v>
      </c>
      <c r="F699" s="78">
        <v>2015</v>
      </c>
      <c r="G699" s="78" t="s">
        <v>44</v>
      </c>
      <c r="H699" s="78">
        <v>3</v>
      </c>
      <c r="I699" s="78">
        <v>3</v>
      </c>
      <c r="J699" s="44">
        <v>1753.5</v>
      </c>
      <c r="K699" s="44">
        <v>1262.7</v>
      </c>
      <c r="L699" s="44">
        <v>455.8</v>
      </c>
      <c r="M699" s="79">
        <v>37</v>
      </c>
      <c r="N699" s="129">
        <f t="shared" si="265"/>
        <v>30938743.942612</v>
      </c>
      <c r="O699" s="44"/>
      <c r="P699" s="68">
        <v>5009763.3724291995</v>
      </c>
      <c r="Q699" s="68"/>
      <c r="R699" s="68">
        <f t="shared" si="266"/>
        <v>0</v>
      </c>
      <c r="S699" s="68">
        <f>+AS699</f>
        <v>7179911.9088660004</v>
      </c>
      <c r="T699" s="68">
        <f>+'Приложение №2'!E699-'Приложение №1'!P699-'Приложение №1'!R699-'Приложение №1'!S699</f>
        <v>18749068.661316801</v>
      </c>
      <c r="U699" s="68">
        <f t="shared" si="259"/>
        <v>24502.0542825786</v>
      </c>
      <c r="V699" s="68">
        <v>1387.2830200640001</v>
      </c>
      <c r="W699" s="80">
        <v>2024</v>
      </c>
      <c r="X699" s="29" t="e">
        <f>+#REF!-'[1]Приложение №1'!$P1831</f>
        <v>#REF!</v>
      </c>
      <c r="Z699" s="31">
        <f t="shared" si="269"/>
        <v>34868708.160000004</v>
      </c>
      <c r="AA699" s="27">
        <v>5996729.9781097798</v>
      </c>
      <c r="AB699" s="27">
        <v>3648890.3764198199</v>
      </c>
      <c r="AC699" s="27">
        <v>1719410.9272174803</v>
      </c>
      <c r="AD699" s="27">
        <v>1465289.8013577599</v>
      </c>
      <c r="AE699" s="27">
        <v>0</v>
      </c>
      <c r="AF699" s="27"/>
      <c r="AG699" s="27">
        <v>511593.88939176005</v>
      </c>
      <c r="AH699" s="27">
        <v>0</v>
      </c>
      <c r="AI699" s="27">
        <v>17347540.944257997</v>
      </c>
      <c r="AJ699" s="27">
        <v>0</v>
      </c>
      <c r="AK699" s="27">
        <v>0</v>
      </c>
      <c r="AL699" s="27">
        <v>0</v>
      </c>
      <c r="AM699" s="27">
        <v>3159448.9173999997</v>
      </c>
      <c r="AN699" s="32">
        <v>348687.08159999998</v>
      </c>
      <c r="AO699" s="33">
        <v>671116.24424539995</v>
      </c>
      <c r="AP699" s="84">
        <f>+N699-'Приложение №2'!E699</f>
        <v>0</v>
      </c>
      <c r="AQ699" s="29">
        <f>1072019.06-R399</f>
        <v>-221778.60000000009</v>
      </c>
      <c r="AR699" s="1">
        <f>+(K699*10+L699*20)*12*0.85</f>
        <v>221778.6</v>
      </c>
      <c r="AS699" s="1">
        <f>+(K699*10+L699*20)*12*30-S399</f>
        <v>7179911.9088660004</v>
      </c>
      <c r="AT699" s="29">
        <f t="shared" si="260"/>
        <v>0</v>
      </c>
      <c r="AU699" s="29">
        <f>+P699-'[6]Приложение №1'!$P667</f>
        <v>0</v>
      </c>
      <c r="AV699" s="29">
        <f>+Q699-'[6]Приложение №1'!$Q667</f>
        <v>0</v>
      </c>
      <c r="AW699" s="29">
        <f>+R699-'[6]Приложение №1'!$R667</f>
        <v>0</v>
      </c>
      <c r="AX699" s="29">
        <f>+S699-'[6]Приложение №1'!$S667</f>
        <v>0</v>
      </c>
      <c r="AY699" s="29">
        <f>+T699-'[6]Приложение №1'!$T667</f>
        <v>0</v>
      </c>
    </row>
    <row r="700" spans="1:51" x14ac:dyDescent="0.25">
      <c r="A700" s="133">
        <f t="shared" si="268"/>
        <v>682</v>
      </c>
      <c r="B700" s="132">
        <f t="shared" si="268"/>
        <v>220</v>
      </c>
      <c r="C700" s="77" t="s">
        <v>50</v>
      </c>
      <c r="D700" s="77" t="s">
        <v>497</v>
      </c>
      <c r="E700" s="78">
        <v>1968</v>
      </c>
      <c r="F700" s="78">
        <v>2015</v>
      </c>
      <c r="G700" s="78" t="s">
        <v>44</v>
      </c>
      <c r="H700" s="78">
        <v>4</v>
      </c>
      <c r="I700" s="78">
        <v>2</v>
      </c>
      <c r="J700" s="44">
        <v>1345.8</v>
      </c>
      <c r="K700" s="44">
        <v>1132</v>
      </c>
      <c r="L700" s="44">
        <v>118.5</v>
      </c>
      <c r="M700" s="79">
        <v>46</v>
      </c>
      <c r="N700" s="129">
        <f t="shared" si="265"/>
        <v>11150428.548839999</v>
      </c>
      <c r="O700" s="44"/>
      <c r="P700" s="68">
        <v>1919629.1910700002</v>
      </c>
      <c r="Q700" s="68"/>
      <c r="R700" s="68">
        <f t="shared" si="266"/>
        <v>0</v>
      </c>
      <c r="S700" s="68">
        <f>+AS700</f>
        <v>4040696.8275600001</v>
      </c>
      <c r="T700" s="68">
        <f>+'Приложение №2'!E700-'Приложение №1'!P700-'Приложение №1'!R700-'Приложение №1'!S700</f>
        <v>5190102.5302099995</v>
      </c>
      <c r="U700" s="68">
        <f t="shared" si="259"/>
        <v>9850.2018982685513</v>
      </c>
      <c r="V700" s="68">
        <v>1388.2830200640001</v>
      </c>
      <c r="W700" s="80">
        <v>2024</v>
      </c>
      <c r="X700" s="29" t="e">
        <f>+#REF!-'[1]Приложение №1'!$P1832</f>
        <v>#REF!</v>
      </c>
      <c r="Z700" s="31">
        <f t="shared" si="269"/>
        <v>15236078.209999999</v>
      </c>
      <c r="AA700" s="27">
        <v>3432050.5232340605</v>
      </c>
      <c r="AB700" s="27">
        <v>1258542.09075378</v>
      </c>
      <c r="AC700" s="27">
        <v>1314881.1524797198</v>
      </c>
      <c r="AD700" s="27">
        <v>823214.26413408003</v>
      </c>
      <c r="AE700" s="27">
        <v>0</v>
      </c>
      <c r="AF700" s="27"/>
      <c r="AG700" s="27">
        <v>113301.62983020001</v>
      </c>
      <c r="AH700" s="27">
        <v>0</v>
      </c>
      <c r="AI700" s="27">
        <v>6456793.9123547999</v>
      </c>
      <c r="AJ700" s="27">
        <v>0</v>
      </c>
      <c r="AK700" s="27">
        <v>0</v>
      </c>
      <c r="AL700" s="27">
        <v>0</v>
      </c>
      <c r="AM700" s="27">
        <v>1391929.5954999998</v>
      </c>
      <c r="AN700" s="32">
        <v>152360.78209999998</v>
      </c>
      <c r="AO700" s="33">
        <v>293004.25961336005</v>
      </c>
      <c r="AP700" s="84">
        <f>+N700-'Приложение №2'!E700</f>
        <v>0</v>
      </c>
      <c r="AQ700" s="29">
        <f>449941.2-R400</f>
        <v>-139637.99999999994</v>
      </c>
      <c r="AR700" s="1">
        <f>+(K700*10+L700*20)*12*0.85</f>
        <v>139638</v>
      </c>
      <c r="AS700" s="1">
        <f>+(K700*10+L700*20)*12*30-S400</f>
        <v>4040696.8275600001</v>
      </c>
      <c r="AT700" s="29">
        <f t="shared" si="260"/>
        <v>0</v>
      </c>
      <c r="AU700" s="29">
        <f>+P700-'[6]Приложение №1'!$P668</f>
        <v>0</v>
      </c>
      <c r="AV700" s="29">
        <f>+Q700-'[6]Приложение №1'!$Q668</f>
        <v>0</v>
      </c>
      <c r="AW700" s="29">
        <f>+R700-'[6]Приложение №1'!$R668</f>
        <v>0</v>
      </c>
      <c r="AX700" s="29">
        <f>+S700-'[6]Приложение №1'!$S668</f>
        <v>0</v>
      </c>
      <c r="AY700" s="29">
        <f>+T700-'[6]Приложение №1'!$T668</f>
        <v>0</v>
      </c>
    </row>
    <row r="701" spans="1:51" x14ac:dyDescent="0.25">
      <c r="A701" s="133">
        <f t="shared" si="268"/>
        <v>683</v>
      </c>
      <c r="B701" s="132">
        <f t="shared" si="268"/>
        <v>221</v>
      </c>
      <c r="C701" s="77" t="s">
        <v>50</v>
      </c>
      <c r="D701" s="77" t="s">
        <v>498</v>
      </c>
      <c r="E701" s="78">
        <v>1967</v>
      </c>
      <c r="F701" s="78">
        <v>2013</v>
      </c>
      <c r="G701" s="78" t="s">
        <v>44</v>
      </c>
      <c r="H701" s="78">
        <v>3</v>
      </c>
      <c r="I701" s="78">
        <v>3</v>
      </c>
      <c r="J701" s="44">
        <v>1661.3</v>
      </c>
      <c r="K701" s="44">
        <v>1287.5999999999999</v>
      </c>
      <c r="L701" s="44">
        <v>250.7</v>
      </c>
      <c r="M701" s="79">
        <v>74</v>
      </c>
      <c r="N701" s="129">
        <f t="shared" si="265"/>
        <v>11026809.225987997</v>
      </c>
      <c r="O701" s="44"/>
      <c r="P701" s="68">
        <v>1452195.0248139997</v>
      </c>
      <c r="Q701" s="68"/>
      <c r="R701" s="68">
        <f t="shared" si="266"/>
        <v>0</v>
      </c>
      <c r="S701" s="68">
        <f>+AS701</f>
        <v>5450941.3911319999</v>
      </c>
      <c r="T701" s="68">
        <f>+'Приложение №2'!E701-'Приложение №1'!P701-'Приложение №1'!R701-'Приложение №1'!S701</f>
        <v>4123672.8100419985</v>
      </c>
      <c r="U701" s="68">
        <f t="shared" si="259"/>
        <v>8563.8468670301318</v>
      </c>
      <c r="V701" s="68">
        <v>1389.2830200640001</v>
      </c>
      <c r="W701" s="80">
        <v>2024</v>
      </c>
      <c r="X701" s="29" t="e">
        <f>+#REF!-'[1]Приложение №1'!$P1835</f>
        <v>#REF!</v>
      </c>
      <c r="Z701" s="31">
        <f t="shared" si="269"/>
        <v>14747148.670000002</v>
      </c>
      <c r="AA701" s="27">
        <v>5828747.4672991196</v>
      </c>
      <c r="AB701" s="27">
        <v>3546676.3733486403</v>
      </c>
      <c r="AC701" s="27">
        <v>1671246.17812992</v>
      </c>
      <c r="AD701" s="27">
        <v>1424243.59065324</v>
      </c>
      <c r="AE701" s="27">
        <v>0</v>
      </c>
      <c r="AF701" s="27"/>
      <c r="AG701" s="27">
        <v>497262.94218215998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1347912.8755000001</v>
      </c>
      <c r="AN701" s="32">
        <v>147471.48670000001</v>
      </c>
      <c r="AO701" s="33">
        <v>283587.75618692004</v>
      </c>
      <c r="AP701" s="84">
        <f>+N701-'Приложение №2'!E701</f>
        <v>0</v>
      </c>
      <c r="AQ701" s="29">
        <f>717131.91-R401</f>
        <v>-182478</v>
      </c>
      <c r="AR701" s="1">
        <f>+(K701*10+L701*20)*12*0.85</f>
        <v>182478</v>
      </c>
      <c r="AS701" s="1">
        <f>+(K701*10+L701*20)*12*30-S401</f>
        <v>5450941.3911319999</v>
      </c>
      <c r="AT701" s="29">
        <f t="shared" si="260"/>
        <v>0</v>
      </c>
      <c r="AU701" s="29">
        <f>+P701-'[6]Приложение №1'!$P669</f>
        <v>0</v>
      </c>
      <c r="AV701" s="29">
        <f>+Q701-'[6]Приложение №1'!$Q669</f>
        <v>0</v>
      </c>
      <c r="AW701" s="29">
        <f>+R701-'[6]Приложение №1'!$R669</f>
        <v>0</v>
      </c>
      <c r="AX701" s="29">
        <f>+S701-'[6]Приложение №1'!$S669</f>
        <v>0</v>
      </c>
      <c r="AY701" s="29">
        <f>+T701-'[6]Приложение №1'!$T669</f>
        <v>0</v>
      </c>
    </row>
    <row r="702" spans="1:51" x14ac:dyDescent="0.25">
      <c r="A702" s="133">
        <f t="shared" si="268"/>
        <v>684</v>
      </c>
      <c r="B702" s="132">
        <f t="shared" si="268"/>
        <v>222</v>
      </c>
      <c r="C702" s="77" t="s">
        <v>50</v>
      </c>
      <c r="D702" s="77" t="s">
        <v>673</v>
      </c>
      <c r="E702" s="78">
        <v>2000</v>
      </c>
      <c r="F702" s="78">
        <v>2013</v>
      </c>
      <c r="G702" s="78" t="s">
        <v>547</v>
      </c>
      <c r="H702" s="78">
        <v>9</v>
      </c>
      <c r="I702" s="78">
        <v>6</v>
      </c>
      <c r="J702" s="44">
        <v>12225.7</v>
      </c>
      <c r="K702" s="44">
        <v>12225.7</v>
      </c>
      <c r="L702" s="44">
        <v>0</v>
      </c>
      <c r="M702" s="79">
        <v>575</v>
      </c>
      <c r="N702" s="129">
        <f t="shared" si="265"/>
        <v>21548160</v>
      </c>
      <c r="O702" s="44"/>
      <c r="P702" s="68"/>
      <c r="Q702" s="68"/>
      <c r="R702" s="68">
        <f t="shared" si="266"/>
        <v>8535516.9905999992</v>
      </c>
      <c r="S702" s="68">
        <f>+'Приложение №2'!E702-'Приложение №1'!R702</f>
        <v>13012643.009400001</v>
      </c>
      <c r="T702" s="68">
        <v>0</v>
      </c>
      <c r="U702" s="68">
        <f t="shared" si="259"/>
        <v>1762.5297528975846</v>
      </c>
      <c r="V702" s="68">
        <v>1390.2830200640001</v>
      </c>
      <c r="W702" s="80">
        <v>2024</v>
      </c>
      <c r="X702" s="29"/>
      <c r="Z702" s="31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32"/>
      <c r="AO702" s="33"/>
      <c r="AP702" s="84">
        <f>+N702-'Приложение №2'!E702</f>
        <v>0</v>
      </c>
      <c r="AQ702" s="1">
        <v>6878225.5499999998</v>
      </c>
      <c r="AR702" s="1">
        <f>+(K702*13.29+L702*22.52)*12*0.85</f>
        <v>1657291.4405999999</v>
      </c>
      <c r="AS702" s="1">
        <f>+(K702*13.29+L702*22.52)*12*30</f>
        <v>58492639.079999998</v>
      </c>
      <c r="AT702" s="29">
        <f t="shared" si="260"/>
        <v>-45479996.070599996</v>
      </c>
      <c r="AU702" s="29">
        <f>+P702-'[6]Приложение №1'!$P670</f>
        <v>0</v>
      </c>
      <c r="AV702" s="29">
        <f>+Q702-'[6]Приложение №1'!$Q670</f>
        <v>0</v>
      </c>
      <c r="AW702" s="29">
        <f>+R702-'[6]Приложение №1'!$R670</f>
        <v>0</v>
      </c>
      <c r="AX702" s="29">
        <f>+S702-'[6]Приложение №1'!$S670</f>
        <v>0</v>
      </c>
      <c r="AY702" s="29">
        <f>+T702-'[6]Приложение №1'!$T670</f>
        <v>0</v>
      </c>
    </row>
    <row r="703" spans="1:51" x14ac:dyDescent="0.25">
      <c r="A703" s="133">
        <f t="shared" si="268"/>
        <v>685</v>
      </c>
      <c r="B703" s="132">
        <f t="shared" si="268"/>
        <v>223</v>
      </c>
      <c r="C703" s="77" t="s">
        <v>50</v>
      </c>
      <c r="D703" s="77" t="s">
        <v>499</v>
      </c>
      <c r="E703" s="78">
        <v>1969</v>
      </c>
      <c r="F703" s="78">
        <v>1969</v>
      </c>
      <c r="G703" s="78" t="s">
        <v>44</v>
      </c>
      <c r="H703" s="78">
        <v>4</v>
      </c>
      <c r="I703" s="78">
        <v>2</v>
      </c>
      <c r="J703" s="44">
        <v>1357.7</v>
      </c>
      <c r="K703" s="44">
        <v>1089.9000000000001</v>
      </c>
      <c r="L703" s="44">
        <v>150.80000000000001</v>
      </c>
      <c r="M703" s="79">
        <v>48</v>
      </c>
      <c r="N703" s="129">
        <f t="shared" si="265"/>
        <v>4064823.6560380002</v>
      </c>
      <c r="O703" s="44"/>
      <c r="P703" s="68"/>
      <c r="Q703" s="68"/>
      <c r="R703" s="68">
        <f t="shared" si="266"/>
        <v>0</v>
      </c>
      <c r="S703" s="68">
        <f>+'Приложение №2'!E703-'Приложение №1'!R703</f>
        <v>4064823.6560380002</v>
      </c>
      <c r="T703" s="68">
        <v>0</v>
      </c>
      <c r="U703" s="68">
        <f t="shared" si="259"/>
        <v>3729.5381741792826</v>
      </c>
      <c r="V703" s="68">
        <v>1391.2830200640001</v>
      </c>
      <c r="W703" s="80">
        <v>2024</v>
      </c>
      <c r="X703" s="29" t="e">
        <f>+#REF!-'[1]Приложение №1'!$P1837</f>
        <v>#REF!</v>
      </c>
      <c r="Z703" s="31">
        <f t="shared" ref="Z703:Z720" si="270">SUM(AA703:AO703)</f>
        <v>8198144.5299999993</v>
      </c>
      <c r="AA703" s="27">
        <v>3559333.0036773602</v>
      </c>
      <c r="AB703" s="27">
        <v>1305216.9162526201</v>
      </c>
      <c r="AC703" s="27">
        <v>1363645.3966245598</v>
      </c>
      <c r="AD703" s="27">
        <v>853744.33726847998</v>
      </c>
      <c r="AE703" s="27">
        <v>0</v>
      </c>
      <c r="AF703" s="27"/>
      <c r="AG703" s="27">
        <v>117503.58224136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759282.60640000005</v>
      </c>
      <c r="AN703" s="32">
        <v>81981.445299999992</v>
      </c>
      <c r="AO703" s="33">
        <v>157437.24223562001</v>
      </c>
      <c r="AP703" s="84">
        <f>+N703-'Приложение №2'!E703</f>
        <v>0</v>
      </c>
      <c r="AQ703" s="29">
        <f>484860.46-R402</f>
        <v>-141932.99999999994</v>
      </c>
      <c r="AR703" s="1">
        <f>+(K703*10+L703*20)*12*0.85</f>
        <v>141933</v>
      </c>
      <c r="AS703" s="1">
        <f>+(K703*10+L703*20)*12*30-S402</f>
        <v>4100172.3171000001</v>
      </c>
      <c r="AT703" s="29">
        <f t="shared" si="260"/>
        <v>-35348.661061999854</v>
      </c>
      <c r="AU703" s="29">
        <f>+P703-'[6]Приложение №1'!$P671</f>
        <v>0</v>
      </c>
      <c r="AV703" s="29">
        <f>+Q703-'[6]Приложение №1'!$Q671</f>
        <v>0</v>
      </c>
      <c r="AW703" s="29">
        <f>+R703-'[6]Приложение №1'!$R671</f>
        <v>0</v>
      </c>
      <c r="AX703" s="29">
        <f>+S703-'[6]Приложение №1'!$S671</f>
        <v>0</v>
      </c>
      <c r="AY703" s="29">
        <f>+T703-'[6]Приложение №1'!$T671</f>
        <v>0</v>
      </c>
    </row>
    <row r="704" spans="1:51" x14ac:dyDescent="0.25">
      <c r="A704" s="133">
        <f t="shared" si="268"/>
        <v>686</v>
      </c>
      <c r="B704" s="132">
        <f t="shared" si="268"/>
        <v>224</v>
      </c>
      <c r="C704" s="77" t="s">
        <v>50</v>
      </c>
      <c r="D704" s="77" t="s">
        <v>501</v>
      </c>
      <c r="E704" s="78">
        <v>1969</v>
      </c>
      <c r="F704" s="78">
        <v>1969</v>
      </c>
      <c r="G704" s="78" t="s">
        <v>44</v>
      </c>
      <c r="H704" s="78">
        <v>4</v>
      </c>
      <c r="I704" s="78">
        <v>2</v>
      </c>
      <c r="J704" s="44">
        <v>1375</v>
      </c>
      <c r="K704" s="44">
        <v>1257.0999999999999</v>
      </c>
      <c r="L704" s="44">
        <v>0</v>
      </c>
      <c r="M704" s="79">
        <v>53</v>
      </c>
      <c r="N704" s="129">
        <f t="shared" si="265"/>
        <v>11763667.369848</v>
      </c>
      <c r="O704" s="44"/>
      <c r="P704" s="68">
        <v>2077460.7349500002</v>
      </c>
      <c r="Q704" s="68"/>
      <c r="R704" s="68">
        <f t="shared" si="266"/>
        <v>0</v>
      </c>
      <c r="S704" s="68">
        <f>+AS704</f>
        <v>3700275.840448</v>
      </c>
      <c r="T704" s="68">
        <f>+'Приложение №2'!E704-'Приложение №1'!P704-'Приложение №1'!R704-'Приложение №1'!S704</f>
        <v>5985930.7944499999</v>
      </c>
      <c r="U704" s="68">
        <f t="shared" si="259"/>
        <v>9357.7816958459953</v>
      </c>
      <c r="V704" s="68">
        <v>1392.2830200640001</v>
      </c>
      <c r="W704" s="80">
        <v>2024</v>
      </c>
      <c r="X704" s="29" t="e">
        <f>+#REF!-'[1]Приложение №1'!$P1843</f>
        <v>#REF!</v>
      </c>
      <c r="Z704" s="31">
        <f t="shared" si="270"/>
        <v>15991596.719999999</v>
      </c>
      <c r="AA704" s="27">
        <v>3602237.2105683601</v>
      </c>
      <c r="AB704" s="27">
        <v>1320950.0034994199</v>
      </c>
      <c r="AC704" s="27">
        <v>1380082.7808234601</v>
      </c>
      <c r="AD704" s="27">
        <v>864035.37315648003</v>
      </c>
      <c r="AE704" s="27">
        <v>0</v>
      </c>
      <c r="AF704" s="27"/>
      <c r="AG704" s="27">
        <v>118919.97069456</v>
      </c>
      <c r="AH704" s="27">
        <v>0</v>
      </c>
      <c r="AI704" s="27">
        <v>6776969.9586876007</v>
      </c>
      <c r="AJ704" s="27">
        <v>0</v>
      </c>
      <c r="AK704" s="27">
        <v>0</v>
      </c>
      <c r="AL704" s="27">
        <v>0</v>
      </c>
      <c r="AM704" s="27">
        <v>1460951.8569999998</v>
      </c>
      <c r="AN704" s="32">
        <v>159915.96719999998</v>
      </c>
      <c r="AO704" s="33">
        <v>307533.59837011999</v>
      </c>
      <c r="AP704" s="84">
        <f>+N704-'Приложение №2'!E704</f>
        <v>0</v>
      </c>
      <c r="AQ704" s="29">
        <f>599663.27-R404</f>
        <v>-128224.19999999995</v>
      </c>
      <c r="AR704" s="1">
        <f>+(K704*10+L704*20)*12*0.85</f>
        <v>128224.2</v>
      </c>
      <c r="AS704" s="1">
        <f>+(K704*10+L704*20)*12*30-S404</f>
        <v>3700275.840448</v>
      </c>
      <c r="AT704" s="29">
        <f t="shared" si="260"/>
        <v>0</v>
      </c>
      <c r="AU704" s="29">
        <f>+P704-'[6]Приложение №1'!$P672</f>
        <v>0</v>
      </c>
      <c r="AV704" s="29">
        <f>+Q704-'[6]Приложение №1'!$Q672</f>
        <v>0</v>
      </c>
      <c r="AW704" s="29">
        <f>+R704-'[6]Приложение №1'!$R672</f>
        <v>0</v>
      </c>
      <c r="AX704" s="29">
        <f>+S704-'[6]Приложение №1'!$S672</f>
        <v>0</v>
      </c>
      <c r="AY704" s="29">
        <f>+T704-'[6]Приложение №1'!$T672</f>
        <v>0</v>
      </c>
    </row>
    <row r="705" spans="1:51" x14ac:dyDescent="0.25">
      <c r="A705" s="133">
        <f t="shared" si="268"/>
        <v>687</v>
      </c>
      <c r="B705" s="132">
        <f t="shared" si="268"/>
        <v>225</v>
      </c>
      <c r="C705" s="77" t="s">
        <v>50</v>
      </c>
      <c r="D705" s="77" t="s">
        <v>502</v>
      </c>
      <c r="E705" s="78">
        <v>1971</v>
      </c>
      <c r="F705" s="78">
        <v>1971</v>
      </c>
      <c r="G705" s="78" t="s">
        <v>44</v>
      </c>
      <c r="H705" s="78">
        <v>4</v>
      </c>
      <c r="I705" s="78">
        <v>2</v>
      </c>
      <c r="J705" s="44">
        <v>1403.6</v>
      </c>
      <c r="K705" s="44">
        <v>1280.0999999999999</v>
      </c>
      <c r="L705" s="44">
        <v>42.7</v>
      </c>
      <c r="M705" s="79">
        <v>67</v>
      </c>
      <c r="N705" s="129">
        <f t="shared" si="265"/>
        <v>3984511.2353214002</v>
      </c>
      <c r="O705" s="44"/>
      <c r="P705" s="68">
        <f>+'Приложение №2'!E705-'Приложение №1'!R705-'Приложение №1'!S705</f>
        <v>0</v>
      </c>
      <c r="Q705" s="68"/>
      <c r="R705" s="68">
        <f t="shared" si="266"/>
        <v>0</v>
      </c>
      <c r="S705" s="68">
        <f>+'Приложение №2'!E705-'Приложение №1'!R705</f>
        <v>3984511.2353214002</v>
      </c>
      <c r="T705" s="68">
        <f>+'Приложение №2'!E705-'Приложение №1'!P705-'Приложение №1'!R705-'Приложение №1'!S705</f>
        <v>0</v>
      </c>
      <c r="U705" s="68">
        <f t="shared" si="259"/>
        <v>3112.6562263271621</v>
      </c>
      <c r="V705" s="68">
        <v>1393.2830200640001</v>
      </c>
      <c r="W705" s="80">
        <v>2024</v>
      </c>
      <c r="X705" s="29" t="e">
        <f>+#REF!-'[1]Приложение №1'!$P1844</f>
        <v>#REF!</v>
      </c>
      <c r="Z705" s="31">
        <f t="shared" si="270"/>
        <v>9191213.3916225992</v>
      </c>
      <c r="AA705" s="27">
        <v>3593084.3130982798</v>
      </c>
      <c r="AB705" s="27">
        <v>1317593.61677916</v>
      </c>
      <c r="AC705" s="27">
        <v>1376576.13711912</v>
      </c>
      <c r="AD705" s="27">
        <v>861839.95216703997</v>
      </c>
      <c r="AE705" s="27">
        <v>0</v>
      </c>
      <c r="AF705" s="27"/>
      <c r="AG705" s="27">
        <v>118617.80974259999</v>
      </c>
      <c r="AH705" s="27">
        <v>0</v>
      </c>
      <c r="AI705" s="27"/>
      <c r="AJ705" s="27">
        <v>0</v>
      </c>
      <c r="AK705" s="27">
        <v>0</v>
      </c>
      <c r="AL705" s="27">
        <v>0</v>
      </c>
      <c r="AM705" s="27">
        <v>1457239.736</v>
      </c>
      <c r="AN705" s="32">
        <v>159509.63800000001</v>
      </c>
      <c r="AO705" s="33">
        <v>306752.18871640007</v>
      </c>
      <c r="AP705" s="84">
        <f>+N705-'Приложение №2'!E705</f>
        <v>0</v>
      </c>
      <c r="AQ705" s="29">
        <f>545896.66-R405</f>
        <v>-139281</v>
      </c>
      <c r="AR705" s="1">
        <f>+(K705*10+L705*20)*12*0.85</f>
        <v>139281</v>
      </c>
      <c r="AS705" s="1">
        <f>+(K705*10+L705*20)*12*30-S405</f>
        <v>4073310.8559360001</v>
      </c>
      <c r="AT705" s="29">
        <f t="shared" si="260"/>
        <v>-88799.620614599902</v>
      </c>
      <c r="AU705" s="29">
        <f>+P705-'[6]Приложение №1'!$P673</f>
        <v>0</v>
      </c>
      <c r="AV705" s="29">
        <f>+Q705-'[6]Приложение №1'!$Q673</f>
        <v>0</v>
      </c>
      <c r="AW705" s="29">
        <f>+R705-'[6]Приложение №1'!$R673</f>
        <v>0</v>
      </c>
      <c r="AX705" s="29">
        <f>+S705-'[6]Приложение №1'!$S673</f>
        <v>0</v>
      </c>
      <c r="AY705" s="29">
        <f>+T705-'[6]Приложение №1'!$T673</f>
        <v>0</v>
      </c>
    </row>
    <row r="706" spans="1:51" x14ac:dyDescent="0.25">
      <c r="A706" s="133">
        <f t="shared" ref="A706:B721" si="271">+A705+1</f>
        <v>688</v>
      </c>
      <c r="B706" s="132">
        <f t="shared" si="271"/>
        <v>226</v>
      </c>
      <c r="C706" s="77" t="s">
        <v>50</v>
      </c>
      <c r="D706" s="77" t="s">
        <v>503</v>
      </c>
      <c r="E706" s="78">
        <v>1993</v>
      </c>
      <c r="F706" s="78">
        <v>2009</v>
      </c>
      <c r="G706" s="78" t="s">
        <v>44</v>
      </c>
      <c r="H706" s="78">
        <v>9</v>
      </c>
      <c r="I706" s="78">
        <v>1</v>
      </c>
      <c r="J706" s="44">
        <v>2345</v>
      </c>
      <c r="K706" s="44">
        <v>1959.1</v>
      </c>
      <c r="L706" s="44">
        <v>0</v>
      </c>
      <c r="M706" s="79">
        <v>80</v>
      </c>
      <c r="N706" s="129">
        <f t="shared" si="265"/>
        <v>16319133.116</v>
      </c>
      <c r="O706" s="44"/>
      <c r="P706" s="68">
        <v>1497757.0491000004</v>
      </c>
      <c r="Q706" s="68"/>
      <c r="R706" s="68">
        <f t="shared" si="266"/>
        <v>1360732.8177999998</v>
      </c>
      <c r="S706" s="68">
        <f>+AS706</f>
        <v>9373118.0399999991</v>
      </c>
      <c r="T706" s="68">
        <f>+'Приложение №2'!E706-'Приложение №1'!P706-'Приложение №1'!R706-'Приложение №1'!S706</f>
        <v>4087525.2091000006</v>
      </c>
      <c r="U706" s="68">
        <f t="shared" si="259"/>
        <v>8329.9132846715329</v>
      </c>
      <c r="V706" s="68">
        <v>1394.2830200640001</v>
      </c>
      <c r="W706" s="80">
        <v>2024</v>
      </c>
      <c r="X706" s="29" t="e">
        <f>+#REF!-'[1]Приложение №1'!$P1603</f>
        <v>#REF!</v>
      </c>
      <c r="Z706" s="31">
        <f t="shared" si="270"/>
        <v>41352125.810000002</v>
      </c>
      <c r="AA706" s="27">
        <v>4542107.7549229199</v>
      </c>
      <c r="AB706" s="27">
        <v>3117271.1769024003</v>
      </c>
      <c r="AC706" s="27">
        <v>0</v>
      </c>
      <c r="AD706" s="27">
        <v>1712027.61216396</v>
      </c>
      <c r="AE706" s="27">
        <v>0</v>
      </c>
      <c r="AF706" s="27"/>
      <c r="AG706" s="27">
        <v>218511.8445216</v>
      </c>
      <c r="AH706" s="27">
        <v>0</v>
      </c>
      <c r="AI706" s="27">
        <v>2215753.9253135999</v>
      </c>
      <c r="AJ706" s="27">
        <v>0</v>
      </c>
      <c r="AK706" s="27">
        <v>19236210.842486817</v>
      </c>
      <c r="AL706" s="27">
        <v>5058707.7793799406</v>
      </c>
      <c r="AM706" s="27">
        <v>4048566.8085000003</v>
      </c>
      <c r="AN706" s="32">
        <v>413521.25809999998</v>
      </c>
      <c r="AO706" s="33">
        <v>789446.80770875991</v>
      </c>
      <c r="AP706" s="84">
        <f>+N706-'Приложение №2'!E706</f>
        <v>0</v>
      </c>
      <c r="AQ706" s="1">
        <v>1095161.1399999999</v>
      </c>
      <c r="AR706" s="1">
        <f>+(K706*13.29+L706*22.52)*12*0.85</f>
        <v>265571.6778</v>
      </c>
      <c r="AS706" s="1">
        <f>+(K706*13.29+L706*22.52)*12*30</f>
        <v>9373118.0399999991</v>
      </c>
      <c r="AT706" s="29">
        <f t="shared" si="260"/>
        <v>0</v>
      </c>
      <c r="AU706" s="29">
        <f>+P706-'[6]Приложение №1'!$P674</f>
        <v>0</v>
      </c>
      <c r="AV706" s="29">
        <f>+Q706-'[6]Приложение №1'!$Q674</f>
        <v>0</v>
      </c>
      <c r="AW706" s="29">
        <f>+R706-'[6]Приложение №1'!$R674</f>
        <v>0</v>
      </c>
      <c r="AX706" s="29">
        <f>+S706-'[6]Приложение №1'!$S674</f>
        <v>0</v>
      </c>
      <c r="AY706" s="29">
        <f>+T706-'[6]Приложение №1'!$T674</f>
        <v>0</v>
      </c>
    </row>
    <row r="707" spans="1:51" x14ac:dyDescent="0.25">
      <c r="A707" s="133">
        <f t="shared" si="271"/>
        <v>689</v>
      </c>
      <c r="B707" s="132">
        <f t="shared" si="271"/>
        <v>227</v>
      </c>
      <c r="C707" s="77" t="s">
        <v>50</v>
      </c>
      <c r="D707" s="77" t="s">
        <v>506</v>
      </c>
      <c r="E707" s="78">
        <v>1971</v>
      </c>
      <c r="F707" s="78">
        <v>2015</v>
      </c>
      <c r="G707" s="78" t="s">
        <v>44</v>
      </c>
      <c r="H707" s="78">
        <v>4</v>
      </c>
      <c r="I707" s="78">
        <v>1</v>
      </c>
      <c r="J707" s="44">
        <v>2344</v>
      </c>
      <c r="K707" s="44">
        <v>1634.9</v>
      </c>
      <c r="L707" s="44">
        <v>427.9</v>
      </c>
      <c r="M707" s="79">
        <v>68</v>
      </c>
      <c r="N707" s="129">
        <f t="shared" si="265"/>
        <v>9116126.8326507621</v>
      </c>
      <c r="O707" s="44"/>
      <c r="P707" s="68">
        <v>417931.19377368968</v>
      </c>
      <c r="Q707" s="68"/>
      <c r="R707" s="68">
        <f t="shared" si="266"/>
        <v>0</v>
      </c>
      <c r="S707" s="68">
        <f>+AS707</f>
        <v>7970577.2975559998</v>
      </c>
      <c r="T707" s="68">
        <f>+'Приложение №2'!E707-'Приложение №1'!P707-'Приложение №1'!R707-'Приложение №1'!S707</f>
        <v>727618.34132107161</v>
      </c>
      <c r="U707" s="68">
        <f t="shared" si="259"/>
        <v>5575.9537786107785</v>
      </c>
      <c r="V707" s="68">
        <v>1395.2830200640001</v>
      </c>
      <c r="W707" s="80">
        <v>2024</v>
      </c>
      <c r="X707" s="29" t="e">
        <f>+#REF!-'[1]Приложение №1'!$P1845</f>
        <v>#REF!</v>
      </c>
      <c r="Z707" s="31">
        <f t="shared" si="270"/>
        <v>25262253.210000001</v>
      </c>
      <c r="AA707" s="27">
        <v>5690527.9739763001</v>
      </c>
      <c r="AB707" s="27">
        <v>2086731.8051672401</v>
      </c>
      <c r="AC707" s="27">
        <v>2180145.0619355398</v>
      </c>
      <c r="AD707" s="27">
        <v>1364934.3932783997</v>
      </c>
      <c r="AE707" s="27">
        <v>0</v>
      </c>
      <c r="AF707" s="27"/>
      <c r="AG707" s="27">
        <v>187860.32184275999</v>
      </c>
      <c r="AH707" s="27">
        <v>0</v>
      </c>
      <c r="AI707" s="27">
        <v>10705718.389564799</v>
      </c>
      <c r="AJ707" s="27">
        <v>0</v>
      </c>
      <c r="AK707" s="27">
        <v>0</v>
      </c>
      <c r="AL707" s="27">
        <v>0</v>
      </c>
      <c r="AM707" s="27">
        <v>2307895.6014999999</v>
      </c>
      <c r="AN707" s="32">
        <v>252622.53210000001</v>
      </c>
      <c r="AO707" s="33">
        <v>485817.13063496002</v>
      </c>
      <c r="AP707" s="84">
        <f>+N707-'Приложение №2'!E707</f>
        <v>0</v>
      </c>
      <c r="AQ707" s="29">
        <f>1215312.06-R408</f>
        <v>-254051.39999999991</v>
      </c>
      <c r="AR707" s="1">
        <f t="shared" ref="AR707:AR714" si="272">+(K707*10+L707*20)*12*0.85</f>
        <v>254051.4</v>
      </c>
      <c r="AS707" s="1">
        <f t="shared" ref="AS707:AS713" si="273">+(K707*10+L707*20)*12*30-S408</f>
        <v>7970577.2975559998</v>
      </c>
      <c r="AT707" s="29">
        <f t="shared" si="260"/>
        <v>0</v>
      </c>
      <c r="AU707" s="29">
        <f>+P707-'[6]Приложение №1'!$P675</f>
        <v>0</v>
      </c>
      <c r="AV707" s="29">
        <f>+Q707-'[6]Приложение №1'!$Q675</f>
        <v>0</v>
      </c>
      <c r="AW707" s="29">
        <f>+R707-'[6]Приложение №1'!$R675</f>
        <v>0</v>
      </c>
      <c r="AX707" s="29">
        <f>+S707-'[6]Приложение №1'!$S675</f>
        <v>0</v>
      </c>
      <c r="AY707" s="29">
        <f>+T707-'[6]Приложение №1'!$T675</f>
        <v>0</v>
      </c>
    </row>
    <row r="708" spans="1:51" x14ac:dyDescent="0.25">
      <c r="A708" s="133">
        <f t="shared" si="271"/>
        <v>690</v>
      </c>
      <c r="B708" s="132">
        <f t="shared" si="271"/>
        <v>228</v>
      </c>
      <c r="C708" s="77" t="s">
        <v>50</v>
      </c>
      <c r="D708" s="77" t="s">
        <v>507</v>
      </c>
      <c r="E708" s="78">
        <v>1970</v>
      </c>
      <c r="F708" s="78">
        <v>2015</v>
      </c>
      <c r="G708" s="78" t="s">
        <v>44</v>
      </c>
      <c r="H708" s="78">
        <v>4</v>
      </c>
      <c r="I708" s="78">
        <v>2</v>
      </c>
      <c r="J708" s="44">
        <v>1403.6</v>
      </c>
      <c r="K708" s="44">
        <v>1288.25</v>
      </c>
      <c r="L708" s="44">
        <v>0</v>
      </c>
      <c r="M708" s="79">
        <v>53</v>
      </c>
      <c r="N708" s="129">
        <f t="shared" si="265"/>
        <v>4191335.3761740001</v>
      </c>
      <c r="O708" s="44"/>
      <c r="P708" s="68">
        <v>182520.66723549983</v>
      </c>
      <c r="Q708" s="68"/>
      <c r="R708" s="68">
        <f t="shared" si="266"/>
        <v>0</v>
      </c>
      <c r="S708" s="68">
        <f>+AS708</f>
        <v>3735582.6662320001</v>
      </c>
      <c r="T708" s="68">
        <f>+'Приложение №2'!E708-'Приложение №1'!P708-'Приложение №1'!R708-'Приложение №1'!S708</f>
        <v>273232.04270650027</v>
      </c>
      <c r="U708" s="68">
        <f t="shared" si="259"/>
        <v>3253.5108683671647</v>
      </c>
      <c r="V708" s="68">
        <v>1396.2830200640001</v>
      </c>
      <c r="W708" s="80">
        <v>2024</v>
      </c>
      <c r="X708" s="29" t="e">
        <f>+#REF!-'[1]Приложение №1'!$P1849</f>
        <v>#REF!</v>
      </c>
      <c r="Z708" s="31">
        <f t="shared" si="270"/>
        <v>16293169.239999998</v>
      </c>
      <c r="AA708" s="27">
        <v>3670168.8759317403</v>
      </c>
      <c r="AB708" s="27">
        <v>1345860.7249735198</v>
      </c>
      <c r="AC708" s="27">
        <v>1406108.636961</v>
      </c>
      <c r="AD708" s="27">
        <v>880329.51331247995</v>
      </c>
      <c r="AE708" s="27">
        <v>0</v>
      </c>
      <c r="AF708" s="27"/>
      <c r="AG708" s="27">
        <v>121162.59054059999</v>
      </c>
      <c r="AH708" s="27">
        <v>0</v>
      </c>
      <c r="AI708" s="27">
        <v>6904771.3217195999</v>
      </c>
      <c r="AJ708" s="27">
        <v>0</v>
      </c>
      <c r="AK708" s="27">
        <v>0</v>
      </c>
      <c r="AL708" s="27">
        <v>0</v>
      </c>
      <c r="AM708" s="27">
        <v>1488502.7597000001</v>
      </c>
      <c r="AN708" s="32">
        <v>162931.6924</v>
      </c>
      <c r="AO708" s="33">
        <v>313333.12446105998</v>
      </c>
      <c r="AP708" s="84">
        <f>+N708-'Приложение №2'!E708</f>
        <v>0</v>
      </c>
      <c r="AQ708" s="29">
        <f>549431.36-R409</f>
        <v>-131401.5</v>
      </c>
      <c r="AR708" s="1">
        <f t="shared" si="272"/>
        <v>131401.5</v>
      </c>
      <c r="AS708" s="1">
        <f t="shared" si="273"/>
        <v>3735582.6662320001</v>
      </c>
      <c r="AT708" s="29">
        <f t="shared" si="260"/>
        <v>0</v>
      </c>
      <c r="AU708" s="29">
        <f>+P708-'[6]Приложение №1'!$P676</f>
        <v>0</v>
      </c>
      <c r="AV708" s="29">
        <f>+Q708-'[6]Приложение №1'!$Q676</f>
        <v>0</v>
      </c>
      <c r="AW708" s="29">
        <f>+R708-'[6]Приложение №1'!$R676</f>
        <v>0</v>
      </c>
      <c r="AX708" s="29">
        <f>+S708-'[6]Приложение №1'!$S676</f>
        <v>0</v>
      </c>
      <c r="AY708" s="29">
        <f>+T708-'[6]Приложение №1'!$T676</f>
        <v>0</v>
      </c>
    </row>
    <row r="709" spans="1:51" x14ac:dyDescent="0.25">
      <c r="A709" s="133">
        <f t="shared" si="271"/>
        <v>691</v>
      </c>
      <c r="B709" s="132">
        <f t="shared" si="271"/>
        <v>229</v>
      </c>
      <c r="C709" s="77" t="s">
        <v>50</v>
      </c>
      <c r="D709" s="77" t="s">
        <v>508</v>
      </c>
      <c r="E709" s="78">
        <v>1970</v>
      </c>
      <c r="F709" s="78">
        <v>2015</v>
      </c>
      <c r="G709" s="78" t="s">
        <v>44</v>
      </c>
      <c r="H709" s="78">
        <v>4</v>
      </c>
      <c r="I709" s="78">
        <v>2</v>
      </c>
      <c r="J709" s="44">
        <v>1397.9</v>
      </c>
      <c r="K709" s="44">
        <v>1284</v>
      </c>
      <c r="L709" s="44">
        <v>0</v>
      </c>
      <c r="M709" s="79">
        <v>70</v>
      </c>
      <c r="N709" s="129">
        <f t="shared" si="265"/>
        <v>3861710.0242000008</v>
      </c>
      <c r="O709" s="44"/>
      <c r="P709" s="68">
        <v>1025873.1100000001</v>
      </c>
      <c r="Q709" s="68"/>
      <c r="R709" s="68">
        <f>+AR709</f>
        <v>130968</v>
      </c>
      <c r="S709" s="68">
        <f>+AS709</f>
        <v>0</v>
      </c>
      <c r="T709" s="68">
        <f>+'Приложение №2'!E709-'Приложение №1'!P709-'Приложение №1'!R709-'Приложение №1'!S709</f>
        <v>2704868.9142000005</v>
      </c>
      <c r="U709" s="68">
        <f t="shared" si="259"/>
        <v>3007.5623241433027</v>
      </c>
      <c r="V709" s="68">
        <v>1397.2830200640001</v>
      </c>
      <c r="W709" s="80">
        <v>2024</v>
      </c>
      <c r="X709" s="29" t="e">
        <f>+#REF!-'[1]Приложение №1'!$P1850</f>
        <v>#REF!</v>
      </c>
      <c r="Z709" s="31">
        <f t="shared" si="270"/>
        <v>16240473.409999998</v>
      </c>
      <c r="AA709" s="27">
        <v>3658298.7075726003</v>
      </c>
      <c r="AB709" s="27">
        <v>1341507.9059104801</v>
      </c>
      <c r="AC709" s="27">
        <v>1401560.9593595399</v>
      </c>
      <c r="AD709" s="27">
        <v>877482.32671679999</v>
      </c>
      <c r="AE709" s="27">
        <v>0</v>
      </c>
      <c r="AF709" s="27"/>
      <c r="AG709" s="27">
        <v>120770.72210951999</v>
      </c>
      <c r="AH709" s="27">
        <v>0</v>
      </c>
      <c r="AI709" s="27">
        <v>6882439.7186495997</v>
      </c>
      <c r="AJ709" s="27">
        <v>0</v>
      </c>
      <c r="AK709" s="27">
        <v>0</v>
      </c>
      <c r="AL709" s="27">
        <v>0</v>
      </c>
      <c r="AM709" s="27">
        <v>1483688.602</v>
      </c>
      <c r="AN709" s="32">
        <v>162404.7341</v>
      </c>
      <c r="AO709" s="33">
        <v>312319.73358146002</v>
      </c>
      <c r="AP709" s="84">
        <f>+N709-'Приложение №2'!E709</f>
        <v>0</v>
      </c>
      <c r="AQ709" s="29">
        <f>534189.3-R410</f>
        <v>-130968</v>
      </c>
      <c r="AR709" s="1">
        <f t="shared" si="272"/>
        <v>130968</v>
      </c>
      <c r="AS709" s="1">
        <f t="shared" si="273"/>
        <v>0</v>
      </c>
      <c r="AT709" s="29">
        <f t="shared" si="260"/>
        <v>0</v>
      </c>
      <c r="AU709" s="29">
        <f>+P709-'[6]Приложение №1'!$P677</f>
        <v>0</v>
      </c>
      <c r="AV709" s="29">
        <f>+Q709-'[6]Приложение №1'!$Q677</f>
        <v>0</v>
      </c>
      <c r="AW709" s="29">
        <f>+R709-'[6]Приложение №1'!$R677</f>
        <v>0</v>
      </c>
      <c r="AX709" s="29">
        <f>+S709-'[6]Приложение №1'!$S677</f>
        <v>0</v>
      </c>
      <c r="AY709" s="29">
        <f>+T709-'[6]Приложение №1'!$T677</f>
        <v>0</v>
      </c>
    </row>
    <row r="710" spans="1:51" x14ac:dyDescent="0.25">
      <c r="A710" s="133">
        <f t="shared" si="271"/>
        <v>692</v>
      </c>
      <c r="B710" s="132">
        <f t="shared" si="271"/>
        <v>230</v>
      </c>
      <c r="C710" s="77" t="s">
        <v>50</v>
      </c>
      <c r="D710" s="77" t="s">
        <v>509</v>
      </c>
      <c r="E710" s="78">
        <v>1970</v>
      </c>
      <c r="F710" s="78">
        <v>2015</v>
      </c>
      <c r="G710" s="78" t="s">
        <v>44</v>
      </c>
      <c r="H710" s="78">
        <v>4</v>
      </c>
      <c r="I710" s="78">
        <v>2</v>
      </c>
      <c r="J710" s="44">
        <v>1401</v>
      </c>
      <c r="K710" s="44">
        <v>1279.2</v>
      </c>
      <c r="L710" s="44">
        <v>0</v>
      </c>
      <c r="M710" s="79">
        <v>66</v>
      </c>
      <c r="N710" s="129">
        <f t="shared" ref="N710:N741" si="274">SUM(O710:T710)</f>
        <v>3861106.1622000011</v>
      </c>
      <c r="O710" s="44"/>
      <c r="P710" s="68">
        <v>1025712.6925</v>
      </c>
      <c r="Q710" s="68"/>
      <c r="R710" s="68">
        <f>+AR710</f>
        <v>130478.39999999999</v>
      </c>
      <c r="S710" s="68">
        <f>+AS710</f>
        <v>0</v>
      </c>
      <c r="T710" s="68">
        <f>+'Приложение №2'!E710-'Приложение №1'!P710-'Приложение №1'!R710-'Приложение №1'!S710</f>
        <v>2704915.0697000008</v>
      </c>
      <c r="U710" s="68">
        <f t="shared" si="259"/>
        <v>3018.3756740150102</v>
      </c>
      <c r="V710" s="68">
        <v>1398.2830200640001</v>
      </c>
      <c r="W710" s="80">
        <v>2024</v>
      </c>
      <c r="X710" s="29" t="e">
        <f>+#REF!-'[1]Приложение №1'!$P1851</f>
        <v>#REF!</v>
      </c>
      <c r="Z710" s="31">
        <f t="shared" si="270"/>
        <v>16237933.850000001</v>
      </c>
      <c r="AA710" s="27">
        <v>3657726.6514807204</v>
      </c>
      <c r="AB710" s="27">
        <v>1341298.1279300398</v>
      </c>
      <c r="AC710" s="27">
        <v>1401341.7924949802</v>
      </c>
      <c r="AD710" s="27">
        <v>877345.11290495994</v>
      </c>
      <c r="AE710" s="27">
        <v>0</v>
      </c>
      <c r="AF710" s="27"/>
      <c r="AG710" s="27">
        <v>120751.8388482</v>
      </c>
      <c r="AH710" s="27">
        <v>0</v>
      </c>
      <c r="AI710" s="27">
        <v>6881363.4984066002</v>
      </c>
      <c r="AJ710" s="27">
        <v>0</v>
      </c>
      <c r="AK710" s="27">
        <v>0</v>
      </c>
      <c r="AL710" s="27">
        <v>0</v>
      </c>
      <c r="AM710" s="27">
        <v>1483456.594</v>
      </c>
      <c r="AN710" s="32">
        <v>162379.33850000001</v>
      </c>
      <c r="AO710" s="33">
        <v>312270.89543449995</v>
      </c>
      <c r="AP710" s="84">
        <f>+N710-'Приложение №2'!E710</f>
        <v>0</v>
      </c>
      <c r="AQ710" s="29">
        <f>622232.81-R411</f>
        <v>-130478.40000000002</v>
      </c>
      <c r="AR710" s="1">
        <f t="shared" si="272"/>
        <v>130478.39999999999</v>
      </c>
      <c r="AS710" s="1">
        <f t="shared" si="273"/>
        <v>0</v>
      </c>
      <c r="AT710" s="29">
        <f t="shared" si="260"/>
        <v>0</v>
      </c>
      <c r="AU710" s="29">
        <f>+P710-'[6]Приложение №1'!$P678</f>
        <v>0</v>
      </c>
      <c r="AV710" s="29">
        <f>+Q710-'[6]Приложение №1'!$Q678</f>
        <v>0</v>
      </c>
      <c r="AW710" s="29">
        <f>+R710-'[6]Приложение №1'!$R678</f>
        <v>0</v>
      </c>
      <c r="AX710" s="29">
        <f>+S710-'[6]Приложение №1'!$S678</f>
        <v>0</v>
      </c>
      <c r="AY710" s="29">
        <f>+T710-'[6]Приложение №1'!$T678</f>
        <v>0</v>
      </c>
    </row>
    <row r="711" spans="1:51" x14ac:dyDescent="0.25">
      <c r="A711" s="133">
        <f t="shared" si="271"/>
        <v>693</v>
      </c>
      <c r="B711" s="132">
        <f t="shared" si="271"/>
        <v>231</v>
      </c>
      <c r="C711" s="77" t="s">
        <v>50</v>
      </c>
      <c r="D711" s="77" t="s">
        <v>510</v>
      </c>
      <c r="E711" s="78">
        <v>1969</v>
      </c>
      <c r="F711" s="78">
        <v>2013</v>
      </c>
      <c r="G711" s="78" t="s">
        <v>44</v>
      </c>
      <c r="H711" s="78">
        <v>4</v>
      </c>
      <c r="I711" s="78">
        <v>2</v>
      </c>
      <c r="J711" s="44">
        <v>1404.7</v>
      </c>
      <c r="K711" s="44">
        <v>951</v>
      </c>
      <c r="L711" s="44">
        <v>348.8</v>
      </c>
      <c r="M711" s="79">
        <v>39</v>
      </c>
      <c r="N711" s="129">
        <f t="shared" si="274"/>
        <v>4238137.3835959993</v>
      </c>
      <c r="O711" s="44"/>
      <c r="P711" s="68"/>
      <c r="Q711" s="68"/>
      <c r="R711" s="68">
        <f>+AQ711+AR711</f>
        <v>0</v>
      </c>
      <c r="S711" s="68">
        <f>+'Приложение №2'!E711-'Приложение №1'!R711</f>
        <v>4238137.3835959993</v>
      </c>
      <c r="T711" s="68">
        <v>0</v>
      </c>
      <c r="U711" s="68">
        <f t="shared" si="259"/>
        <v>4456.506186746582</v>
      </c>
      <c r="V711" s="68">
        <v>1399.2830200640001</v>
      </c>
      <c r="W711" s="80">
        <v>2024</v>
      </c>
      <c r="X711" s="29" t="e">
        <f>+#REF!-'[1]Приложение №1'!$P1852</f>
        <v>#REF!</v>
      </c>
      <c r="Z711" s="31">
        <f t="shared" si="270"/>
        <v>16476652.310000001</v>
      </c>
      <c r="AA711" s="27">
        <v>3711499.9241174399</v>
      </c>
      <c r="AB711" s="27">
        <v>1361016.9358384202</v>
      </c>
      <c r="AC711" s="27">
        <v>1421943.3122823602</v>
      </c>
      <c r="AD711" s="27">
        <v>890243.21121792006</v>
      </c>
      <c r="AE711" s="27">
        <v>0</v>
      </c>
      <c r="AF711" s="27"/>
      <c r="AG711" s="27">
        <v>122527.0476276</v>
      </c>
      <c r="AH711" s="27">
        <v>0</v>
      </c>
      <c r="AI711" s="27">
        <v>6982528.3685892001</v>
      </c>
      <c r="AJ711" s="27">
        <v>0</v>
      </c>
      <c r="AK711" s="27">
        <v>0</v>
      </c>
      <c r="AL711" s="27">
        <v>0</v>
      </c>
      <c r="AM711" s="27">
        <v>1505265.3089999999</v>
      </c>
      <c r="AN711" s="32">
        <v>164766.52309999999</v>
      </c>
      <c r="AO711" s="33">
        <v>316861.67822706001</v>
      </c>
      <c r="AP711" s="84">
        <f>+N711-'Приложение №2'!E711</f>
        <v>0</v>
      </c>
      <c r="AQ711" s="29">
        <f>410687.73-R412</f>
        <v>-168157.19999999995</v>
      </c>
      <c r="AR711" s="1">
        <f t="shared" si="272"/>
        <v>168157.19999999998</v>
      </c>
      <c r="AS711" s="1">
        <f t="shared" si="273"/>
        <v>4913390.4841259997</v>
      </c>
      <c r="AT711" s="29">
        <f t="shared" si="260"/>
        <v>-675253.1005300004</v>
      </c>
      <c r="AU711" s="29">
        <f>+P711-'[6]Приложение №1'!$P679</f>
        <v>0</v>
      </c>
      <c r="AV711" s="29">
        <f>+Q711-'[6]Приложение №1'!$Q679</f>
        <v>0</v>
      </c>
      <c r="AW711" s="29">
        <f>+R711-'[6]Приложение №1'!$R679</f>
        <v>0</v>
      </c>
      <c r="AX711" s="29">
        <f>+S711-'[6]Приложение №1'!$S679</f>
        <v>0</v>
      </c>
      <c r="AY711" s="29">
        <f>+T711-'[6]Приложение №1'!$T679</f>
        <v>0</v>
      </c>
    </row>
    <row r="712" spans="1:51" x14ac:dyDescent="0.25">
      <c r="A712" s="133">
        <f t="shared" si="271"/>
        <v>694</v>
      </c>
      <c r="B712" s="132">
        <f t="shared" si="271"/>
        <v>232</v>
      </c>
      <c r="C712" s="77" t="s">
        <v>50</v>
      </c>
      <c r="D712" s="77" t="s">
        <v>511</v>
      </c>
      <c r="E712" s="78">
        <v>1969</v>
      </c>
      <c r="F712" s="78">
        <v>2015</v>
      </c>
      <c r="G712" s="78" t="s">
        <v>44</v>
      </c>
      <c r="H712" s="78">
        <v>4</v>
      </c>
      <c r="I712" s="78">
        <v>2</v>
      </c>
      <c r="J712" s="44">
        <v>1374</v>
      </c>
      <c r="K712" s="44">
        <v>1181.29</v>
      </c>
      <c r="L712" s="44">
        <v>71.900000000000006</v>
      </c>
      <c r="M712" s="79">
        <v>60</v>
      </c>
      <c r="N712" s="129">
        <f t="shared" si="274"/>
        <v>4089147.5498059997</v>
      </c>
      <c r="O712" s="44"/>
      <c r="P712" s="68">
        <v>1032644.9850015</v>
      </c>
      <c r="Q712" s="68"/>
      <c r="R712" s="68">
        <f t="shared" ref="R712:S714" si="275">+AR712</f>
        <v>135159.18</v>
      </c>
      <c r="S712" s="68">
        <f t="shared" si="275"/>
        <v>0</v>
      </c>
      <c r="T712" s="68">
        <f>+'Приложение №2'!E712-'Приложение №1'!P712-'Приложение №1'!R712-'Приложение №1'!S712</f>
        <v>2921343.3848044998</v>
      </c>
      <c r="U712" s="68">
        <f t="shared" si="259"/>
        <v>3461.5949934444548</v>
      </c>
      <c r="V712" s="68">
        <v>1400.2830200640001</v>
      </c>
      <c r="W712" s="80">
        <v>2024</v>
      </c>
      <c r="X712" s="29" t="e">
        <f>+#REF!-'[1]Приложение №1'!$P1853</f>
        <v>#REF!</v>
      </c>
      <c r="Z712" s="31">
        <f t="shared" si="270"/>
        <v>15905124.779999999</v>
      </c>
      <c r="AA712" s="27">
        <v>3582758.6997493198</v>
      </c>
      <c r="AB712" s="27">
        <v>1313807.1878118601</v>
      </c>
      <c r="AC712" s="27">
        <v>1372620.2030843401</v>
      </c>
      <c r="AD712" s="27">
        <v>859363.24454651994</v>
      </c>
      <c r="AE712" s="27">
        <v>0</v>
      </c>
      <c r="AF712" s="27"/>
      <c r="AG712" s="27">
        <v>118276.93283028001</v>
      </c>
      <c r="AH712" s="27">
        <v>0</v>
      </c>
      <c r="AI712" s="27">
        <v>6740324.6043672003</v>
      </c>
      <c r="AJ712" s="27">
        <v>0</v>
      </c>
      <c r="AK712" s="27">
        <v>0</v>
      </c>
      <c r="AL712" s="27">
        <v>0</v>
      </c>
      <c r="AM712" s="27">
        <v>1453051.9989999998</v>
      </c>
      <c r="AN712" s="32">
        <v>159051.24780000001</v>
      </c>
      <c r="AO712" s="33">
        <v>305870.66081048007</v>
      </c>
      <c r="AP712" s="84">
        <f>+N712-'Приложение №2'!E712</f>
        <v>0</v>
      </c>
      <c r="AQ712" s="29">
        <f>518977.37-R413</f>
        <v>-135159.18000000005</v>
      </c>
      <c r="AR712" s="1">
        <f t="shared" si="272"/>
        <v>135159.18</v>
      </c>
      <c r="AS712" s="1">
        <f t="shared" si="273"/>
        <v>0</v>
      </c>
      <c r="AT712" s="29">
        <f t="shared" si="260"/>
        <v>0</v>
      </c>
      <c r="AU712" s="29">
        <f>+P712-'[6]Приложение №1'!$P680</f>
        <v>0</v>
      </c>
      <c r="AV712" s="29">
        <f>+Q712-'[6]Приложение №1'!$Q680</f>
        <v>0</v>
      </c>
      <c r="AW712" s="29">
        <f>+R712-'[6]Приложение №1'!$R680</f>
        <v>0</v>
      </c>
      <c r="AX712" s="29">
        <f>+S712-'[6]Приложение №1'!$S680</f>
        <v>0</v>
      </c>
      <c r="AY712" s="29">
        <f>+T712-'[6]Приложение №1'!$T680</f>
        <v>0</v>
      </c>
    </row>
    <row r="713" spans="1:51" x14ac:dyDescent="0.25">
      <c r="A713" s="133">
        <f t="shared" si="271"/>
        <v>695</v>
      </c>
      <c r="B713" s="132">
        <f t="shared" si="271"/>
        <v>233</v>
      </c>
      <c r="C713" s="77" t="s">
        <v>50</v>
      </c>
      <c r="D713" s="77" t="s">
        <v>512</v>
      </c>
      <c r="E713" s="78">
        <v>1968</v>
      </c>
      <c r="F713" s="78">
        <v>2013</v>
      </c>
      <c r="G713" s="78" t="s">
        <v>44</v>
      </c>
      <c r="H713" s="78">
        <v>4</v>
      </c>
      <c r="I713" s="78">
        <v>2</v>
      </c>
      <c r="J713" s="44">
        <v>1377</v>
      </c>
      <c r="K713" s="44">
        <v>1273</v>
      </c>
      <c r="L713" s="44">
        <v>0</v>
      </c>
      <c r="M713" s="79">
        <v>50</v>
      </c>
      <c r="N713" s="129">
        <f t="shared" si="274"/>
        <v>4157310.9491940001</v>
      </c>
      <c r="O713" s="44"/>
      <c r="P713" s="68">
        <v>1051075.2086485</v>
      </c>
      <c r="Q713" s="68"/>
      <c r="R713" s="68">
        <f t="shared" si="275"/>
        <v>129846</v>
      </c>
      <c r="S713" s="68">
        <f t="shared" si="275"/>
        <v>0</v>
      </c>
      <c r="T713" s="68">
        <f>+'Приложение №2'!E713-'Приложение №1'!P713-'Приложение №1'!R713-'Приложение №1'!S713</f>
        <v>2976389.7405455001</v>
      </c>
      <c r="U713" s="68">
        <f t="shared" si="259"/>
        <v>3265.7587974815397</v>
      </c>
      <c r="V713" s="68">
        <v>1401.2830200640001</v>
      </c>
      <c r="W713" s="80">
        <v>2024</v>
      </c>
      <c r="X713" s="29" t="e">
        <f>+#REF!-'[1]Приложение №1'!$P1854</f>
        <v>#REF!</v>
      </c>
      <c r="Z713" s="31">
        <f t="shared" si="270"/>
        <v>16166826.229999997</v>
      </c>
      <c r="AA713" s="27">
        <v>3641709.0809080796</v>
      </c>
      <c r="AB713" s="27">
        <v>1335424.4489922002</v>
      </c>
      <c r="AC713" s="27">
        <v>1395205.1725445401</v>
      </c>
      <c r="AD713" s="27">
        <v>873503.12617344002</v>
      </c>
      <c r="AE713" s="27">
        <v>0</v>
      </c>
      <c r="AF713" s="27"/>
      <c r="AG713" s="27">
        <v>120223.04998956002</v>
      </c>
      <c r="AH713" s="27">
        <v>0</v>
      </c>
      <c r="AI713" s="27">
        <v>6851229.2787581999</v>
      </c>
      <c r="AJ713" s="27">
        <v>0</v>
      </c>
      <c r="AK713" s="27">
        <v>0</v>
      </c>
      <c r="AL713" s="27">
        <v>0</v>
      </c>
      <c r="AM713" s="27">
        <v>1476960.3820000002</v>
      </c>
      <c r="AN713" s="32">
        <v>161668.2623</v>
      </c>
      <c r="AO713" s="33">
        <v>310903.42833397997</v>
      </c>
      <c r="AP713" s="84">
        <f>+N713-'Приложение №2'!E713</f>
        <v>0</v>
      </c>
      <c r="AQ713" s="29">
        <f>584753.55-R414</f>
        <v>-129846</v>
      </c>
      <c r="AR713" s="1">
        <f t="shared" si="272"/>
        <v>129846</v>
      </c>
      <c r="AS713" s="1">
        <f t="shared" si="273"/>
        <v>0</v>
      </c>
      <c r="AT713" s="29">
        <f t="shared" si="260"/>
        <v>0</v>
      </c>
      <c r="AU713" s="29">
        <f>+P713-'[6]Приложение №1'!$P681</f>
        <v>0</v>
      </c>
      <c r="AV713" s="29">
        <f>+Q713-'[6]Приложение №1'!$Q681</f>
        <v>0</v>
      </c>
      <c r="AW713" s="29">
        <f>+R713-'[6]Приложение №1'!$R681</f>
        <v>0</v>
      </c>
      <c r="AX713" s="29">
        <f>+S713-'[6]Приложение №1'!$S681</f>
        <v>0</v>
      </c>
      <c r="AY713" s="29">
        <f>+T713-'[6]Приложение №1'!$T681</f>
        <v>0</v>
      </c>
    </row>
    <row r="714" spans="1:51" x14ac:dyDescent="0.25">
      <c r="A714" s="133">
        <f t="shared" si="271"/>
        <v>696</v>
      </c>
      <c r="B714" s="132">
        <f t="shared" si="271"/>
        <v>234</v>
      </c>
      <c r="C714" s="77" t="s">
        <v>50</v>
      </c>
      <c r="D714" s="77" t="s">
        <v>514</v>
      </c>
      <c r="E714" s="78">
        <v>1968</v>
      </c>
      <c r="F714" s="78">
        <v>2013</v>
      </c>
      <c r="G714" s="78" t="s">
        <v>44</v>
      </c>
      <c r="H714" s="78">
        <v>4</v>
      </c>
      <c r="I714" s="78">
        <v>2</v>
      </c>
      <c r="J714" s="44">
        <v>1327.8</v>
      </c>
      <c r="K714" s="44">
        <v>1187.9000000000001</v>
      </c>
      <c r="L714" s="44">
        <v>88.4</v>
      </c>
      <c r="M714" s="79">
        <v>51</v>
      </c>
      <c r="N714" s="129">
        <f t="shared" si="274"/>
        <v>3931333.1229040008</v>
      </c>
      <c r="O714" s="44"/>
      <c r="P714" s="68">
        <v>981537.54032600031</v>
      </c>
      <c r="Q714" s="68"/>
      <c r="R714" s="68">
        <f t="shared" si="275"/>
        <v>139199.4</v>
      </c>
      <c r="S714" s="68">
        <f t="shared" si="275"/>
        <v>0</v>
      </c>
      <c r="T714" s="68">
        <f>+'Приложение №2'!E714-'Приложение №1'!P714-'Приложение №1'!R714-'Приложение №1'!S714</f>
        <v>2810596.1825780007</v>
      </c>
      <c r="U714" s="68">
        <f t="shared" si="259"/>
        <v>3309.4815412947223</v>
      </c>
      <c r="V714" s="68">
        <v>1402.2830200640001</v>
      </c>
      <c r="W714" s="80">
        <v>2024</v>
      </c>
      <c r="X714" s="29" t="e">
        <f>+#REF!-'[1]Приложение №1'!$P1855</f>
        <v>#REF!</v>
      </c>
      <c r="Z714" s="31">
        <f t="shared" si="270"/>
        <v>15295757.840000004</v>
      </c>
      <c r="AA714" s="27">
        <v>3445493.8413932403</v>
      </c>
      <c r="AB714" s="27">
        <v>1263471.7949082602</v>
      </c>
      <c r="AC714" s="27">
        <v>1320031.53024918</v>
      </c>
      <c r="AD714" s="27">
        <v>826438.78871232003</v>
      </c>
      <c r="AE714" s="27">
        <v>0</v>
      </c>
      <c r="AF714" s="27"/>
      <c r="AG714" s="27">
        <v>113745.43921776001</v>
      </c>
      <c r="AH714" s="27">
        <v>0</v>
      </c>
      <c r="AI714" s="27">
        <v>6482085.1365060005</v>
      </c>
      <c r="AJ714" s="27">
        <v>0</v>
      </c>
      <c r="AK714" s="27">
        <v>0</v>
      </c>
      <c r="AL714" s="27">
        <v>0</v>
      </c>
      <c r="AM714" s="27">
        <v>1397381.7750000001</v>
      </c>
      <c r="AN714" s="32">
        <v>152957.5784</v>
      </c>
      <c r="AO714" s="33">
        <v>294151.95561324002</v>
      </c>
      <c r="AP714" s="84">
        <f>+N714-'Приложение №2'!E714</f>
        <v>0</v>
      </c>
      <c r="AQ714" s="29">
        <f>494971.38-R422</f>
        <v>-139199.40000000002</v>
      </c>
      <c r="AR714" s="1">
        <f t="shared" si="272"/>
        <v>139199.4</v>
      </c>
      <c r="AS714" s="1">
        <f>+(K714*10+L714*20)*12*30-S422</f>
        <v>0</v>
      </c>
      <c r="AT714" s="29">
        <f t="shared" si="260"/>
        <v>0</v>
      </c>
      <c r="AU714" s="29">
        <f>+P714-'[6]Приложение №1'!$P682</f>
        <v>0</v>
      </c>
      <c r="AV714" s="29">
        <f>+Q714-'[6]Приложение №1'!$Q682</f>
        <v>0</v>
      </c>
      <c r="AW714" s="29">
        <f>+R714-'[6]Приложение №1'!$R682</f>
        <v>0</v>
      </c>
      <c r="AX714" s="29">
        <f>+S714-'[6]Приложение №1'!$S682</f>
        <v>0</v>
      </c>
      <c r="AY714" s="29">
        <f>+T714-'[6]Приложение №1'!$T682</f>
        <v>0</v>
      </c>
    </row>
    <row r="715" spans="1:51" x14ac:dyDescent="0.25">
      <c r="A715" s="133">
        <f t="shared" si="271"/>
        <v>697</v>
      </c>
      <c r="B715" s="132">
        <f t="shared" si="271"/>
        <v>235</v>
      </c>
      <c r="C715" s="77" t="s">
        <v>50</v>
      </c>
      <c r="D715" s="77" t="s">
        <v>419</v>
      </c>
      <c r="E715" s="78">
        <v>1991</v>
      </c>
      <c r="F715" s="78">
        <v>2015</v>
      </c>
      <c r="G715" s="78" t="s">
        <v>44</v>
      </c>
      <c r="H715" s="78">
        <v>9</v>
      </c>
      <c r="I715" s="78">
        <v>3</v>
      </c>
      <c r="J715" s="44">
        <v>6893.1</v>
      </c>
      <c r="K715" s="44">
        <v>6102.4</v>
      </c>
      <c r="L715" s="44">
        <v>65.5</v>
      </c>
      <c r="M715" s="79">
        <v>255</v>
      </c>
      <c r="N715" s="129">
        <f t="shared" si="274"/>
        <v>21500334.586100001</v>
      </c>
      <c r="O715" s="44"/>
      <c r="P715" s="68">
        <v>4707435.7713200003</v>
      </c>
      <c r="Q715" s="68"/>
      <c r="R715" s="68">
        <f>+AR715</f>
        <v>842274.75119999982</v>
      </c>
      <c r="S715" s="68">
        <v>0</v>
      </c>
      <c r="T715" s="68">
        <f>+'Приложение №2'!E715-'Приложение №1'!P715-'Приложение №1'!R715-'Приложение №1'!S715</f>
        <v>15950624.063580001</v>
      </c>
      <c r="U715" s="68">
        <f t="shared" si="259"/>
        <v>3523.2588139256691</v>
      </c>
      <c r="V715" s="68">
        <v>1403.2830200640001</v>
      </c>
      <c r="W715" s="80">
        <v>2024</v>
      </c>
      <c r="X715" s="29" t="e">
        <f>+#REF!-'[1]Приложение №1'!$P1533</f>
        <v>#REF!</v>
      </c>
      <c r="Z715" s="31">
        <f t="shared" si="270"/>
        <v>135273087.03</v>
      </c>
      <c r="AA715" s="27">
        <v>14114712.016718039</v>
      </c>
      <c r="AB715" s="27">
        <v>9686997.1466872804</v>
      </c>
      <c r="AC715" s="27">
        <v>5896650.3147518393</v>
      </c>
      <c r="AD715" s="27">
        <v>5320168.0919898003</v>
      </c>
      <c r="AE715" s="27">
        <v>0</v>
      </c>
      <c r="AF715" s="27"/>
      <c r="AG715" s="27">
        <v>679030.95234239998</v>
      </c>
      <c r="AH715" s="27">
        <v>0</v>
      </c>
      <c r="AI715" s="27">
        <v>6885510.0487487996</v>
      </c>
      <c r="AJ715" s="27">
        <v>0</v>
      </c>
      <c r="AK715" s="27">
        <v>59777000.180442296</v>
      </c>
      <c r="AL715" s="27">
        <v>15720059.33396766</v>
      </c>
      <c r="AM715" s="27">
        <v>13258054.825500002</v>
      </c>
      <c r="AN715" s="32">
        <v>1352730.8703000001</v>
      </c>
      <c r="AO715" s="33">
        <v>2582173.2485518805</v>
      </c>
      <c r="AP715" s="84">
        <f>+N715-'Приложение №2'!E715</f>
        <v>0</v>
      </c>
      <c r="AQ715" s="29" t="e">
        <f>3490024.25-#REF!-R423</f>
        <v>#REF!</v>
      </c>
      <c r="AR715" s="1">
        <f t="shared" ref="AR715:AR721" si="276">+(K715*13.29+L715*22.52)*12*0.85</f>
        <v>842274.75119999982</v>
      </c>
      <c r="AS715" s="1" t="e">
        <f>+(K715*13.29+L715*22.52)*12*30-#REF!-S423</f>
        <v>#REF!</v>
      </c>
      <c r="AT715" s="29" t="e">
        <f t="shared" si="260"/>
        <v>#REF!</v>
      </c>
      <c r="AU715" s="29">
        <f>+P715-'[6]Приложение №1'!$P683</f>
        <v>0</v>
      </c>
      <c r="AV715" s="29">
        <f>+Q715-'[6]Приложение №1'!$Q683</f>
        <v>0</v>
      </c>
      <c r="AW715" s="29">
        <f>+R715-'[6]Приложение №1'!$R683</f>
        <v>0</v>
      </c>
      <c r="AX715" s="29">
        <f>+S715-'[6]Приложение №1'!$S683</f>
        <v>0</v>
      </c>
      <c r="AY715" s="29">
        <f>+T715-'[6]Приложение №1'!$T683</f>
        <v>0</v>
      </c>
    </row>
    <row r="716" spans="1:51" x14ac:dyDescent="0.25">
      <c r="A716" s="133">
        <f t="shared" si="271"/>
        <v>698</v>
      </c>
      <c r="B716" s="132">
        <f t="shared" si="271"/>
        <v>236</v>
      </c>
      <c r="C716" s="77" t="s">
        <v>50</v>
      </c>
      <c r="D716" s="77" t="s">
        <v>247</v>
      </c>
      <c r="E716" s="78">
        <v>1992</v>
      </c>
      <c r="F716" s="78">
        <v>2016</v>
      </c>
      <c r="G716" s="78" t="s">
        <v>44</v>
      </c>
      <c r="H716" s="78">
        <v>9</v>
      </c>
      <c r="I716" s="78">
        <v>3</v>
      </c>
      <c r="J716" s="44">
        <v>6894.8</v>
      </c>
      <c r="K716" s="44">
        <v>6109.5</v>
      </c>
      <c r="L716" s="44">
        <v>0</v>
      </c>
      <c r="M716" s="79">
        <v>249</v>
      </c>
      <c r="N716" s="129">
        <f t="shared" si="274"/>
        <v>51456537.748099998</v>
      </c>
      <c r="O716" s="44"/>
      <c r="P716" s="68">
        <v>4959238.5646800017</v>
      </c>
      <c r="Q716" s="68"/>
      <c r="R716" s="68">
        <f t="shared" ref="R716:R722" si="277">+AQ716+AR716</f>
        <v>4228044.5309999995</v>
      </c>
      <c r="S716" s="68">
        <f>+AS716</f>
        <v>29230291.799999993</v>
      </c>
      <c r="T716" s="68">
        <f>+'Приложение №2'!E716-'Приложение №1'!P716-'Приложение №1'!R716-'Приложение №1'!S716</f>
        <v>13038962.852420006</v>
      </c>
      <c r="U716" s="68">
        <f t="shared" si="259"/>
        <v>8422.3811683607491</v>
      </c>
      <c r="V716" s="68">
        <v>1404.2830200640001</v>
      </c>
      <c r="W716" s="80">
        <v>2024</v>
      </c>
      <c r="X716" s="29" t="e">
        <f>+#REF!-'[1]Приложение №1'!$P828</f>
        <v>#REF!</v>
      </c>
      <c r="Z716" s="31">
        <f t="shared" si="270"/>
        <v>57606078.690000005</v>
      </c>
      <c r="AA716" s="27">
        <v>13823112.483911639</v>
      </c>
      <c r="AB716" s="27">
        <v>9486870.9391226396</v>
      </c>
      <c r="AC716" s="27">
        <v>5774829.8742573597</v>
      </c>
      <c r="AD716" s="27">
        <v>5210257.3459977591</v>
      </c>
      <c r="AE716" s="27">
        <v>0</v>
      </c>
      <c r="AF716" s="27"/>
      <c r="AG716" s="27">
        <v>665002.67436960002</v>
      </c>
      <c r="AH716" s="27">
        <v>0</v>
      </c>
      <c r="AI716" s="27">
        <v>0</v>
      </c>
      <c r="AJ716" s="27">
        <v>0</v>
      </c>
      <c r="AK716" s="27">
        <v>0</v>
      </c>
      <c r="AL716" s="27">
        <v>15395294.52263166</v>
      </c>
      <c r="AM716" s="27">
        <v>5573480.1550000012</v>
      </c>
      <c r="AN716" s="32">
        <v>576060.78690000006</v>
      </c>
      <c r="AO716" s="33">
        <v>1101169.9078093402</v>
      </c>
      <c r="AP716" s="84">
        <f>+N716-'Приложение №2'!E716</f>
        <v>0</v>
      </c>
      <c r="AQ716" s="1">
        <v>3399852.93</v>
      </c>
      <c r="AR716" s="1">
        <f t="shared" si="276"/>
        <v>828191.60099999979</v>
      </c>
      <c r="AS716" s="1">
        <f>+(K716*13.29+L716*22.52)*12*30</f>
        <v>29230291.799999993</v>
      </c>
      <c r="AT716" s="29">
        <f t="shared" si="260"/>
        <v>0</v>
      </c>
      <c r="AU716" s="29">
        <f>+P716-'[6]Приложение №1'!$P684</f>
        <v>0</v>
      </c>
      <c r="AV716" s="29">
        <f>+Q716-'[6]Приложение №1'!$Q684</f>
        <v>0</v>
      </c>
      <c r="AW716" s="29">
        <f>+R716-'[6]Приложение №1'!$R684</f>
        <v>0</v>
      </c>
      <c r="AX716" s="29">
        <f>+S716-'[6]Приложение №1'!$S684</f>
        <v>0</v>
      </c>
      <c r="AY716" s="29">
        <f>+T716-'[6]Приложение №1'!$T684</f>
        <v>0</v>
      </c>
    </row>
    <row r="717" spans="1:51" x14ac:dyDescent="0.25">
      <c r="A717" s="133">
        <f t="shared" si="271"/>
        <v>699</v>
      </c>
      <c r="B717" s="132">
        <f t="shared" si="271"/>
        <v>237</v>
      </c>
      <c r="C717" s="77" t="s">
        <v>50</v>
      </c>
      <c r="D717" s="77" t="s">
        <v>251</v>
      </c>
      <c r="E717" s="78">
        <v>1983</v>
      </c>
      <c r="F717" s="78">
        <v>2015</v>
      </c>
      <c r="G717" s="78" t="s">
        <v>44</v>
      </c>
      <c r="H717" s="78">
        <v>9</v>
      </c>
      <c r="I717" s="78">
        <v>1</v>
      </c>
      <c r="J717" s="44">
        <v>5368</v>
      </c>
      <c r="K717" s="44">
        <v>4278.88</v>
      </c>
      <c r="L717" s="44">
        <v>61.4</v>
      </c>
      <c r="M717" s="79">
        <v>194</v>
      </c>
      <c r="N717" s="129">
        <f t="shared" si="274"/>
        <v>4344120.7939999998</v>
      </c>
      <c r="O717" s="44"/>
      <c r="P717" s="68"/>
      <c r="Q717" s="68"/>
      <c r="R717" s="68">
        <f t="shared" si="277"/>
        <v>3029155.0006399998</v>
      </c>
      <c r="S717" s="68">
        <f>+'Приложение №2'!E717-'Приложение №1'!R717</f>
        <v>1314965.79336</v>
      </c>
      <c r="T717" s="68">
        <v>0</v>
      </c>
      <c r="U717" s="68">
        <f t="shared" si="259"/>
        <v>1015.2471660808435</v>
      </c>
      <c r="V717" s="68">
        <v>1405.2830200640001</v>
      </c>
      <c r="W717" s="80">
        <v>2024</v>
      </c>
      <c r="X717" s="29" t="e">
        <f>+#REF!-'[1]Приложение №1'!$P832</f>
        <v>#REF!</v>
      </c>
      <c r="Z717" s="31">
        <f t="shared" si="270"/>
        <v>4881034.5999999996</v>
      </c>
      <c r="AA717" s="27">
        <v>0</v>
      </c>
      <c r="AB717" s="27">
        <v>0</v>
      </c>
      <c r="AC717" s="27">
        <v>4251156.6090083998</v>
      </c>
      <c r="AD717" s="27">
        <v>0</v>
      </c>
      <c r="AE717" s="27">
        <v>0</v>
      </c>
      <c r="AF717" s="27"/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488103.45999999996</v>
      </c>
      <c r="AN717" s="32">
        <v>48810.345999999998</v>
      </c>
      <c r="AO717" s="33">
        <v>92964.184991599992</v>
      </c>
      <c r="AP717" s="84">
        <f>+N717-'Приложение №2'!E717</f>
        <v>0</v>
      </c>
      <c r="AQ717" s="1">
        <v>2435014.7599999998</v>
      </c>
      <c r="AR717" s="1">
        <f t="shared" si="276"/>
        <v>594140.24063999997</v>
      </c>
      <c r="AS717" s="1">
        <f>+(K717*13.29+L717*22.52)*12*30</f>
        <v>20969655.551999997</v>
      </c>
      <c r="AT717" s="29">
        <f t="shared" si="260"/>
        <v>-19654689.758639999</v>
      </c>
      <c r="AU717" s="29">
        <f>+P717-'[6]Приложение №1'!$P685</f>
        <v>0</v>
      </c>
      <c r="AV717" s="29">
        <f>+Q717-'[6]Приложение №1'!$Q685</f>
        <v>0</v>
      </c>
      <c r="AW717" s="29">
        <f>+R717-'[6]Приложение №1'!$R685</f>
        <v>0</v>
      </c>
      <c r="AX717" s="29">
        <f>+S717-'[6]Приложение №1'!$S685</f>
        <v>0</v>
      </c>
      <c r="AY717" s="29">
        <f>+T717-'[6]Приложение №1'!$T685</f>
        <v>0</v>
      </c>
    </row>
    <row r="718" spans="1:51" x14ac:dyDescent="0.25">
      <c r="A718" s="133">
        <f t="shared" si="271"/>
        <v>700</v>
      </c>
      <c r="B718" s="132">
        <f t="shared" si="271"/>
        <v>238</v>
      </c>
      <c r="C718" s="77" t="s">
        <v>50</v>
      </c>
      <c r="D718" s="77" t="s">
        <v>515</v>
      </c>
      <c r="E718" s="78">
        <v>1992</v>
      </c>
      <c r="F718" s="78">
        <v>2013</v>
      </c>
      <c r="G718" s="78" t="s">
        <v>44</v>
      </c>
      <c r="H718" s="78">
        <v>9</v>
      </c>
      <c r="I718" s="78">
        <v>1</v>
      </c>
      <c r="J718" s="44">
        <v>2277.4</v>
      </c>
      <c r="K718" s="44">
        <v>2020.55</v>
      </c>
      <c r="L718" s="44">
        <v>0</v>
      </c>
      <c r="M718" s="79">
        <v>98</v>
      </c>
      <c r="N718" s="129">
        <f t="shared" si="274"/>
        <v>3266851.3906</v>
      </c>
      <c r="O718" s="44"/>
      <c r="P718" s="68"/>
      <c r="Q718" s="68"/>
      <c r="R718" s="68">
        <f t="shared" si="277"/>
        <v>1485822.2269000001</v>
      </c>
      <c r="S718" s="68">
        <f>+'Приложение №2'!E718-'Приложение №1'!R718</f>
        <v>1781029.1636999999</v>
      </c>
      <c r="T718" s="68">
        <v>0</v>
      </c>
      <c r="U718" s="68">
        <f t="shared" si="259"/>
        <v>1616.8129423176858</v>
      </c>
      <c r="V718" s="68">
        <v>1406.2830200640001</v>
      </c>
      <c r="W718" s="80">
        <v>2024</v>
      </c>
      <c r="X718" s="29" t="e">
        <f>+#REF!-'[1]Приложение №1'!$P1622</f>
        <v>#REF!</v>
      </c>
      <c r="Z718" s="31">
        <f t="shared" si="270"/>
        <v>9135122.7100000009</v>
      </c>
      <c r="AA718" s="27">
        <v>4658192.5833370192</v>
      </c>
      <c r="AB718" s="27">
        <v>3196940.7708411599</v>
      </c>
      <c r="AC718" s="27">
        <v>0</v>
      </c>
      <c r="AD718" s="27">
        <v>0</v>
      </c>
      <c r="AE718" s="27">
        <v>0</v>
      </c>
      <c r="AF718" s="27"/>
      <c r="AG718" s="27">
        <v>224096.45637120001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787865.27960000001</v>
      </c>
      <c r="AN718" s="32">
        <v>91351.227099999989</v>
      </c>
      <c r="AO718" s="33">
        <v>176676.39275062</v>
      </c>
      <c r="AP718" s="84">
        <f>+N718-'Приложение №2'!E718</f>
        <v>0</v>
      </c>
      <c r="AQ718" s="1">
        <v>1211920.51</v>
      </c>
      <c r="AR718" s="1">
        <f t="shared" si="276"/>
        <v>273901.7169</v>
      </c>
      <c r="AS718" s="1">
        <f>+(K718*13.29+L718*22.52)*12*30</f>
        <v>9667119.4199999999</v>
      </c>
      <c r="AT718" s="29">
        <f t="shared" si="260"/>
        <v>-7886090.2563000005</v>
      </c>
      <c r="AU718" s="29">
        <f>+P718-'[6]Приложение №1'!$P686</f>
        <v>0</v>
      </c>
      <c r="AV718" s="29">
        <f>+Q718-'[6]Приложение №1'!$Q686</f>
        <v>0</v>
      </c>
      <c r="AW718" s="29">
        <f>+R718-'[6]Приложение №1'!$R686</f>
        <v>0</v>
      </c>
      <c r="AX718" s="29">
        <f>+S718-'[6]Приложение №1'!$S686</f>
        <v>0</v>
      </c>
      <c r="AY718" s="29">
        <f>+T718-'[6]Приложение №1'!$T686</f>
        <v>0</v>
      </c>
    </row>
    <row r="719" spans="1:51" x14ac:dyDescent="0.25">
      <c r="A719" s="133">
        <f t="shared" si="271"/>
        <v>701</v>
      </c>
      <c r="B719" s="132">
        <f t="shared" si="271"/>
        <v>239</v>
      </c>
      <c r="C719" s="77" t="s">
        <v>50</v>
      </c>
      <c r="D719" s="77" t="s">
        <v>516</v>
      </c>
      <c r="E719" s="78">
        <v>1992</v>
      </c>
      <c r="F719" s="78">
        <v>2015</v>
      </c>
      <c r="G719" s="78" t="s">
        <v>44</v>
      </c>
      <c r="H719" s="78">
        <v>9</v>
      </c>
      <c r="I719" s="78">
        <v>1</v>
      </c>
      <c r="J719" s="44">
        <v>2197.1999999999998</v>
      </c>
      <c r="K719" s="44">
        <v>1934.5</v>
      </c>
      <c r="L719" s="44">
        <v>60.3</v>
      </c>
      <c r="M719" s="79">
        <v>70</v>
      </c>
      <c r="N719" s="129">
        <f t="shared" si="274"/>
        <v>3137273.6384000005</v>
      </c>
      <c r="O719" s="44"/>
      <c r="P719" s="68"/>
      <c r="Q719" s="68"/>
      <c r="R719" s="68">
        <f t="shared" si="277"/>
        <v>1415988.7621999998</v>
      </c>
      <c r="S719" s="68">
        <f>+'Приложение №2'!E719-'Приложение №1'!R719</f>
        <v>1721284.8762000003</v>
      </c>
      <c r="T719" s="68">
        <v>2.3283064365386963E-10</v>
      </c>
      <c r="U719" s="68">
        <f t="shared" si="259"/>
        <v>1621.7491023003363</v>
      </c>
      <c r="V719" s="68">
        <v>1407.2830200640001</v>
      </c>
      <c r="W719" s="80">
        <v>2024</v>
      </c>
      <c r="X719" s="29" t="e">
        <f>+#REF!-'[1]Приложение №1'!$P1623</f>
        <v>#REF!</v>
      </c>
      <c r="Z719" s="31">
        <f t="shared" si="270"/>
        <v>8772783.4000000022</v>
      </c>
      <c r="AA719" s="27">
        <v>4473428.0922458405</v>
      </c>
      <c r="AB719" s="27">
        <v>3070135.98253824</v>
      </c>
      <c r="AC719" s="27">
        <v>0</v>
      </c>
      <c r="AD719" s="27">
        <v>0</v>
      </c>
      <c r="AE719" s="27">
        <v>0</v>
      </c>
      <c r="AF719" s="27"/>
      <c r="AG719" s="27">
        <v>215207.80125600001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756615.06319999998</v>
      </c>
      <c r="AN719" s="32">
        <v>87727.834000000003</v>
      </c>
      <c r="AO719" s="33">
        <v>169668.62675992004</v>
      </c>
      <c r="AP719" s="84">
        <f>+N719-'Приложение №2'!E719</f>
        <v>0</v>
      </c>
      <c r="AQ719" s="1">
        <v>1139900.6599999999</v>
      </c>
      <c r="AR719" s="1">
        <f t="shared" si="276"/>
        <v>276088.10219999996</v>
      </c>
      <c r="AS719" s="1">
        <f>+(K719*13.29+L719*22.52)*12*30</f>
        <v>9744285.959999999</v>
      </c>
      <c r="AT719" s="29">
        <f t="shared" si="260"/>
        <v>-8023001.0837999992</v>
      </c>
      <c r="AU719" s="29">
        <f>+P719-'[6]Приложение №1'!$P687</f>
        <v>0</v>
      </c>
      <c r="AV719" s="29">
        <f>+Q719-'[6]Приложение №1'!$Q687</f>
        <v>0</v>
      </c>
      <c r="AW719" s="29">
        <f>+R719-'[6]Приложение №1'!$R687</f>
        <v>0</v>
      </c>
      <c r="AX719" s="29">
        <f>+S719-'[6]Приложение №1'!$S687</f>
        <v>0</v>
      </c>
      <c r="AY719" s="29">
        <f>+T719-'[6]Приложение №1'!$T687</f>
        <v>0</v>
      </c>
    </row>
    <row r="720" spans="1:51" x14ac:dyDescent="0.25">
      <c r="A720" s="133">
        <f t="shared" si="271"/>
        <v>702</v>
      </c>
      <c r="B720" s="132">
        <f t="shared" si="271"/>
        <v>240</v>
      </c>
      <c r="C720" s="77" t="s">
        <v>50</v>
      </c>
      <c r="D720" s="77" t="s">
        <v>517</v>
      </c>
      <c r="E720" s="78">
        <v>1991</v>
      </c>
      <c r="F720" s="78">
        <v>2012</v>
      </c>
      <c r="G720" s="78" t="s">
        <v>44</v>
      </c>
      <c r="H720" s="78">
        <v>9</v>
      </c>
      <c r="I720" s="78">
        <v>1</v>
      </c>
      <c r="J720" s="44">
        <v>2282.58</v>
      </c>
      <c r="K720" s="44">
        <v>1973.3</v>
      </c>
      <c r="L720" s="44">
        <v>54.5</v>
      </c>
      <c r="M720" s="79">
        <v>71</v>
      </c>
      <c r="N720" s="129">
        <f t="shared" si="274"/>
        <v>3602238.3189560003</v>
      </c>
      <c r="O720" s="44"/>
      <c r="P720" s="68"/>
      <c r="Q720" s="68"/>
      <c r="R720" s="68">
        <f t="shared" si="277"/>
        <v>0</v>
      </c>
      <c r="S720" s="68">
        <f>+'Приложение №2'!E720-'Приложение №1'!R720</f>
        <v>3602238.3189560003</v>
      </c>
      <c r="T720" s="68">
        <v>0</v>
      </c>
      <c r="U720" s="68">
        <f t="shared" si="259"/>
        <v>1825.4894435493845</v>
      </c>
      <c r="V720" s="68">
        <v>1408.2830200640001</v>
      </c>
      <c r="W720" s="80">
        <v>2024</v>
      </c>
      <c r="X720" s="29" t="e">
        <f>+#REF!-'[1]Приложение №1'!$P1859</f>
        <v>#REF!</v>
      </c>
      <c r="Z720" s="31">
        <f t="shared" si="270"/>
        <v>11449528.669999998</v>
      </c>
      <c r="AA720" s="27">
        <v>4690983.077540759</v>
      </c>
      <c r="AB720" s="27">
        <v>3219445.0464132596</v>
      </c>
      <c r="AC720" s="27">
        <v>1959734.4140967599</v>
      </c>
      <c r="AD720" s="27">
        <v>0</v>
      </c>
      <c r="AE720" s="27">
        <v>0</v>
      </c>
      <c r="AF720" s="27"/>
      <c r="AG720" s="27">
        <v>225673.94234783997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1018421.4066000001</v>
      </c>
      <c r="AN720" s="32">
        <v>114495.28669999998</v>
      </c>
      <c r="AO720" s="33">
        <v>220775.49630137999</v>
      </c>
      <c r="AP720" s="84">
        <f>+N720-'Приложение №2'!E720</f>
        <v>0</v>
      </c>
      <c r="AQ720" s="29">
        <f>908232.22-R431</f>
        <v>-280015.46940000006</v>
      </c>
      <c r="AR720" s="1">
        <f t="shared" si="276"/>
        <v>280015.4694</v>
      </c>
      <c r="AS720" s="1">
        <f>+(K720*13.29+L720*22.52)*12*30-S431</f>
        <v>8878545.0139860008</v>
      </c>
      <c r="AT720" s="29">
        <f t="shared" si="260"/>
        <v>-5276306.6950300001</v>
      </c>
      <c r="AU720" s="29">
        <f>+P720-'[6]Приложение №1'!$P688</f>
        <v>0</v>
      </c>
      <c r="AV720" s="29">
        <f>+Q720-'[6]Приложение №1'!$Q688</f>
        <v>0</v>
      </c>
      <c r="AW720" s="29">
        <f>+R720-'[6]Приложение №1'!$R688</f>
        <v>0</v>
      </c>
      <c r="AX720" s="29">
        <f>+S720-'[6]Приложение №1'!$S688</f>
        <v>0</v>
      </c>
      <c r="AY720" s="29">
        <f>+T720-'[6]Приложение №1'!$T688</f>
        <v>0</v>
      </c>
    </row>
    <row r="721" spans="1:51" s="35" customFormat="1" x14ac:dyDescent="0.25">
      <c r="A721" s="133">
        <f t="shared" si="271"/>
        <v>703</v>
      </c>
      <c r="B721" s="132">
        <f t="shared" si="271"/>
        <v>241</v>
      </c>
      <c r="C721" s="77" t="s">
        <v>50</v>
      </c>
      <c r="D721" s="77" t="s">
        <v>656</v>
      </c>
      <c r="E721" s="78" t="s">
        <v>627</v>
      </c>
      <c r="F721" s="78" t="s">
        <v>627</v>
      </c>
      <c r="G721" s="78" t="s">
        <v>570</v>
      </c>
      <c r="H721" s="78" t="s">
        <v>571</v>
      </c>
      <c r="I721" s="78" t="s">
        <v>576</v>
      </c>
      <c r="J721" s="44">
        <v>2491.9</v>
      </c>
      <c r="K721" s="44">
        <v>1556.5</v>
      </c>
      <c r="L721" s="44">
        <v>0</v>
      </c>
      <c r="M721" s="79">
        <v>87</v>
      </c>
      <c r="N721" s="129">
        <f t="shared" si="274"/>
        <v>3591360</v>
      </c>
      <c r="O721" s="44">
        <v>0</v>
      </c>
      <c r="P721" s="68"/>
      <c r="Q721" s="68">
        <v>0</v>
      </c>
      <c r="R721" s="68">
        <f t="shared" si="277"/>
        <v>770202.03700000001</v>
      </c>
      <c r="S721" s="68">
        <f>+'Приложение №2'!E721-'Приложение №1'!R721</f>
        <v>2821157.963</v>
      </c>
      <c r="T721" s="68">
        <v>0</v>
      </c>
      <c r="U721" s="68">
        <f t="shared" si="259"/>
        <v>2307.330549309348</v>
      </c>
      <c r="V721" s="68">
        <v>1409.2830200640001</v>
      </c>
      <c r="W721" s="80">
        <v>2024</v>
      </c>
      <c r="X721" s="35">
        <v>387429.28</v>
      </c>
      <c r="Y721" s="35">
        <f>+(K721*12.08+L721*20.47)*12</f>
        <v>225630.24</v>
      </c>
      <c r="AA721" s="36">
        <f>+N721-'[5]Приложение № 2'!E655</f>
        <v>-2358424.1576571837</v>
      </c>
      <c r="AD721" s="36">
        <f>+N721-'[5]Приложение № 2'!E655</f>
        <v>-2358424.1576571837</v>
      </c>
      <c r="AP721" s="84">
        <f>+N721-'Приложение №2'!E721</f>
        <v>0</v>
      </c>
      <c r="AQ721" s="35">
        <v>559206.01</v>
      </c>
      <c r="AR721" s="1">
        <f t="shared" si="276"/>
        <v>210996.027</v>
      </c>
      <c r="AS721" s="1">
        <f>+(K721*13.29+L721*22.52)*12*30</f>
        <v>7446918.5999999996</v>
      </c>
      <c r="AT721" s="29">
        <f t="shared" si="260"/>
        <v>-4625760.6370000001</v>
      </c>
      <c r="AU721" s="29">
        <f>+P721-'[6]Приложение №1'!$P689</f>
        <v>0</v>
      </c>
      <c r="AV721" s="29">
        <f>+Q721-'[6]Приложение №1'!$Q689</f>
        <v>0</v>
      </c>
      <c r="AW721" s="29">
        <f>+R721-'[6]Приложение №1'!$R689</f>
        <v>0</v>
      </c>
      <c r="AX721" s="29">
        <f>+S721-'[6]Приложение №1'!$S689</f>
        <v>0</v>
      </c>
      <c r="AY721" s="29">
        <f>+T721-'[6]Приложение №1'!$T689</f>
        <v>0</v>
      </c>
    </row>
    <row r="722" spans="1:51" x14ac:dyDescent="0.25">
      <c r="A722" s="133">
        <f t="shared" ref="A722:B737" si="278">+A721+1</f>
        <v>704</v>
      </c>
      <c r="B722" s="132">
        <f t="shared" si="278"/>
        <v>242</v>
      </c>
      <c r="C722" s="77" t="s">
        <v>102</v>
      </c>
      <c r="D722" s="77" t="s">
        <v>427</v>
      </c>
      <c r="E722" s="78">
        <v>1990</v>
      </c>
      <c r="F722" s="78">
        <v>2014</v>
      </c>
      <c r="G722" s="78" t="s">
        <v>51</v>
      </c>
      <c r="H722" s="78">
        <v>5</v>
      </c>
      <c r="I722" s="78">
        <v>2</v>
      </c>
      <c r="J722" s="44">
        <v>2213.5</v>
      </c>
      <c r="K722" s="44">
        <v>2213.5</v>
      </c>
      <c r="L722" s="44">
        <v>0</v>
      </c>
      <c r="M722" s="79">
        <v>93</v>
      </c>
      <c r="N722" s="129">
        <f t="shared" si="274"/>
        <v>6448840.0972000007</v>
      </c>
      <c r="O722" s="44"/>
      <c r="P722" s="68"/>
      <c r="Q722" s="68"/>
      <c r="R722" s="68">
        <f t="shared" si="277"/>
        <v>994262.34</v>
      </c>
      <c r="S722" s="68">
        <f>+'Приложение №2'!E722-'Приложение №1'!R722</f>
        <v>5454577.7572000008</v>
      </c>
      <c r="T722" s="68">
        <v>0</v>
      </c>
      <c r="U722" s="68">
        <f t="shared" si="259"/>
        <v>2913.4131905127629</v>
      </c>
      <c r="V722" s="68">
        <v>1410.2830200640001</v>
      </c>
      <c r="W722" s="80">
        <v>2024</v>
      </c>
      <c r="X722" s="29" t="e">
        <f>+#REF!-'[1]Приложение №1'!$P1209</f>
        <v>#REF!</v>
      </c>
      <c r="Z722" s="31">
        <f>SUM(AA722:AO722)</f>
        <v>7131894.3900000006</v>
      </c>
      <c r="AA722" s="27">
        <v>3861288.8462639404</v>
      </c>
      <c r="AB722" s="27">
        <v>2292533.9415640198</v>
      </c>
      <c r="AC722" s="27">
        <v>0</v>
      </c>
      <c r="AD722" s="27">
        <v>0</v>
      </c>
      <c r="AE722" s="27">
        <v>0</v>
      </c>
      <c r="AF722" s="27"/>
      <c r="AG722" s="27">
        <v>157012.13129196005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611735.34889999998</v>
      </c>
      <c r="AN722" s="32">
        <v>71318.943900000013</v>
      </c>
      <c r="AO722" s="33">
        <v>138005.17808008002</v>
      </c>
      <c r="AP722" s="84">
        <f>+N722-'Приложение №2'!E722</f>
        <v>0</v>
      </c>
      <c r="AQ722" s="34">
        <v>768485.34</v>
      </c>
      <c r="AR722" s="1">
        <f t="shared" ref="AR722:AR732" si="279">+(K722*10+L722*20)*12*0.85</f>
        <v>225777</v>
      </c>
      <c r="AS722" s="1">
        <f>+(K722*10+L722*20)*12*30</f>
        <v>7968600</v>
      </c>
      <c r="AT722" s="29">
        <f t="shared" si="260"/>
        <v>-2514022.2427999992</v>
      </c>
      <c r="AU722" s="29">
        <f>+P722-'[6]Приложение №1'!$P690</f>
        <v>0</v>
      </c>
      <c r="AV722" s="29">
        <f>+Q722-'[6]Приложение №1'!$Q690</f>
        <v>0</v>
      </c>
      <c r="AW722" s="29">
        <f>+R722-'[6]Приложение №1'!$R690</f>
        <v>0</v>
      </c>
      <c r="AX722" s="29">
        <f>+S722-'[6]Приложение №1'!$S690</f>
        <v>0</v>
      </c>
      <c r="AY722" s="29">
        <f>+T722-'[6]Приложение №1'!$T690</f>
        <v>0</v>
      </c>
    </row>
    <row r="723" spans="1:51" x14ac:dyDescent="0.25">
      <c r="A723" s="133">
        <f t="shared" si="278"/>
        <v>705</v>
      </c>
      <c r="B723" s="132">
        <f t="shared" si="278"/>
        <v>243</v>
      </c>
      <c r="C723" s="77" t="s">
        <v>103</v>
      </c>
      <c r="D723" s="77" t="s">
        <v>430</v>
      </c>
      <c r="E723" s="78">
        <v>1985</v>
      </c>
      <c r="F723" s="78">
        <v>1985</v>
      </c>
      <c r="G723" s="78" t="s">
        <v>44</v>
      </c>
      <c r="H723" s="78">
        <v>5</v>
      </c>
      <c r="I723" s="78">
        <v>1</v>
      </c>
      <c r="J723" s="44">
        <v>3093.6</v>
      </c>
      <c r="K723" s="44">
        <v>1867</v>
      </c>
      <c r="L723" s="44">
        <v>323</v>
      </c>
      <c r="M723" s="79">
        <v>98</v>
      </c>
      <c r="N723" s="129">
        <f t="shared" si="274"/>
        <v>7325775.6327</v>
      </c>
      <c r="O723" s="44"/>
      <c r="P723" s="68">
        <v>1931757.0175000001</v>
      </c>
      <c r="Q723" s="68"/>
      <c r="R723" s="68">
        <f>+AR723</f>
        <v>256326</v>
      </c>
      <c r="S723" s="68">
        <f>+AS723</f>
        <v>4551091.2824605983</v>
      </c>
      <c r="T723" s="68">
        <f>+'Приложение №2'!E723-'Приложение №1'!P723-'Приложение №1'!Q723-'Приложение №1'!R723-'Приложение №1'!S723</f>
        <v>586601.33273940161</v>
      </c>
      <c r="U723" s="68">
        <f t="shared" si="259"/>
        <v>3923.8219778789503</v>
      </c>
      <c r="V723" s="68">
        <v>1411.2830200640001</v>
      </c>
      <c r="W723" s="80">
        <v>2024</v>
      </c>
      <c r="X723" s="29" t="e">
        <f>+#REF!-'[1]Приложение №1'!$P1554</f>
        <v>#REF!</v>
      </c>
      <c r="Z723" s="31">
        <f>SUM(AA723:AO723)</f>
        <v>25777981.720000003</v>
      </c>
      <c r="AA723" s="27">
        <v>6939898.4786422197</v>
      </c>
      <c r="AB723" s="27">
        <v>2544879.30231024</v>
      </c>
      <c r="AC723" s="27">
        <v>0</v>
      </c>
      <c r="AD723" s="27">
        <v>0</v>
      </c>
      <c r="AE723" s="27">
        <v>0</v>
      </c>
      <c r="AF723" s="27"/>
      <c r="AG723" s="27">
        <v>229105.55551800001</v>
      </c>
      <c r="AH723" s="27">
        <v>0</v>
      </c>
      <c r="AI723" s="27">
        <v>13056187.249110602</v>
      </c>
      <c r="AJ723" s="27">
        <v>0</v>
      </c>
      <c r="AK723" s="27">
        <v>0</v>
      </c>
      <c r="AL723" s="27">
        <v>0</v>
      </c>
      <c r="AM723" s="27">
        <v>2252195.9907</v>
      </c>
      <c r="AN723" s="32">
        <v>257779.81719999999</v>
      </c>
      <c r="AO723" s="33">
        <v>497935.32651894004</v>
      </c>
      <c r="AP723" s="84">
        <f>+N723-'Приложение №2'!E723</f>
        <v>0</v>
      </c>
      <c r="AQ723" s="29">
        <f>1012034.26-R438</f>
        <v>-256326</v>
      </c>
      <c r="AR723" s="1">
        <f t="shared" si="279"/>
        <v>256326</v>
      </c>
      <c r="AS723" s="1">
        <f>+(K723*10+L723*20)*12*30-S438</f>
        <v>4551091.2824605983</v>
      </c>
      <c r="AT723" s="29">
        <f t="shared" si="260"/>
        <v>0</v>
      </c>
      <c r="AU723" s="29">
        <f>+P723-'[6]Приложение №1'!$P691</f>
        <v>0</v>
      </c>
      <c r="AV723" s="29">
        <f>+Q723-'[6]Приложение №1'!$Q691</f>
        <v>0</v>
      </c>
      <c r="AW723" s="29">
        <f>+R723-'[6]Приложение №1'!$R691</f>
        <v>0</v>
      </c>
      <c r="AX723" s="29">
        <f>+S723-'[6]Приложение №1'!$S691</f>
        <v>0</v>
      </c>
      <c r="AY723" s="29">
        <f>+T723-'[6]Приложение №1'!$T691</f>
        <v>0</v>
      </c>
    </row>
    <row r="724" spans="1:51" x14ac:dyDescent="0.25">
      <c r="A724" s="133">
        <f t="shared" si="278"/>
        <v>706</v>
      </c>
      <c r="B724" s="132">
        <f t="shared" si="278"/>
        <v>244</v>
      </c>
      <c r="C724" s="77" t="s">
        <v>103</v>
      </c>
      <c r="D724" s="77" t="s">
        <v>431</v>
      </c>
      <c r="E724" s="78">
        <v>1985</v>
      </c>
      <c r="F724" s="78">
        <v>1985</v>
      </c>
      <c r="G724" s="78" t="s">
        <v>44</v>
      </c>
      <c r="H724" s="78">
        <v>5</v>
      </c>
      <c r="I724" s="78">
        <v>1</v>
      </c>
      <c r="J724" s="44">
        <v>3037</v>
      </c>
      <c r="K724" s="44">
        <v>2290.6999999999998</v>
      </c>
      <c r="L724" s="44">
        <v>275.7</v>
      </c>
      <c r="M724" s="79">
        <v>125</v>
      </c>
      <c r="N724" s="129">
        <f t="shared" si="274"/>
        <v>7269616.2805000003</v>
      </c>
      <c r="O724" s="44"/>
      <c r="P724" s="68">
        <v>1004622.6900000002</v>
      </c>
      <c r="Q724" s="68"/>
      <c r="R724" s="68">
        <f t="shared" ref="R724:R732" si="280">+AQ724+AR724</f>
        <v>590869.3600000001</v>
      </c>
      <c r="S724" s="68">
        <f t="shared" ref="S724:S730" si="281">+AS724</f>
        <v>4537489.25</v>
      </c>
      <c r="T724" s="68">
        <f>+'Приложение №2'!E724-'Приложение №1'!P724-'Приложение №1'!R724-'Приложение №1'!S724</f>
        <v>1136634.9804999996</v>
      </c>
      <c r="U724" s="68">
        <f t="shared" si="259"/>
        <v>3173.5348498275639</v>
      </c>
      <c r="V724" s="68">
        <v>1412.2830200640001</v>
      </c>
      <c r="W724" s="80">
        <v>2024</v>
      </c>
      <c r="X724" s="29" t="e">
        <f>+#REF!-'[1]Приложение №1'!$P1228</f>
        <v>#REF!</v>
      </c>
      <c r="Z724" s="31">
        <f>SUM(AA724:AO724)</f>
        <v>25580367.880000003</v>
      </c>
      <c r="AA724" s="27">
        <v>6886697.2620973801</v>
      </c>
      <c r="AB724" s="27">
        <v>2525370.28109184</v>
      </c>
      <c r="AC724" s="27">
        <v>0</v>
      </c>
      <c r="AD724" s="27">
        <v>0</v>
      </c>
      <c r="AE724" s="27">
        <v>0</v>
      </c>
      <c r="AF724" s="27"/>
      <c r="AG724" s="27">
        <v>227349.22999992</v>
      </c>
      <c r="AH724" s="27">
        <v>0</v>
      </c>
      <c r="AI724" s="27">
        <v>12956098.599171</v>
      </c>
      <c r="AJ724" s="27">
        <v>0</v>
      </c>
      <c r="AK724" s="27">
        <v>0</v>
      </c>
      <c r="AL724" s="27">
        <v>0</v>
      </c>
      <c r="AM724" s="27">
        <v>2234930.6713</v>
      </c>
      <c r="AN724" s="32">
        <v>255803.67880000002</v>
      </c>
      <c r="AO724" s="33">
        <v>494118.15753986</v>
      </c>
      <c r="AP724" s="84">
        <f>+N724-'Приложение №2'!E724</f>
        <v>0</v>
      </c>
      <c r="AQ724" s="1">
        <f>1087767.84-786792.68</f>
        <v>300975.16000000003</v>
      </c>
      <c r="AR724" s="1">
        <f t="shared" si="279"/>
        <v>289894.2</v>
      </c>
      <c r="AS724" s="1">
        <f>+(K724*10+L724*20)*12*30-5694070.75</f>
        <v>4537489.25</v>
      </c>
      <c r="AT724" s="29">
        <f t="shared" si="260"/>
        <v>0</v>
      </c>
      <c r="AU724" s="29">
        <f>+P724-'[6]Приложение №1'!$P692</f>
        <v>0</v>
      </c>
      <c r="AV724" s="29">
        <f>+Q724-'[6]Приложение №1'!$Q692</f>
        <v>0</v>
      </c>
      <c r="AW724" s="29">
        <f>+R724-'[6]Приложение №1'!$R692</f>
        <v>0</v>
      </c>
      <c r="AX724" s="29">
        <f>+S724-'[6]Приложение №1'!$S692</f>
        <v>0</v>
      </c>
      <c r="AY724" s="29">
        <f>+T724-'[6]Приложение №1'!$T692</f>
        <v>0</v>
      </c>
    </row>
    <row r="725" spans="1:51" s="35" customFormat="1" x14ac:dyDescent="0.25">
      <c r="A725" s="133">
        <f t="shared" si="278"/>
        <v>707</v>
      </c>
      <c r="B725" s="132">
        <f t="shared" si="278"/>
        <v>245</v>
      </c>
      <c r="C725" s="77" t="s">
        <v>628</v>
      </c>
      <c r="D725" s="77" t="s">
        <v>699</v>
      </c>
      <c r="E725" s="78" t="s">
        <v>601</v>
      </c>
      <c r="F725" s="78" t="s">
        <v>601</v>
      </c>
      <c r="G725" s="78" t="s">
        <v>570</v>
      </c>
      <c r="H725" s="78" t="s">
        <v>579</v>
      </c>
      <c r="I725" s="78" t="s">
        <v>579</v>
      </c>
      <c r="J725" s="44">
        <v>2120.65</v>
      </c>
      <c r="K725" s="44">
        <v>1602.1</v>
      </c>
      <c r="L725" s="44">
        <v>58.3</v>
      </c>
      <c r="M725" s="79">
        <v>76</v>
      </c>
      <c r="N725" s="129">
        <f t="shared" si="274"/>
        <v>13493543.713220477</v>
      </c>
      <c r="O725" s="44">
        <v>0</v>
      </c>
      <c r="P725" s="68">
        <v>1061810.4948814395</v>
      </c>
      <c r="Q725" s="68">
        <v>0</v>
      </c>
      <c r="R725" s="68">
        <f t="shared" si="280"/>
        <v>735428.12</v>
      </c>
      <c r="S725" s="68">
        <f t="shared" si="281"/>
        <v>6187320</v>
      </c>
      <c r="T725" s="68">
        <f>+'Приложение №2'!E725-'Приложение №1'!P725-'Приложение №1'!R725-'Приложение №1'!S725</f>
        <v>5508985.098339038</v>
      </c>
      <c r="U725" s="68">
        <f t="shared" si="259"/>
        <v>8422.4104071034762</v>
      </c>
      <c r="V725" s="68">
        <v>1413.2830200640001</v>
      </c>
      <c r="W725" s="80">
        <v>2024</v>
      </c>
      <c r="X725" s="35">
        <v>421077.31</v>
      </c>
      <c r="Y725" s="35">
        <f t="shared" ref="Y725:Y732" si="282">+(K725*9.1+L725*18.19)*12</f>
        <v>187675.04399999999</v>
      </c>
      <c r="AA725" s="36">
        <f>+N725-'[5]Приложение № 2'!E659</f>
        <v>-18632630.780458245</v>
      </c>
      <c r="AD725" s="36">
        <f>+N725-'[5]Приложение № 2'!E659</f>
        <v>-18632630.780458245</v>
      </c>
      <c r="AP725" s="84">
        <f>+N725-'Приложение №2'!E725</f>
        <v>0</v>
      </c>
      <c r="AQ725" s="35">
        <v>560120.72</v>
      </c>
      <c r="AR725" s="1">
        <f t="shared" si="279"/>
        <v>175307.4</v>
      </c>
      <c r="AS725" s="1">
        <f t="shared" ref="AS725:AS730" si="283">+(K725*10+L725*20)*12*30</f>
        <v>6187320</v>
      </c>
      <c r="AT725" s="29">
        <f t="shared" si="260"/>
        <v>0</v>
      </c>
      <c r="AU725" s="29">
        <f>+P725-'[6]Приложение №1'!$P693</f>
        <v>0</v>
      </c>
      <c r="AV725" s="29">
        <f>+Q725-'[6]Приложение №1'!$Q693</f>
        <v>0</v>
      </c>
      <c r="AW725" s="29">
        <f>+R725-'[6]Приложение №1'!$R693</f>
        <v>0</v>
      </c>
      <c r="AX725" s="29">
        <f>+S725-'[6]Приложение №1'!$S693</f>
        <v>0</v>
      </c>
      <c r="AY725" s="29">
        <f>+T725-'[6]Приложение №1'!$T693</f>
        <v>0</v>
      </c>
    </row>
    <row r="726" spans="1:51" s="35" customFormat="1" x14ac:dyDescent="0.25">
      <c r="A726" s="133">
        <f t="shared" si="278"/>
        <v>708</v>
      </c>
      <c r="B726" s="132">
        <f t="shared" si="278"/>
        <v>246</v>
      </c>
      <c r="C726" s="77" t="s">
        <v>628</v>
      </c>
      <c r="D726" s="77" t="s">
        <v>700</v>
      </c>
      <c r="E726" s="78" t="s">
        <v>601</v>
      </c>
      <c r="F726" s="78" t="s">
        <v>601</v>
      </c>
      <c r="G726" s="78" t="s">
        <v>570</v>
      </c>
      <c r="H726" s="78" t="s">
        <v>579</v>
      </c>
      <c r="I726" s="78" t="s">
        <v>579</v>
      </c>
      <c r="J726" s="44">
        <v>2747.6</v>
      </c>
      <c r="K726" s="44">
        <v>2270.63</v>
      </c>
      <c r="L726" s="44">
        <v>217.6</v>
      </c>
      <c r="M726" s="79">
        <v>95</v>
      </c>
      <c r="N726" s="129">
        <f t="shared" si="274"/>
        <v>17483382.935169917</v>
      </c>
      <c r="O726" s="44">
        <v>0</v>
      </c>
      <c r="P726" s="68">
        <v>1455759.210889759</v>
      </c>
      <c r="Q726" s="68">
        <v>0</v>
      </c>
      <c r="R726" s="68">
        <f t="shared" si="280"/>
        <v>961935.16</v>
      </c>
      <c r="S726" s="68">
        <f t="shared" si="281"/>
        <v>9740988.0000000019</v>
      </c>
      <c r="T726" s="68">
        <f>+'Приложение №2'!E726-'Приложение №1'!P726-'Приложение №1'!R726-'Приложение №1'!S726</f>
        <v>5324700.564280156</v>
      </c>
      <c r="U726" s="68">
        <f t="shared" si="259"/>
        <v>7699.7938612499247</v>
      </c>
      <c r="V726" s="68">
        <v>1414.2830200640001</v>
      </c>
      <c r="W726" s="80">
        <v>2024</v>
      </c>
      <c r="X726" s="35">
        <v>551877.51</v>
      </c>
      <c r="Y726" s="35">
        <f t="shared" si="282"/>
        <v>295450.52399999998</v>
      </c>
      <c r="AA726" s="36">
        <f>+N726-'[5]Приложение № 2'!E660</f>
        <v>-10000928.999034911</v>
      </c>
      <c r="AD726" s="36">
        <f>+N726-'[5]Приложение № 2'!E660</f>
        <v>-10000928.999034911</v>
      </c>
      <c r="AP726" s="84">
        <f>+N726-'Приложение №2'!E726</f>
        <v>0</v>
      </c>
      <c r="AQ726" s="35">
        <v>685940.5</v>
      </c>
      <c r="AR726" s="1">
        <f t="shared" si="279"/>
        <v>275994.66000000003</v>
      </c>
      <c r="AS726" s="1">
        <f t="shared" si="283"/>
        <v>9740988.0000000019</v>
      </c>
      <c r="AT726" s="29">
        <f t="shared" si="260"/>
        <v>0</v>
      </c>
      <c r="AU726" s="29">
        <f>+P726-'[6]Приложение №1'!$P694</f>
        <v>0</v>
      </c>
      <c r="AV726" s="29">
        <f>+Q726-'[6]Приложение №1'!$Q694</f>
        <v>0</v>
      </c>
      <c r="AW726" s="29">
        <f>+R726-'[6]Приложение №1'!$R694</f>
        <v>0</v>
      </c>
      <c r="AX726" s="29">
        <f>+S726-'[6]Приложение №1'!$S694</f>
        <v>0</v>
      </c>
      <c r="AY726" s="29">
        <f>+T726-'[6]Приложение №1'!$T694</f>
        <v>0</v>
      </c>
    </row>
    <row r="727" spans="1:51" s="35" customFormat="1" x14ac:dyDescent="0.25">
      <c r="A727" s="133">
        <f t="shared" si="278"/>
        <v>709</v>
      </c>
      <c r="B727" s="132">
        <f t="shared" si="278"/>
        <v>247</v>
      </c>
      <c r="C727" s="77" t="s">
        <v>628</v>
      </c>
      <c r="D727" s="77" t="s">
        <v>702</v>
      </c>
      <c r="E727" s="78" t="s">
        <v>587</v>
      </c>
      <c r="F727" s="78" t="s">
        <v>587</v>
      </c>
      <c r="G727" s="78" t="s">
        <v>570</v>
      </c>
      <c r="H727" s="78" t="s">
        <v>579</v>
      </c>
      <c r="I727" s="78" t="s">
        <v>579</v>
      </c>
      <c r="J727" s="44">
        <v>2879</v>
      </c>
      <c r="K727" s="44">
        <v>2169.3000000000002</v>
      </c>
      <c r="L727" s="44">
        <v>217.3</v>
      </c>
      <c r="M727" s="79">
        <v>116</v>
      </c>
      <c r="N727" s="129">
        <f t="shared" si="274"/>
        <v>25951484.897758067</v>
      </c>
      <c r="O727" s="44">
        <v>0</v>
      </c>
      <c r="P727" s="68">
        <v>3458722.2639504001</v>
      </c>
      <c r="Q727" s="68">
        <v>0</v>
      </c>
      <c r="R727" s="68">
        <f t="shared" si="280"/>
        <v>922746.27</v>
      </c>
      <c r="S727" s="68">
        <f t="shared" si="281"/>
        <v>9374040</v>
      </c>
      <c r="T727" s="68">
        <f>+'Приложение №2'!E727-'Приложение №1'!P727-'Приложение №1'!R727-'Приложение №1'!S727</f>
        <v>12195976.363807667</v>
      </c>
      <c r="U727" s="68">
        <f t="shared" ref="U727:U751" si="284">N727/K727</f>
        <v>11963.06868471768</v>
      </c>
      <c r="V727" s="68">
        <v>1415.2830200640001</v>
      </c>
      <c r="W727" s="80">
        <v>2024</v>
      </c>
      <c r="X727" s="35">
        <v>487955.39</v>
      </c>
      <c r="Y727" s="35">
        <f t="shared" si="282"/>
        <v>284319.804</v>
      </c>
      <c r="AA727" s="36">
        <f>+N727-'[5]Приложение № 2'!E661</f>
        <v>16498697.818999665</v>
      </c>
      <c r="AD727" s="36">
        <f>+N727-'[5]Приложение № 2'!E661</f>
        <v>16498697.818999665</v>
      </c>
      <c r="AP727" s="84">
        <f>+N727-'Приложение №2'!E727</f>
        <v>0</v>
      </c>
      <c r="AQ727" s="35">
        <v>657148.47</v>
      </c>
      <c r="AR727" s="1">
        <f t="shared" si="279"/>
        <v>265597.8</v>
      </c>
      <c r="AS727" s="1">
        <f t="shared" si="283"/>
        <v>9374040</v>
      </c>
      <c r="AT727" s="29">
        <f t="shared" si="260"/>
        <v>0</v>
      </c>
      <c r="AU727" s="29">
        <f>+P727-'[6]Приложение №1'!$P695</f>
        <v>0</v>
      </c>
      <c r="AV727" s="29">
        <f>+Q727-'[6]Приложение №1'!$Q695</f>
        <v>0</v>
      </c>
      <c r="AW727" s="29">
        <f>+R727-'[6]Приложение №1'!$R695</f>
        <v>0</v>
      </c>
      <c r="AX727" s="29">
        <f>+S727-'[6]Приложение №1'!$S695</f>
        <v>0</v>
      </c>
      <c r="AY727" s="29">
        <f>+T727-'[6]Приложение №1'!$T695</f>
        <v>0</v>
      </c>
    </row>
    <row r="728" spans="1:51" s="35" customFormat="1" x14ac:dyDescent="0.25">
      <c r="A728" s="133">
        <f t="shared" si="278"/>
        <v>710</v>
      </c>
      <c r="B728" s="132">
        <f t="shared" si="278"/>
        <v>248</v>
      </c>
      <c r="C728" s="77" t="s">
        <v>628</v>
      </c>
      <c r="D728" s="77" t="s">
        <v>701</v>
      </c>
      <c r="E728" s="78" t="s">
        <v>597</v>
      </c>
      <c r="F728" s="78" t="s">
        <v>597</v>
      </c>
      <c r="G728" s="78" t="s">
        <v>570</v>
      </c>
      <c r="H728" s="78" t="s">
        <v>582</v>
      </c>
      <c r="I728" s="78" t="s">
        <v>579</v>
      </c>
      <c r="J728" s="44">
        <v>3412.5</v>
      </c>
      <c r="K728" s="44">
        <v>2249.4</v>
      </c>
      <c r="L728" s="44">
        <v>936.2</v>
      </c>
      <c r="M728" s="79">
        <v>105</v>
      </c>
      <c r="N728" s="129">
        <f t="shared" si="274"/>
        <v>33770714.155886948</v>
      </c>
      <c r="O728" s="44">
        <v>0</v>
      </c>
      <c r="P728" s="68">
        <v>4241300.1245600004</v>
      </c>
      <c r="Q728" s="68">
        <v>0</v>
      </c>
      <c r="R728" s="68">
        <f t="shared" si="280"/>
        <v>1131941.27</v>
      </c>
      <c r="S728" s="68">
        <f t="shared" si="281"/>
        <v>14838480</v>
      </c>
      <c r="T728" s="68">
        <f>+'Приложение №2'!E728-'Приложение №1'!P728-'Приложение №1'!R728-'Приложение №1'!S728</f>
        <v>13558992.761326943</v>
      </c>
      <c r="U728" s="68">
        <f t="shared" si="284"/>
        <v>15013.209814122409</v>
      </c>
      <c r="V728" s="68">
        <v>1416.2830200640001</v>
      </c>
      <c r="W728" s="80">
        <v>2024</v>
      </c>
      <c r="X728" s="35">
        <v>550816.85</v>
      </c>
      <c r="Y728" s="35">
        <f t="shared" si="282"/>
        <v>449988.21600000001</v>
      </c>
      <c r="AA728" s="36">
        <f>+N728-'[5]Приложение № 2'!E662</f>
        <v>-6994096.1197674423</v>
      </c>
      <c r="AD728" s="36">
        <f>+N728-'[5]Приложение № 2'!E662</f>
        <v>-6994096.1197674423</v>
      </c>
      <c r="AP728" s="84">
        <f>+N728-'Приложение №2'!E728</f>
        <v>0</v>
      </c>
      <c r="AQ728" s="35">
        <v>711517.67</v>
      </c>
      <c r="AR728" s="1">
        <f t="shared" si="279"/>
        <v>420423.6</v>
      </c>
      <c r="AS728" s="1">
        <f t="shared" si="283"/>
        <v>14838480</v>
      </c>
      <c r="AT728" s="29">
        <f t="shared" si="260"/>
        <v>0</v>
      </c>
      <c r="AU728" s="29">
        <f>+P728-'[6]Приложение №1'!$P696</f>
        <v>0</v>
      </c>
      <c r="AV728" s="29">
        <f>+Q728-'[6]Приложение №1'!$Q696</f>
        <v>0</v>
      </c>
      <c r="AW728" s="29">
        <f>+R728-'[6]Приложение №1'!$R696</f>
        <v>0</v>
      </c>
      <c r="AX728" s="29">
        <f>+S728-'[6]Приложение №1'!$S696</f>
        <v>0</v>
      </c>
      <c r="AY728" s="29">
        <f>+T728-'[6]Приложение №1'!$T696</f>
        <v>0</v>
      </c>
    </row>
    <row r="729" spans="1:51" s="35" customFormat="1" x14ac:dyDescent="0.25">
      <c r="A729" s="133">
        <f t="shared" si="278"/>
        <v>711</v>
      </c>
      <c r="B729" s="132">
        <f t="shared" si="278"/>
        <v>249</v>
      </c>
      <c r="C729" s="77" t="s">
        <v>628</v>
      </c>
      <c r="D729" s="77" t="s">
        <v>703</v>
      </c>
      <c r="E729" s="78" t="s">
        <v>599</v>
      </c>
      <c r="F729" s="78" t="s">
        <v>599</v>
      </c>
      <c r="G729" s="78" t="s">
        <v>570</v>
      </c>
      <c r="H729" s="78" t="s">
        <v>582</v>
      </c>
      <c r="I729" s="78" t="s">
        <v>572</v>
      </c>
      <c r="J729" s="44">
        <v>1792.2</v>
      </c>
      <c r="K729" s="44">
        <v>1275</v>
      </c>
      <c r="L729" s="44">
        <v>170.8</v>
      </c>
      <c r="M729" s="79">
        <v>51</v>
      </c>
      <c r="N729" s="129">
        <f t="shared" si="274"/>
        <v>11745078.045090696</v>
      </c>
      <c r="O729" s="44">
        <v>0</v>
      </c>
      <c r="P729" s="68">
        <v>1006870.2874999999</v>
      </c>
      <c r="Q729" s="68">
        <v>0</v>
      </c>
      <c r="R729" s="68">
        <f t="shared" si="280"/>
        <v>616679.91</v>
      </c>
      <c r="S729" s="68">
        <f t="shared" si="281"/>
        <v>5819760</v>
      </c>
      <c r="T729" s="68">
        <f>+'Приложение №2'!E729-'Приложение №1'!P729-'Приложение №1'!R729-'Приложение №1'!S729</f>
        <v>4301767.8475906961</v>
      </c>
      <c r="U729" s="68">
        <f t="shared" si="284"/>
        <v>9211.8259177181935</v>
      </c>
      <c r="V729" s="68">
        <v>1417.2830200640001</v>
      </c>
      <c r="W729" s="80">
        <v>2024</v>
      </c>
      <c r="X729" s="35">
        <v>339010.26</v>
      </c>
      <c r="Y729" s="35">
        <f t="shared" si="282"/>
        <v>176512.22400000002</v>
      </c>
      <c r="AA729" s="36">
        <f>+N729-'[5]Приложение № 2'!E663</f>
        <v>8567057.4536952991</v>
      </c>
      <c r="AD729" s="36">
        <f>+N729-'[5]Приложение № 2'!E663</f>
        <v>8567057.4536952991</v>
      </c>
      <c r="AP729" s="84">
        <f>+N729-'Приложение №2'!E729</f>
        <v>0</v>
      </c>
      <c r="AQ729" s="35">
        <v>451786.71</v>
      </c>
      <c r="AR729" s="1">
        <f t="shared" si="279"/>
        <v>164893.19999999998</v>
      </c>
      <c r="AS729" s="1">
        <f t="shared" si="283"/>
        <v>5819760</v>
      </c>
      <c r="AT729" s="29">
        <f t="shared" ref="AT729:AT751" si="285">+S729-AS729</f>
        <v>0</v>
      </c>
      <c r="AU729" s="29">
        <f>+P729-'[6]Приложение №1'!$P697</f>
        <v>0</v>
      </c>
      <c r="AV729" s="29">
        <f>+Q729-'[6]Приложение №1'!$Q697</f>
        <v>0</v>
      </c>
      <c r="AW729" s="29">
        <f>+R729-'[6]Приложение №1'!$R697</f>
        <v>0</v>
      </c>
      <c r="AX729" s="29">
        <f>+S729-'[6]Приложение №1'!$S697</f>
        <v>0</v>
      </c>
      <c r="AY729" s="29">
        <f>+T729-'[6]Приложение №1'!$T697</f>
        <v>0</v>
      </c>
    </row>
    <row r="730" spans="1:51" s="35" customFormat="1" x14ac:dyDescent="0.25">
      <c r="A730" s="133">
        <f t="shared" si="278"/>
        <v>712</v>
      </c>
      <c r="B730" s="132">
        <f t="shared" si="278"/>
        <v>250</v>
      </c>
      <c r="C730" s="77" t="s">
        <v>628</v>
      </c>
      <c r="D730" s="77" t="s">
        <v>704</v>
      </c>
      <c r="E730" s="78" t="s">
        <v>625</v>
      </c>
      <c r="F730" s="78" t="s">
        <v>625</v>
      </c>
      <c r="G730" s="78" t="s">
        <v>570</v>
      </c>
      <c r="H730" s="78" t="s">
        <v>582</v>
      </c>
      <c r="I730" s="78" t="s">
        <v>576</v>
      </c>
      <c r="J730" s="44">
        <v>2036.3</v>
      </c>
      <c r="K730" s="44">
        <v>1337.75</v>
      </c>
      <c r="L730" s="44">
        <v>476.4</v>
      </c>
      <c r="M730" s="79">
        <v>93</v>
      </c>
      <c r="N730" s="129">
        <f t="shared" si="274"/>
        <v>33271124.889648609</v>
      </c>
      <c r="O730" s="44">
        <v>0</v>
      </c>
      <c r="P730" s="68">
        <v>4716196.3342839032</v>
      </c>
      <c r="Q730" s="68">
        <v>0</v>
      </c>
      <c r="R730" s="68">
        <f t="shared" si="280"/>
        <v>627921.55000000005</v>
      </c>
      <c r="S730" s="68">
        <f t="shared" si="281"/>
        <v>8245980</v>
      </c>
      <c r="T730" s="68">
        <f>+'Приложение №2'!E730-'Приложение №1'!P730-'Приложение №1'!R730-'Приложение №1'!S730</f>
        <v>19681027.005364705</v>
      </c>
      <c r="U730" s="68">
        <f t="shared" si="284"/>
        <v>24870.958616818247</v>
      </c>
      <c r="V730" s="68">
        <v>1418.2830200640001</v>
      </c>
      <c r="W730" s="80">
        <v>2024</v>
      </c>
      <c r="X730" s="35">
        <v>322443.77</v>
      </c>
      <c r="Y730" s="35">
        <f t="shared" si="282"/>
        <v>250070.89200000002</v>
      </c>
      <c r="AA730" s="36">
        <f>+N730-'[5]Приложение № 2'!E664</f>
        <v>26548833.235195752</v>
      </c>
      <c r="AD730" s="36">
        <f>+N730-'[5]Приложение № 2'!E664</f>
        <v>26548833.235195752</v>
      </c>
      <c r="AP730" s="84">
        <f>+N730-'Приложение №2'!E730</f>
        <v>0</v>
      </c>
      <c r="AQ730" s="35">
        <v>394285.45</v>
      </c>
      <c r="AR730" s="1">
        <f t="shared" si="279"/>
        <v>233636.1</v>
      </c>
      <c r="AS730" s="1">
        <f t="shared" si="283"/>
        <v>8245980</v>
      </c>
      <c r="AT730" s="29">
        <f t="shared" si="285"/>
        <v>0</v>
      </c>
      <c r="AU730" s="29">
        <f>+P730-'[6]Приложение №1'!$P698</f>
        <v>0</v>
      </c>
      <c r="AV730" s="29">
        <f>+Q730-'[6]Приложение №1'!$Q698</f>
        <v>0</v>
      </c>
      <c r="AW730" s="29">
        <f>+R730-'[6]Приложение №1'!$R698</f>
        <v>0</v>
      </c>
      <c r="AX730" s="29">
        <f>+S730-'[6]Приложение №1'!$S698</f>
        <v>0</v>
      </c>
      <c r="AY730" s="29">
        <f>+T730-'[6]Приложение №1'!$T698</f>
        <v>0</v>
      </c>
    </row>
    <row r="731" spans="1:51" s="35" customFormat="1" x14ac:dyDescent="0.25">
      <c r="A731" s="133">
        <f t="shared" si="278"/>
        <v>713</v>
      </c>
      <c r="B731" s="132">
        <f t="shared" si="278"/>
        <v>251</v>
      </c>
      <c r="C731" s="77" t="s">
        <v>260</v>
      </c>
      <c r="D731" s="77" t="s">
        <v>705</v>
      </c>
      <c r="E731" s="78" t="s">
        <v>601</v>
      </c>
      <c r="F731" s="78" t="s">
        <v>601</v>
      </c>
      <c r="G731" s="78" t="s">
        <v>570</v>
      </c>
      <c r="H731" s="78" t="s">
        <v>582</v>
      </c>
      <c r="I731" s="78" t="s">
        <v>579</v>
      </c>
      <c r="J731" s="44">
        <v>3929.7</v>
      </c>
      <c r="K731" s="44">
        <v>2523.6</v>
      </c>
      <c r="L731" s="44">
        <v>522.65</v>
      </c>
      <c r="M731" s="79">
        <v>69</v>
      </c>
      <c r="N731" s="129">
        <f t="shared" si="274"/>
        <v>8451712.6778820977</v>
      </c>
      <c r="O731" s="44">
        <v>0</v>
      </c>
      <c r="P731" s="68"/>
      <c r="Q731" s="68">
        <v>0</v>
      </c>
      <c r="R731" s="68">
        <f t="shared" si="280"/>
        <v>1075491.9000000001</v>
      </c>
      <c r="S731" s="68">
        <f>+'Приложение №2'!E731-'Приложение №1'!R731</f>
        <v>7376220.7778820973</v>
      </c>
      <c r="T731" s="68">
        <v>2.3283064365386963E-10</v>
      </c>
      <c r="U731" s="68">
        <f t="shared" si="284"/>
        <v>3349.0698517522974</v>
      </c>
      <c r="V731" s="68">
        <v>1419.2830200640001</v>
      </c>
      <c r="W731" s="80">
        <v>2024</v>
      </c>
      <c r="X731" s="35">
        <v>1250711.5</v>
      </c>
      <c r="Y731" s="35">
        <f t="shared" si="282"/>
        <v>389661.16200000001</v>
      </c>
      <c r="AA731" s="36">
        <f>+N731-'[5]Приложение № 2'!E665</f>
        <v>1804909.5796820838</v>
      </c>
      <c r="AD731" s="36">
        <f>+N731-'[5]Приложение № 2'!E665</f>
        <v>1804909.5796820838</v>
      </c>
      <c r="AP731" s="84">
        <f>+N731-'Приложение №2'!E731</f>
        <v>0</v>
      </c>
      <c r="AQ731" s="35">
        <f>1709948.33-998484.23</f>
        <v>711464.10000000009</v>
      </c>
      <c r="AR731" s="1">
        <f t="shared" si="279"/>
        <v>364027.8</v>
      </c>
      <c r="AS731" s="1">
        <f>+(K731*10+L731*20)*12*30-2437490.96</f>
        <v>10410549.039999999</v>
      </c>
      <c r="AT731" s="29">
        <f t="shared" si="285"/>
        <v>-3034328.2621179018</v>
      </c>
      <c r="AU731" s="29">
        <f>+P731-'[6]Приложение №1'!$P699</f>
        <v>0</v>
      </c>
      <c r="AV731" s="29">
        <f>+Q731-'[6]Приложение №1'!$Q699</f>
        <v>0</v>
      </c>
      <c r="AW731" s="29">
        <f>+R731-'[6]Приложение №1'!$R699</f>
        <v>0</v>
      </c>
      <c r="AX731" s="29">
        <f>+S731-'[6]Приложение №1'!$S699</f>
        <v>0</v>
      </c>
      <c r="AY731" s="29">
        <f>+T731-'[6]Приложение №1'!$T699</f>
        <v>0</v>
      </c>
    </row>
    <row r="732" spans="1:51" s="35" customFormat="1" x14ac:dyDescent="0.25">
      <c r="A732" s="133">
        <f t="shared" si="278"/>
        <v>714</v>
      </c>
      <c r="B732" s="132">
        <f t="shared" si="278"/>
        <v>252</v>
      </c>
      <c r="C732" s="77" t="s">
        <v>260</v>
      </c>
      <c r="D732" s="77" t="s">
        <v>706</v>
      </c>
      <c r="E732" s="78" t="s">
        <v>597</v>
      </c>
      <c r="F732" s="78" t="s">
        <v>597</v>
      </c>
      <c r="G732" s="78" t="s">
        <v>570</v>
      </c>
      <c r="H732" s="78" t="s">
        <v>582</v>
      </c>
      <c r="I732" s="78" t="s">
        <v>579</v>
      </c>
      <c r="J732" s="44">
        <v>3705.9</v>
      </c>
      <c r="K732" s="44">
        <v>2552.3000000000002</v>
      </c>
      <c r="L732" s="44">
        <v>0</v>
      </c>
      <c r="M732" s="79">
        <v>82</v>
      </c>
      <c r="N732" s="129">
        <f t="shared" si="274"/>
        <v>7524757.6654845187</v>
      </c>
      <c r="O732" s="44">
        <v>0</v>
      </c>
      <c r="P732" s="68"/>
      <c r="Q732" s="68">
        <v>0</v>
      </c>
      <c r="R732" s="68">
        <f t="shared" si="280"/>
        <v>1101469.82</v>
      </c>
      <c r="S732" s="68">
        <f>+'Приложение №2'!E732-'Приложение №1'!R732</f>
        <v>6423287.8454845184</v>
      </c>
      <c r="T732" s="68">
        <v>0</v>
      </c>
      <c r="U732" s="68">
        <f t="shared" si="284"/>
        <v>2948.2261746207414</v>
      </c>
      <c r="V732" s="68">
        <v>1420.2830200640001</v>
      </c>
      <c r="W732" s="80">
        <v>2024</v>
      </c>
      <c r="X732" s="35">
        <v>631825.71</v>
      </c>
      <c r="Y732" s="35">
        <f t="shared" si="282"/>
        <v>278711.16000000003</v>
      </c>
      <c r="AA732" s="36">
        <f>+N732-'[5]Приложение № 2'!E666</f>
        <v>-13046578.516770519</v>
      </c>
      <c r="AD732" s="36">
        <f>+N732-'[5]Приложение № 2'!E666</f>
        <v>-13046578.516770519</v>
      </c>
      <c r="AP732" s="84">
        <f>+N732-'Приложение №2'!E732</f>
        <v>0</v>
      </c>
      <c r="AQ732" s="35">
        <v>841135.22</v>
      </c>
      <c r="AR732" s="1">
        <f t="shared" si="279"/>
        <v>260334.6</v>
      </c>
      <c r="AS732" s="1">
        <f>+(K732*10+L732*20)*12*30</f>
        <v>9188280</v>
      </c>
      <c r="AT732" s="29">
        <f t="shared" si="285"/>
        <v>-2764992.1545154816</v>
      </c>
      <c r="AU732" s="29">
        <f>+P732-'[6]Приложение №1'!$P700</f>
        <v>0</v>
      </c>
      <c r="AV732" s="29">
        <f>+Q732-'[6]Приложение №1'!$Q700</f>
        <v>0</v>
      </c>
      <c r="AW732" s="29">
        <f>+R732-'[6]Приложение №1'!$R700</f>
        <v>0</v>
      </c>
      <c r="AX732" s="29">
        <f>+S732-'[6]Приложение №1'!$S700</f>
        <v>0</v>
      </c>
      <c r="AY732" s="29">
        <f>+T732-'[6]Приложение №1'!$T700</f>
        <v>0</v>
      </c>
    </row>
    <row r="733" spans="1:51" x14ac:dyDescent="0.25">
      <c r="A733" s="133">
        <f t="shared" si="278"/>
        <v>715</v>
      </c>
      <c r="B733" s="132">
        <f t="shared" si="278"/>
        <v>253</v>
      </c>
      <c r="C733" s="77" t="s">
        <v>106</v>
      </c>
      <c r="D733" s="77" t="s">
        <v>526</v>
      </c>
      <c r="E733" s="78">
        <v>1980</v>
      </c>
      <c r="F733" s="78">
        <v>2013</v>
      </c>
      <c r="G733" s="78" t="s">
        <v>52</v>
      </c>
      <c r="H733" s="78">
        <v>1</v>
      </c>
      <c r="I733" s="78">
        <v>2</v>
      </c>
      <c r="J733" s="44">
        <v>418.7</v>
      </c>
      <c r="K733" s="44">
        <v>397.3</v>
      </c>
      <c r="L733" s="44">
        <v>0</v>
      </c>
      <c r="M733" s="79">
        <v>19</v>
      </c>
      <c r="N733" s="129">
        <f t="shared" si="274"/>
        <v>3595741.0432031201</v>
      </c>
      <c r="O733" s="44"/>
      <c r="P733" s="68">
        <v>992724.08210077998</v>
      </c>
      <c r="Q733" s="68"/>
      <c r="R733" s="68">
        <f t="shared" ref="R733:S737" si="286">+AR733</f>
        <v>28772.465999999997</v>
      </c>
      <c r="S733" s="68">
        <f t="shared" si="286"/>
        <v>0</v>
      </c>
      <c r="T733" s="68">
        <f>+'Приложение №2'!E733-'Приложение №1'!P733-'Приложение №1'!R733-'Приложение №1'!S733</f>
        <v>2574244.4951023404</v>
      </c>
      <c r="U733" s="68">
        <f t="shared" si="284"/>
        <v>9050.443098925547</v>
      </c>
      <c r="V733" s="68">
        <v>1421.2830200640001</v>
      </c>
      <c r="W733" s="80">
        <v>2024</v>
      </c>
      <c r="X733" s="29" t="e">
        <f>+#REF!-'[1]Приложение №1'!$P447</f>
        <v>#REF!</v>
      </c>
      <c r="Z733" s="31">
        <f t="shared" ref="Z733:Z746" si="287">SUM(AA733:AO733)</f>
        <v>6552939.6500000004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/>
      <c r="AG733" s="27">
        <v>0</v>
      </c>
      <c r="AH733" s="27">
        <v>0</v>
      </c>
      <c r="AI733" s="27">
        <v>2736680.7350400002</v>
      </c>
      <c r="AJ733" s="27">
        <v>0</v>
      </c>
      <c r="AK733" s="27">
        <v>0</v>
      </c>
      <c r="AL733" s="27">
        <v>3525835.391022</v>
      </c>
      <c r="AM733" s="27">
        <v>108678.99</v>
      </c>
      <c r="AN733" s="32">
        <v>44795.99</v>
      </c>
      <c r="AO733" s="33">
        <v>136948.54393799999</v>
      </c>
      <c r="AP733" s="84">
        <f>+N733-'Приложение №2'!E733</f>
        <v>0</v>
      </c>
      <c r="AQ733" s="29">
        <f>151001.78-R461</f>
        <v>-28772.465999999986</v>
      </c>
      <c r="AR733" s="1">
        <f>+(K733*7.1+L733*19.5)*12*0.85</f>
        <v>28772.465999999997</v>
      </c>
      <c r="AS733" s="1">
        <f>+(K733*7.1+L733*19.5)*12*10-S461</f>
        <v>0</v>
      </c>
      <c r="AT733" s="29">
        <f t="shared" si="285"/>
        <v>0</v>
      </c>
      <c r="AU733" s="29">
        <f>+P733-'[6]Приложение №1'!$P701</f>
        <v>0</v>
      </c>
      <c r="AV733" s="29">
        <f>+Q733-'[6]Приложение №1'!$Q701</f>
        <v>0</v>
      </c>
      <c r="AW733" s="29">
        <f>+R733-'[6]Приложение №1'!$R701</f>
        <v>0</v>
      </c>
      <c r="AX733" s="29">
        <f>+S733-'[6]Приложение №1'!$S701</f>
        <v>0</v>
      </c>
      <c r="AY733" s="29">
        <f>+T733-'[6]Приложение №1'!$T701</f>
        <v>0</v>
      </c>
    </row>
    <row r="734" spans="1:51" x14ac:dyDescent="0.25">
      <c r="A734" s="133">
        <f t="shared" si="278"/>
        <v>716</v>
      </c>
      <c r="B734" s="132">
        <f t="shared" si="278"/>
        <v>254</v>
      </c>
      <c r="C734" s="77" t="s">
        <v>106</v>
      </c>
      <c r="D734" s="77" t="s">
        <v>448</v>
      </c>
      <c r="E734" s="78">
        <v>1975</v>
      </c>
      <c r="F734" s="78">
        <v>1975</v>
      </c>
      <c r="G734" s="78" t="s">
        <v>52</v>
      </c>
      <c r="H734" s="78">
        <v>2</v>
      </c>
      <c r="I734" s="78">
        <v>2</v>
      </c>
      <c r="J734" s="44">
        <v>404.7</v>
      </c>
      <c r="K734" s="44">
        <v>359</v>
      </c>
      <c r="L734" s="44">
        <v>0</v>
      </c>
      <c r="M734" s="79">
        <v>19</v>
      </c>
      <c r="N734" s="129">
        <f t="shared" si="274"/>
        <v>107632.58387867997</v>
      </c>
      <c r="O734" s="44"/>
      <c r="P734" s="68">
        <f>+'Приложение №2'!E734-'Приложение №1'!R734</f>
        <v>81633.803878679973</v>
      </c>
      <c r="Q734" s="68"/>
      <c r="R734" s="68">
        <f t="shared" si="286"/>
        <v>25998.780000000002</v>
      </c>
      <c r="S734" s="68">
        <f t="shared" si="286"/>
        <v>0</v>
      </c>
      <c r="T734" s="68">
        <v>0</v>
      </c>
      <c r="U734" s="68">
        <f t="shared" si="284"/>
        <v>299.81221136122554</v>
      </c>
      <c r="V734" s="68">
        <v>1422.2830200640001</v>
      </c>
      <c r="W734" s="80">
        <v>2024</v>
      </c>
      <c r="X734" s="29" t="e">
        <f>+#REF!-'[1]Приложение №1'!$P376</f>
        <v>#REF!</v>
      </c>
      <c r="Z734" s="31">
        <f t="shared" si="287"/>
        <v>2159719.7000000002</v>
      </c>
      <c r="AA734" s="27">
        <v>0</v>
      </c>
      <c r="AB734" s="27">
        <v>0</v>
      </c>
      <c r="AC734" s="27">
        <v>105075.60923999998</v>
      </c>
      <c r="AD734" s="27">
        <v>0</v>
      </c>
      <c r="AE734" s="27">
        <v>0</v>
      </c>
      <c r="AF734" s="27"/>
      <c r="AG734" s="27">
        <v>0</v>
      </c>
      <c r="AH734" s="27">
        <v>0</v>
      </c>
      <c r="AI734" s="27">
        <v>0</v>
      </c>
      <c r="AJ734" s="27">
        <v>0</v>
      </c>
      <c r="AK734" s="27">
        <v>1919964.7690860003</v>
      </c>
      <c r="AL734" s="27">
        <v>0</v>
      </c>
      <c r="AM734" s="27">
        <v>60395.79</v>
      </c>
      <c r="AN734" s="32">
        <v>30000</v>
      </c>
      <c r="AO734" s="33">
        <v>44283.531674000005</v>
      </c>
      <c r="AP734" s="84">
        <f>+N734-'Приложение №2'!E734</f>
        <v>0</v>
      </c>
      <c r="AQ734" s="29">
        <f>127564.57-R463</f>
        <v>-25998.78</v>
      </c>
      <c r="AR734" s="1">
        <f>+(K734*7.1+L734*19.5)*12*0.85</f>
        <v>25998.780000000002</v>
      </c>
      <c r="AS734" s="1">
        <f>+(K734*7.1+L734*19.5)*12*10-S463</f>
        <v>0</v>
      </c>
      <c r="AT734" s="29">
        <f t="shared" si="285"/>
        <v>0</v>
      </c>
      <c r="AU734" s="29">
        <f>+P734-'[6]Приложение №1'!$P702</f>
        <v>0</v>
      </c>
      <c r="AV734" s="29">
        <f>+Q734-'[6]Приложение №1'!$Q702</f>
        <v>0</v>
      </c>
      <c r="AW734" s="29">
        <f>+R734-'[6]Приложение №1'!$R702</f>
        <v>0</v>
      </c>
      <c r="AX734" s="29">
        <f>+S734-'[6]Приложение №1'!$S702</f>
        <v>0</v>
      </c>
      <c r="AY734" s="29">
        <f>+T734-'[6]Приложение №1'!$T702</f>
        <v>0</v>
      </c>
    </row>
    <row r="735" spans="1:51" x14ac:dyDescent="0.25">
      <c r="A735" s="133">
        <f t="shared" si="278"/>
        <v>717</v>
      </c>
      <c r="B735" s="132">
        <f t="shared" si="278"/>
        <v>255</v>
      </c>
      <c r="C735" s="77" t="s">
        <v>106</v>
      </c>
      <c r="D735" s="77" t="s">
        <v>527</v>
      </c>
      <c r="E735" s="78">
        <v>1982</v>
      </c>
      <c r="F735" s="78">
        <v>1982</v>
      </c>
      <c r="G735" s="78" t="s">
        <v>52</v>
      </c>
      <c r="H735" s="78">
        <v>2</v>
      </c>
      <c r="I735" s="78">
        <v>3</v>
      </c>
      <c r="J735" s="44">
        <v>1277.5</v>
      </c>
      <c r="K735" s="44">
        <v>1102.3</v>
      </c>
      <c r="L735" s="44">
        <v>0</v>
      </c>
      <c r="M735" s="79">
        <v>34</v>
      </c>
      <c r="N735" s="129">
        <f t="shared" si="274"/>
        <v>6001006.839799501</v>
      </c>
      <c r="O735" s="44"/>
      <c r="P735" s="68">
        <v>1647930.1753248754</v>
      </c>
      <c r="Q735" s="68"/>
      <c r="R735" s="68">
        <f t="shared" si="286"/>
        <v>79828.565999999992</v>
      </c>
      <c r="S735" s="68">
        <f t="shared" si="286"/>
        <v>0</v>
      </c>
      <c r="T735" s="68">
        <f>+'Приложение №2'!E735-'Приложение №1'!P735-'Приложение №1'!R735-'Приложение №1'!S735</f>
        <v>4273248.0984746255</v>
      </c>
      <c r="U735" s="68">
        <f t="shared" si="284"/>
        <v>5444.0776919164482</v>
      </c>
      <c r="V735" s="68">
        <v>1423.2830200640001</v>
      </c>
      <c r="W735" s="80">
        <v>2024</v>
      </c>
      <c r="X735" s="29" t="e">
        <f>+#REF!-'[1]Приложение №1'!$P445</f>
        <v>#REF!</v>
      </c>
      <c r="Z735" s="31">
        <f t="shared" si="287"/>
        <v>20938342.830000006</v>
      </c>
      <c r="AA735" s="27">
        <v>2788532.6780639999</v>
      </c>
      <c r="AB735" s="27">
        <v>0</v>
      </c>
      <c r="AC735" s="27">
        <v>377369.21947199997</v>
      </c>
      <c r="AD735" s="27">
        <v>1566144.8148779999</v>
      </c>
      <c r="AE735" s="27">
        <v>0</v>
      </c>
      <c r="AF735" s="27"/>
      <c r="AG735" s="27">
        <v>616763.67752999999</v>
      </c>
      <c r="AH735" s="27">
        <v>0</v>
      </c>
      <c r="AI735" s="27">
        <v>3422622.3707340001</v>
      </c>
      <c r="AJ735" s="27">
        <v>0</v>
      </c>
      <c r="AK735" s="27">
        <v>5952055.6381440004</v>
      </c>
      <c r="AL735" s="27">
        <v>5507536.2469260003</v>
      </c>
      <c r="AM735" s="27">
        <v>219906.35</v>
      </c>
      <c r="AN735" s="32">
        <v>45000.3</v>
      </c>
      <c r="AO735" s="33">
        <v>442411.53425199992</v>
      </c>
      <c r="AP735" s="84">
        <f>+N735-'Приложение №2'!E735</f>
        <v>0</v>
      </c>
      <c r="AQ735" s="29">
        <f>346513.17-R464</f>
        <v>-79828.565999999992</v>
      </c>
      <c r="AR735" s="1">
        <f>+(K735*7.1+L735*19.5)*12*0.85</f>
        <v>79828.565999999992</v>
      </c>
      <c r="AS735" s="1">
        <f>+(K735*7.1+L735*19.5)*12*10-S464</f>
        <v>0</v>
      </c>
      <c r="AT735" s="29">
        <f t="shared" si="285"/>
        <v>0</v>
      </c>
      <c r="AU735" s="29">
        <f>+P735-'[6]Приложение №1'!$P703</f>
        <v>0</v>
      </c>
      <c r="AV735" s="29">
        <f>+Q735-'[6]Приложение №1'!$Q703</f>
        <v>0</v>
      </c>
      <c r="AW735" s="29">
        <f>+R735-'[6]Приложение №1'!$R703</f>
        <v>0</v>
      </c>
      <c r="AX735" s="29">
        <f>+S735-'[6]Приложение №1'!$S703</f>
        <v>0</v>
      </c>
      <c r="AY735" s="29">
        <f>+T735-'[6]Приложение №1'!$T703</f>
        <v>0</v>
      </c>
    </row>
    <row r="736" spans="1:51" x14ac:dyDescent="0.25">
      <c r="A736" s="133">
        <f t="shared" si="278"/>
        <v>718</v>
      </c>
      <c r="B736" s="132">
        <f t="shared" si="278"/>
        <v>256</v>
      </c>
      <c r="C736" s="77" t="s">
        <v>106</v>
      </c>
      <c r="D736" s="77" t="s">
        <v>528</v>
      </c>
      <c r="E736" s="78">
        <v>1980</v>
      </c>
      <c r="F736" s="78">
        <v>2009</v>
      </c>
      <c r="G736" s="78" t="s">
        <v>52</v>
      </c>
      <c r="H736" s="78">
        <v>2</v>
      </c>
      <c r="I736" s="78">
        <v>2</v>
      </c>
      <c r="J736" s="44">
        <v>672.9</v>
      </c>
      <c r="K736" s="44">
        <v>611.1</v>
      </c>
      <c r="L736" s="44">
        <v>0</v>
      </c>
      <c r="M736" s="79">
        <v>29</v>
      </c>
      <c r="N736" s="129">
        <f t="shared" si="274"/>
        <v>3580147.76291</v>
      </c>
      <c r="O736" s="44"/>
      <c r="P736" s="68">
        <v>1036056.2405274999</v>
      </c>
      <c r="Q736" s="68"/>
      <c r="R736" s="68">
        <f t="shared" si="286"/>
        <v>44255.861999999994</v>
      </c>
      <c r="S736" s="68">
        <f t="shared" si="286"/>
        <v>0</v>
      </c>
      <c r="T736" s="68">
        <f>+'Приложение №2'!E736-'Приложение №1'!P736-'Приложение №1'!R736-'Приложение №1'!S736</f>
        <v>2499835.6603824999</v>
      </c>
      <c r="U736" s="68">
        <f t="shared" si="284"/>
        <v>5858.5301307641957</v>
      </c>
      <c r="V736" s="68">
        <v>1424.2830200640001</v>
      </c>
      <c r="W736" s="80">
        <v>2024</v>
      </c>
      <c r="X736" s="29" t="e">
        <f>+#REF!-'[1]Приложение №1'!$P445</f>
        <v>#REF!</v>
      </c>
      <c r="Z736" s="31">
        <f t="shared" si="287"/>
        <v>11378629.49</v>
      </c>
      <c r="AA736" s="27">
        <v>1424337.5088524399</v>
      </c>
      <c r="AB736" s="27">
        <v>0</v>
      </c>
      <c r="AC736" s="27">
        <v>0</v>
      </c>
      <c r="AD736" s="27">
        <v>760379.17506936006</v>
      </c>
      <c r="AE736" s="27">
        <v>0</v>
      </c>
      <c r="AF736" s="27"/>
      <c r="AG736" s="27">
        <v>334977.14468904003</v>
      </c>
      <c r="AH736" s="27">
        <v>0</v>
      </c>
      <c r="AI736" s="27">
        <v>1736316.6240672001</v>
      </c>
      <c r="AJ736" s="27">
        <v>0</v>
      </c>
      <c r="AK736" s="27">
        <v>2963106.3528674999</v>
      </c>
      <c r="AL736" s="27">
        <v>2745980.9435167201</v>
      </c>
      <c r="AM736" s="27">
        <v>1081828.9410000001</v>
      </c>
      <c r="AN736" s="32">
        <v>113786.29490000001</v>
      </c>
      <c r="AO736" s="33">
        <v>217916.50503774002</v>
      </c>
      <c r="AP736" s="84">
        <f>+N736-'Приложение №2'!E736</f>
        <v>0</v>
      </c>
      <c r="AQ736" s="29">
        <f>185404.37-R466</f>
        <v>-44255.861999999994</v>
      </c>
      <c r="AR736" s="1">
        <f>+(K736*7.1+L736*19.5)*12*0.85</f>
        <v>44255.861999999994</v>
      </c>
      <c r="AS736" s="1">
        <f>+(K736*7.1+L736*19.5)*12*10-S466</f>
        <v>0</v>
      </c>
      <c r="AT736" s="29">
        <f t="shared" si="285"/>
        <v>0</v>
      </c>
      <c r="AU736" s="29">
        <f>+P736-'[6]Приложение №1'!$P704</f>
        <v>0</v>
      </c>
      <c r="AV736" s="29">
        <f>+Q736-'[6]Приложение №1'!$Q704</f>
        <v>0</v>
      </c>
      <c r="AW736" s="29">
        <f>+R736-'[6]Приложение №1'!$R704</f>
        <v>0</v>
      </c>
      <c r="AX736" s="29">
        <f>+S736-'[6]Приложение №1'!$S704</f>
        <v>0</v>
      </c>
      <c r="AY736" s="29">
        <f>+T736-'[6]Приложение №1'!$T704</f>
        <v>0</v>
      </c>
    </row>
    <row r="737" spans="1:51" x14ac:dyDescent="0.25">
      <c r="A737" s="133">
        <f t="shared" si="278"/>
        <v>719</v>
      </c>
      <c r="B737" s="132">
        <f t="shared" si="278"/>
        <v>257</v>
      </c>
      <c r="C737" s="77" t="s">
        <v>106</v>
      </c>
      <c r="D737" s="77" t="s">
        <v>108</v>
      </c>
      <c r="E737" s="78">
        <v>1977</v>
      </c>
      <c r="F737" s="78">
        <v>2009</v>
      </c>
      <c r="G737" s="78" t="s">
        <v>52</v>
      </c>
      <c r="H737" s="78">
        <v>2</v>
      </c>
      <c r="I737" s="78">
        <v>2</v>
      </c>
      <c r="J737" s="44">
        <v>513.5</v>
      </c>
      <c r="K737" s="44">
        <v>482.7</v>
      </c>
      <c r="L737" s="44">
        <v>0</v>
      </c>
      <c r="M737" s="79">
        <v>23</v>
      </c>
      <c r="N737" s="129">
        <f t="shared" si="274"/>
        <v>2428220.8694842998</v>
      </c>
      <c r="O737" s="44"/>
      <c r="P737" s="68">
        <v>666824.07274607487</v>
      </c>
      <c r="Q737" s="68"/>
      <c r="R737" s="68">
        <f t="shared" si="286"/>
        <v>34957.133999999991</v>
      </c>
      <c r="S737" s="68">
        <f t="shared" si="286"/>
        <v>0</v>
      </c>
      <c r="T737" s="68">
        <f>+'Приложение №2'!E737-'Приложение №1'!P737-'Приложение №1'!R737-'Приложение №1'!S737</f>
        <v>1726439.662738225</v>
      </c>
      <c r="U737" s="68">
        <f t="shared" si="284"/>
        <v>5030.4969328450379</v>
      </c>
      <c r="V737" s="68">
        <v>1425.2830200640001</v>
      </c>
      <c r="W737" s="80">
        <v>2024</v>
      </c>
      <c r="X737" s="29" t="e">
        <f>+#REF!-'[1]Приложение №1'!$P270</f>
        <v>#REF!</v>
      </c>
      <c r="Z737" s="31">
        <f t="shared" si="287"/>
        <v>8714786.4700000007</v>
      </c>
      <c r="AA737" s="27">
        <v>1207621.7677859999</v>
      </c>
      <c r="AB737" s="27">
        <v>0</v>
      </c>
      <c r="AC737" s="27">
        <v>0</v>
      </c>
      <c r="AD737" s="27">
        <v>674481.81868200004</v>
      </c>
      <c r="AE737" s="27">
        <v>0</v>
      </c>
      <c r="AF737" s="27"/>
      <c r="AG737" s="27">
        <v>0</v>
      </c>
      <c r="AH737" s="27">
        <v>0</v>
      </c>
      <c r="AI737" s="27">
        <v>1465015.4884260001</v>
      </c>
      <c r="AJ737" s="27">
        <v>0</v>
      </c>
      <c r="AK737" s="27">
        <v>2572639.0445699999</v>
      </c>
      <c r="AL737" s="27">
        <v>2380773.3781019999</v>
      </c>
      <c r="AM737" s="27">
        <v>188635.93</v>
      </c>
      <c r="AN737" s="32">
        <v>44103.229999999996</v>
      </c>
      <c r="AO737" s="33">
        <v>181515.81243399999</v>
      </c>
      <c r="AP737" s="84">
        <f>+N737-'Приложение №2'!E737</f>
        <v>0</v>
      </c>
      <c r="AQ737" s="29">
        <f>147984.43-R465</f>
        <v>-34957.133999999991</v>
      </c>
      <c r="AR737" s="1">
        <f>+(K737*7.1+L737*19.5)*12*0.85</f>
        <v>34957.133999999991</v>
      </c>
      <c r="AS737" s="1">
        <f>+(K737*7.1+L737*19.5)*12*10-S465</f>
        <v>0</v>
      </c>
      <c r="AT737" s="29">
        <f t="shared" si="285"/>
        <v>0</v>
      </c>
      <c r="AU737" s="29">
        <f>+P737-'[6]Приложение №1'!$P705</f>
        <v>0</v>
      </c>
      <c r="AV737" s="29">
        <f>+Q737-'[6]Приложение №1'!$Q705</f>
        <v>0</v>
      </c>
      <c r="AW737" s="29">
        <f>+R737-'[6]Приложение №1'!$R705</f>
        <v>0</v>
      </c>
      <c r="AX737" s="29">
        <f>+S737-'[6]Приложение №1'!$S705</f>
        <v>0</v>
      </c>
      <c r="AY737" s="29">
        <f>+T737-'[6]Приложение №1'!$T705</f>
        <v>0</v>
      </c>
    </row>
    <row r="738" spans="1:51" x14ac:dyDescent="0.25">
      <c r="A738" s="133">
        <f t="shared" ref="A738:B751" si="288">+A737+1</f>
        <v>720</v>
      </c>
      <c r="B738" s="132">
        <f t="shared" si="288"/>
        <v>258</v>
      </c>
      <c r="C738" s="77" t="s">
        <v>110</v>
      </c>
      <c r="D738" s="77" t="s">
        <v>269</v>
      </c>
      <c r="E738" s="78">
        <v>1995</v>
      </c>
      <c r="F738" s="78">
        <v>1995</v>
      </c>
      <c r="G738" s="78" t="s">
        <v>44</v>
      </c>
      <c r="H738" s="78">
        <v>5</v>
      </c>
      <c r="I738" s="78">
        <v>4</v>
      </c>
      <c r="J738" s="44">
        <v>4970.7</v>
      </c>
      <c r="K738" s="44">
        <v>4454.7</v>
      </c>
      <c r="L738" s="44">
        <v>0</v>
      </c>
      <c r="M738" s="79">
        <v>173</v>
      </c>
      <c r="N738" s="129">
        <f t="shared" si="274"/>
        <v>1513766.7257999999</v>
      </c>
      <c r="O738" s="44"/>
      <c r="P738" s="68"/>
      <c r="Q738" s="68"/>
      <c r="R738" s="68">
        <f>+'Приложение №2'!E738</f>
        <v>1513766.7257999999</v>
      </c>
      <c r="S738" s="68">
        <f>+'Приложение №2'!E738-'Приложение №1'!R738</f>
        <v>0</v>
      </c>
      <c r="T738" s="68">
        <v>0</v>
      </c>
      <c r="U738" s="68">
        <f t="shared" si="284"/>
        <v>339.81339389857902</v>
      </c>
      <c r="V738" s="68">
        <v>1426.2830200640001</v>
      </c>
      <c r="W738" s="80">
        <v>2024</v>
      </c>
      <c r="X738" s="29">
        <f>+S738-'[1]Приложение №1'!$P894</f>
        <v>-2193864.8199999998</v>
      </c>
      <c r="Z738" s="31">
        <f t="shared" si="287"/>
        <v>2193864.8199999998</v>
      </c>
      <c r="AA738" s="27">
        <v>0</v>
      </c>
      <c r="AB738" s="27">
        <v>0</v>
      </c>
      <c r="AC738" s="27">
        <v>0</v>
      </c>
      <c r="AD738" s="27">
        <v>0</v>
      </c>
      <c r="AE738" s="27">
        <v>1481372.1178678798</v>
      </c>
      <c r="AF738" s="27"/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658159.44599999988</v>
      </c>
      <c r="AN738" s="32">
        <v>21938.6482</v>
      </c>
      <c r="AO738" s="33">
        <v>32394.607932119998</v>
      </c>
      <c r="AP738" s="84">
        <f>+N738-'Приложение №2'!E738</f>
        <v>0</v>
      </c>
      <c r="AQ738" s="1">
        <f>1874094.93-250624.417-560475.56</f>
        <v>1062994.953</v>
      </c>
      <c r="AR738" s="1">
        <f t="shared" ref="AR738:AR751" si="289">+(K738*10+L738*20)*12*0.85</f>
        <v>454379.39999999997</v>
      </c>
      <c r="AS738" s="1">
        <f>+(K738*10+L738*20)*12*30-797057.91-3909441.68</f>
        <v>11330420.41</v>
      </c>
      <c r="AT738" s="29">
        <f t="shared" si="285"/>
        <v>-11330420.41</v>
      </c>
      <c r="AU738" s="29">
        <f>+P738-'[6]Приложение №1'!$P706</f>
        <v>0</v>
      </c>
      <c r="AV738" s="29">
        <f>+Q738-'[6]Приложение №1'!$Q706</f>
        <v>0</v>
      </c>
      <c r="AW738" s="29">
        <f>+R738-'[6]Приложение №1'!$R706</f>
        <v>0</v>
      </c>
      <c r="AX738" s="29">
        <f>+S738-'[6]Приложение №1'!$S706</f>
        <v>0</v>
      </c>
      <c r="AY738" s="29">
        <f>+T738-'[6]Приложение №1'!$T706</f>
        <v>0</v>
      </c>
    </row>
    <row r="739" spans="1:51" x14ac:dyDescent="0.25">
      <c r="A739" s="133">
        <f t="shared" si="288"/>
        <v>721</v>
      </c>
      <c r="B739" s="132">
        <f t="shared" si="288"/>
        <v>259</v>
      </c>
      <c r="C739" s="77" t="s">
        <v>110</v>
      </c>
      <c r="D739" s="77" t="s">
        <v>111</v>
      </c>
      <c r="E739" s="78">
        <v>1982</v>
      </c>
      <c r="F739" s="78">
        <v>2009</v>
      </c>
      <c r="G739" s="78" t="s">
        <v>44</v>
      </c>
      <c r="H739" s="78">
        <v>5</v>
      </c>
      <c r="I739" s="78">
        <v>2</v>
      </c>
      <c r="J739" s="44">
        <v>1767.9</v>
      </c>
      <c r="K739" s="44">
        <v>1603</v>
      </c>
      <c r="L739" s="44">
        <v>0</v>
      </c>
      <c r="M739" s="79">
        <v>65</v>
      </c>
      <c r="N739" s="129">
        <f t="shared" si="274"/>
        <v>543894.30090000003</v>
      </c>
      <c r="O739" s="44"/>
      <c r="P739" s="68"/>
      <c r="Q739" s="68"/>
      <c r="R739" s="68">
        <v>0</v>
      </c>
      <c r="S739" s="68">
        <f>+'Приложение №2'!E739-'Приложение №1'!R739</f>
        <v>543894.30090000003</v>
      </c>
      <c r="T739" s="68">
        <v>0</v>
      </c>
      <c r="U739" s="68">
        <f t="shared" si="284"/>
        <v>339.29775477230197</v>
      </c>
      <c r="V739" s="68">
        <v>1427.2830200640001</v>
      </c>
      <c r="W739" s="80">
        <v>2024</v>
      </c>
      <c r="X739" s="29" t="e">
        <f>+#REF!-'[1]Приложение №1'!$P895</f>
        <v>#REF!</v>
      </c>
      <c r="Z739" s="31">
        <f t="shared" si="287"/>
        <v>788252.6100000001</v>
      </c>
      <c r="AA739" s="27">
        <v>0</v>
      </c>
      <c r="AB739" s="27">
        <v>0</v>
      </c>
      <c r="AC739" s="27">
        <v>0</v>
      </c>
      <c r="AD739" s="27">
        <v>0</v>
      </c>
      <c r="AE739" s="27">
        <v>532254.96286074002</v>
      </c>
      <c r="AF739" s="27"/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236475.783</v>
      </c>
      <c r="AN739" s="32">
        <v>7882.5261</v>
      </c>
      <c r="AO739" s="33">
        <v>11639.338039260001</v>
      </c>
      <c r="AP739" s="84">
        <f>+N739-'Приложение №2'!E739</f>
        <v>0</v>
      </c>
      <c r="AQ739" s="1">
        <f>641836.2-'[2]Приложение №1'!$R$136-'[2]Приложение №1'!$R$188</f>
        <v>-154376.49000000005</v>
      </c>
      <c r="AR739" s="1">
        <f t="shared" si="289"/>
        <v>163506</v>
      </c>
      <c r="AS739" s="1">
        <f>+(K739*10+L739*20)*12*30-'[2]Приложение №1'!$S$136-'[2]Приложение №1'!$S$188</f>
        <v>4840060.51</v>
      </c>
      <c r="AT739" s="29">
        <f t="shared" si="285"/>
        <v>-4296166.2090999996</v>
      </c>
      <c r="AU739" s="29">
        <f>+P739-'[6]Приложение №1'!$P707</f>
        <v>0</v>
      </c>
      <c r="AV739" s="29">
        <f>+Q739-'[6]Приложение №1'!$Q707</f>
        <v>0</v>
      </c>
      <c r="AW739" s="29">
        <f>+R739-'[6]Приложение №1'!$R707</f>
        <v>0</v>
      </c>
      <c r="AX739" s="29">
        <f>+S739-'[6]Приложение №1'!$S707</f>
        <v>0</v>
      </c>
      <c r="AY739" s="29">
        <f>+T739-'[6]Приложение №1'!$T707</f>
        <v>0</v>
      </c>
    </row>
    <row r="740" spans="1:51" x14ac:dyDescent="0.25">
      <c r="A740" s="133">
        <f t="shared" si="288"/>
        <v>722</v>
      </c>
      <c r="B740" s="132">
        <f t="shared" si="288"/>
        <v>260</v>
      </c>
      <c r="C740" s="77" t="s">
        <v>110</v>
      </c>
      <c r="D740" s="77" t="s">
        <v>112</v>
      </c>
      <c r="E740" s="78">
        <v>1992</v>
      </c>
      <c r="F740" s="78">
        <v>1992</v>
      </c>
      <c r="G740" s="78" t="s">
        <v>44</v>
      </c>
      <c r="H740" s="78">
        <v>5</v>
      </c>
      <c r="I740" s="78">
        <v>2</v>
      </c>
      <c r="J740" s="44">
        <v>1787.3</v>
      </c>
      <c r="K740" s="44">
        <v>1278.2</v>
      </c>
      <c r="L740" s="44">
        <v>214.2</v>
      </c>
      <c r="M740" s="79">
        <v>44</v>
      </c>
      <c r="N740" s="129">
        <f t="shared" si="274"/>
        <v>536732.4389999999</v>
      </c>
      <c r="O740" s="44"/>
      <c r="P740" s="68"/>
      <c r="Q740" s="68"/>
      <c r="R740" s="68">
        <v>0</v>
      </c>
      <c r="S740" s="68">
        <f>+'Приложение №2'!E740-'Приложение №1'!R740</f>
        <v>536732.4389999999</v>
      </c>
      <c r="T740" s="68">
        <v>0</v>
      </c>
      <c r="U740" s="68">
        <f t="shared" si="284"/>
        <v>419.91272023157558</v>
      </c>
      <c r="V740" s="68">
        <v>1428.2830200640001</v>
      </c>
      <c r="W740" s="80">
        <v>2024</v>
      </c>
      <c r="X740" s="29" t="e">
        <f>+#REF!-'[1]Приложение №1'!$P896</f>
        <v>#REF!</v>
      </c>
      <c r="Z740" s="31">
        <f t="shared" si="287"/>
        <v>777873.09999999986</v>
      </c>
      <c r="AA740" s="27">
        <v>0</v>
      </c>
      <c r="AB740" s="27">
        <v>0</v>
      </c>
      <c r="AC740" s="27">
        <v>0</v>
      </c>
      <c r="AD740" s="27">
        <v>0</v>
      </c>
      <c r="AE740" s="27">
        <v>525246.36480539991</v>
      </c>
      <c r="AF740" s="27"/>
      <c r="AG740" s="27">
        <v>0</v>
      </c>
      <c r="AH740" s="27">
        <v>0</v>
      </c>
      <c r="AI740" s="27">
        <v>0</v>
      </c>
      <c r="AJ740" s="27">
        <v>0</v>
      </c>
      <c r="AK740" s="27">
        <v>0</v>
      </c>
      <c r="AL740" s="27">
        <v>0</v>
      </c>
      <c r="AM740" s="27">
        <v>233361.93</v>
      </c>
      <c r="AN740" s="32">
        <v>7778.7309999999998</v>
      </c>
      <c r="AO740" s="33">
        <v>11486.074194599998</v>
      </c>
      <c r="AP740" s="84">
        <f>+N740-'Приложение №2'!E740</f>
        <v>0</v>
      </c>
      <c r="AQ740" s="1">
        <f>626393.04-'[2]Приложение №1'!$R$137-'[2]Приложение №1'!$R$189</f>
        <v>-176086.42999999993</v>
      </c>
      <c r="AR740" s="1">
        <f t="shared" si="289"/>
        <v>174073.19999999998</v>
      </c>
      <c r="AS740" s="1">
        <f>+(K740*10+L740*20)*12*30-'[2]Приложение №1'!$S$189</f>
        <v>5576287.9000000004</v>
      </c>
      <c r="AT740" s="29">
        <f t="shared" si="285"/>
        <v>-5039555.4610000001</v>
      </c>
      <c r="AU740" s="29">
        <f>+P740-'[6]Приложение №1'!$P708</f>
        <v>0</v>
      </c>
      <c r="AV740" s="29">
        <f>+Q740-'[6]Приложение №1'!$Q708</f>
        <v>0</v>
      </c>
      <c r="AW740" s="29">
        <f>+R740-'[6]Приложение №1'!$R708</f>
        <v>0</v>
      </c>
      <c r="AX740" s="29">
        <f>+S740-'[6]Приложение №1'!$S708</f>
        <v>0</v>
      </c>
      <c r="AY740" s="29">
        <f>+T740-'[6]Приложение №1'!$T708</f>
        <v>0</v>
      </c>
    </row>
    <row r="741" spans="1:51" x14ac:dyDescent="0.25">
      <c r="A741" s="133">
        <f t="shared" si="288"/>
        <v>723</v>
      </c>
      <c r="B741" s="132">
        <f t="shared" si="288"/>
        <v>261</v>
      </c>
      <c r="C741" s="77" t="s">
        <v>110</v>
      </c>
      <c r="D741" s="77" t="s">
        <v>113</v>
      </c>
      <c r="E741" s="78">
        <v>1974</v>
      </c>
      <c r="F741" s="78">
        <v>1974</v>
      </c>
      <c r="G741" s="78" t="s">
        <v>44</v>
      </c>
      <c r="H741" s="78">
        <v>2</v>
      </c>
      <c r="I741" s="78">
        <v>3</v>
      </c>
      <c r="J741" s="44">
        <v>1039.5</v>
      </c>
      <c r="K741" s="44">
        <v>915.4</v>
      </c>
      <c r="L741" s="44">
        <v>0</v>
      </c>
      <c r="M741" s="79">
        <v>39</v>
      </c>
      <c r="N741" s="129">
        <f t="shared" si="274"/>
        <v>367776.86744473106</v>
      </c>
      <c r="O741" s="44"/>
      <c r="P741" s="68"/>
      <c r="Q741" s="68"/>
      <c r="R741" s="68">
        <f>+'Приложение №2'!E741</f>
        <v>367776.86744473106</v>
      </c>
      <c r="S741" s="68">
        <f>+'Приложение №2'!E741-'Приложение №1'!R741</f>
        <v>0</v>
      </c>
      <c r="T741" s="68">
        <v>0</v>
      </c>
      <c r="U741" s="68">
        <f t="shared" si="284"/>
        <v>401.76629609430967</v>
      </c>
      <c r="V741" s="68">
        <v>1429.2830200640001</v>
      </c>
      <c r="W741" s="80">
        <v>2024</v>
      </c>
      <c r="X741" s="29" t="e">
        <f>+#REF!-'[1]Приложение №1'!$P545</f>
        <v>#REF!</v>
      </c>
      <c r="Z741" s="31">
        <f t="shared" si="287"/>
        <v>3610896</v>
      </c>
      <c r="AA741" s="27">
        <v>2740937.5436570398</v>
      </c>
      <c r="AB741" s="27">
        <v>0</v>
      </c>
      <c r="AC741" s="27">
        <v>0</v>
      </c>
      <c r="AD741" s="27">
        <v>0</v>
      </c>
      <c r="AE741" s="27">
        <v>359906.44733063993</v>
      </c>
      <c r="AF741" s="27"/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406133.87119999999</v>
      </c>
      <c r="AN741" s="32">
        <v>36108.959999999999</v>
      </c>
      <c r="AO741" s="33">
        <v>67809.177812320006</v>
      </c>
      <c r="AP741" s="84">
        <f>+N741-'Приложение №2'!E741</f>
        <v>0</v>
      </c>
      <c r="AQ741" s="1">
        <f>360631.56-73856.3028</f>
        <v>286775.25719999999</v>
      </c>
      <c r="AR741" s="1">
        <f t="shared" si="289"/>
        <v>93370.8</v>
      </c>
      <c r="AS741" s="1">
        <f>+(K741*10+L741*20)*12*30-396640.91</f>
        <v>2898799.09</v>
      </c>
      <c r="AT741" s="29">
        <f t="shared" si="285"/>
        <v>-2898799.09</v>
      </c>
      <c r="AU741" s="29">
        <f>+P741-'[6]Приложение №1'!$P709</f>
        <v>0</v>
      </c>
      <c r="AV741" s="29">
        <f>+Q741-'[6]Приложение №1'!$Q709</f>
        <v>0</v>
      </c>
      <c r="AW741" s="29">
        <f>+R741-'[6]Приложение №1'!$R709</f>
        <v>0</v>
      </c>
      <c r="AX741" s="29">
        <f>+S741-'[6]Приложение №1'!$S709</f>
        <v>0</v>
      </c>
      <c r="AY741" s="29">
        <f>+T741-'[6]Приложение №1'!$T709</f>
        <v>0</v>
      </c>
    </row>
    <row r="742" spans="1:51" x14ac:dyDescent="0.25">
      <c r="A742" s="133">
        <f t="shared" si="288"/>
        <v>724</v>
      </c>
      <c r="B742" s="132">
        <f t="shared" si="288"/>
        <v>262</v>
      </c>
      <c r="C742" s="77" t="s">
        <v>110</v>
      </c>
      <c r="D742" s="77" t="s">
        <v>271</v>
      </c>
      <c r="E742" s="78">
        <v>1987</v>
      </c>
      <c r="F742" s="78">
        <v>2009</v>
      </c>
      <c r="G742" s="78" t="s">
        <v>44</v>
      </c>
      <c r="H742" s="78">
        <v>5</v>
      </c>
      <c r="I742" s="78">
        <v>6</v>
      </c>
      <c r="J742" s="44">
        <v>7333.8</v>
      </c>
      <c r="K742" s="44">
        <v>6313.3</v>
      </c>
      <c r="L742" s="44">
        <v>0</v>
      </c>
      <c r="M742" s="79">
        <v>271</v>
      </c>
      <c r="N742" s="129">
        <f t="shared" ref="N742:N751" si="290">SUM(O742:T742)</f>
        <v>2143162.1283</v>
      </c>
      <c r="O742" s="44"/>
      <c r="P742" s="68"/>
      <c r="Q742" s="68"/>
      <c r="R742" s="68">
        <f>+AQ742+AR742</f>
        <v>1746851.7199999997</v>
      </c>
      <c r="S742" s="68">
        <f>+'Приложение №2'!E742-'Приложение №1'!R742</f>
        <v>396310.40830000024</v>
      </c>
      <c r="T742" s="68">
        <v>0</v>
      </c>
      <c r="U742" s="68">
        <f t="shared" si="284"/>
        <v>339.46781054282229</v>
      </c>
      <c r="V742" s="68">
        <v>1430.2830200640001</v>
      </c>
      <c r="W742" s="80">
        <v>2024</v>
      </c>
      <c r="X742" s="29" t="e">
        <f>+#REF!-'[1]Приложение №1'!$P899</f>
        <v>#REF!</v>
      </c>
      <c r="Z742" s="31">
        <f t="shared" si="287"/>
        <v>3106032.07</v>
      </c>
      <c r="AA742" s="27">
        <v>0</v>
      </c>
      <c r="AB742" s="27">
        <v>0</v>
      </c>
      <c r="AC742" s="27">
        <v>0</v>
      </c>
      <c r="AD742" s="27">
        <v>0</v>
      </c>
      <c r="AE742" s="27">
        <v>2097298.4587543798</v>
      </c>
      <c r="AF742" s="27"/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931809.62099999993</v>
      </c>
      <c r="AN742" s="32">
        <v>31060.3207</v>
      </c>
      <c r="AO742" s="33">
        <v>45863.669545620003</v>
      </c>
      <c r="AP742" s="84">
        <f>+N742-'Приложение №2'!E742</f>
        <v>0</v>
      </c>
      <c r="AQ742" s="1">
        <f>2761318.21-1658423.09</f>
        <v>1102895.1199999999</v>
      </c>
      <c r="AR742" s="1">
        <f t="shared" si="289"/>
        <v>643956.6</v>
      </c>
      <c r="AS742" s="1">
        <f>+(K742*10+L742*20)*12*30-11045.36</f>
        <v>22716834.640000001</v>
      </c>
      <c r="AT742" s="29">
        <f t="shared" si="285"/>
        <v>-22320524.231699999</v>
      </c>
      <c r="AU742" s="29">
        <f>+P742-'[6]Приложение №1'!$P710</f>
        <v>0</v>
      </c>
      <c r="AV742" s="29">
        <f>+Q742-'[6]Приложение №1'!$Q710</f>
        <v>0</v>
      </c>
      <c r="AW742" s="29">
        <f>+R742-'[6]Приложение №1'!$R710</f>
        <v>0</v>
      </c>
      <c r="AX742" s="29">
        <f>+S742-'[6]Приложение №1'!$S710</f>
        <v>0</v>
      </c>
      <c r="AY742" s="29">
        <f>+T742-'[6]Приложение №1'!$T710</f>
        <v>0</v>
      </c>
    </row>
    <row r="743" spans="1:51" x14ac:dyDescent="0.25">
      <c r="A743" s="133">
        <f t="shared" si="288"/>
        <v>725</v>
      </c>
      <c r="B743" s="132">
        <f t="shared" si="288"/>
        <v>263</v>
      </c>
      <c r="C743" s="77" t="s">
        <v>110</v>
      </c>
      <c r="D743" s="77" t="s">
        <v>272</v>
      </c>
      <c r="E743" s="78">
        <v>1981</v>
      </c>
      <c r="F743" s="78">
        <v>2010</v>
      </c>
      <c r="G743" s="78" t="s">
        <v>44</v>
      </c>
      <c r="H743" s="78">
        <v>4</v>
      </c>
      <c r="I743" s="78">
        <v>6</v>
      </c>
      <c r="J743" s="44">
        <v>5677</v>
      </c>
      <c r="K743" s="44">
        <v>4920.8</v>
      </c>
      <c r="L743" s="44">
        <v>0</v>
      </c>
      <c r="M743" s="79">
        <v>222</v>
      </c>
      <c r="N743" s="129">
        <f t="shared" si="290"/>
        <v>1668917.8005000001</v>
      </c>
      <c r="O743" s="44"/>
      <c r="P743" s="68"/>
      <c r="Q743" s="68"/>
      <c r="R743" s="68">
        <f>+AQ743+AR743</f>
        <v>1196439.7000000002</v>
      </c>
      <c r="S743" s="68">
        <f>+'Приложение №2'!E743-'Приложение №1'!R743</f>
        <v>472478.10049999994</v>
      </c>
      <c r="T743" s="68">
        <v>0</v>
      </c>
      <c r="U743" s="68">
        <f t="shared" si="284"/>
        <v>339.15578777841</v>
      </c>
      <c r="V743" s="68">
        <v>1431.2830200640001</v>
      </c>
      <c r="W743" s="80">
        <v>2024</v>
      </c>
      <c r="X743" s="29" t="e">
        <f>+#REF!-'[1]Приложение №1'!$P900</f>
        <v>#REF!</v>
      </c>
      <c r="Z743" s="31">
        <f t="shared" si="287"/>
        <v>2418721.4499999997</v>
      </c>
      <c r="AA743" s="27">
        <v>0</v>
      </c>
      <c r="AB743" s="27">
        <v>0</v>
      </c>
      <c r="AC743" s="27">
        <v>0</v>
      </c>
      <c r="AD743" s="27">
        <v>0</v>
      </c>
      <c r="AE743" s="27">
        <v>1633202.9595693001</v>
      </c>
      <c r="AF743" s="27"/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725616.43500000006</v>
      </c>
      <c r="AN743" s="32">
        <v>24187.214500000002</v>
      </c>
      <c r="AO743" s="33">
        <v>35714.840930700004</v>
      </c>
      <c r="AP743" s="84">
        <f>+N743-'Приложение №2'!E743</f>
        <v>0</v>
      </c>
      <c r="AQ743" s="1">
        <f>1887853.74-1193335.64</f>
        <v>694518.10000000009</v>
      </c>
      <c r="AR743" s="1">
        <f t="shared" si="289"/>
        <v>501921.6</v>
      </c>
      <c r="AS743" s="1">
        <f>+(K743*10+L743*20)*12*30-284542.24</f>
        <v>17430337.760000002</v>
      </c>
      <c r="AT743" s="29">
        <f t="shared" si="285"/>
        <v>-16957859.659500003</v>
      </c>
      <c r="AU743" s="29">
        <f>+P743-'[6]Приложение №1'!$P711</f>
        <v>0</v>
      </c>
      <c r="AV743" s="29">
        <f>+Q743-'[6]Приложение №1'!$Q711</f>
        <v>0</v>
      </c>
      <c r="AW743" s="29">
        <f>+R743-'[6]Приложение №1'!$R711</f>
        <v>0</v>
      </c>
      <c r="AX743" s="29">
        <f>+S743-'[6]Приложение №1'!$S711</f>
        <v>0</v>
      </c>
      <c r="AY743" s="29">
        <f>+T743-'[6]Приложение №1'!$T711</f>
        <v>0</v>
      </c>
    </row>
    <row r="744" spans="1:51" x14ac:dyDescent="0.25">
      <c r="A744" s="133">
        <f t="shared" si="288"/>
        <v>726</v>
      </c>
      <c r="B744" s="132">
        <f t="shared" si="288"/>
        <v>264</v>
      </c>
      <c r="C744" s="77" t="s">
        <v>110</v>
      </c>
      <c r="D744" s="77" t="s">
        <v>116</v>
      </c>
      <c r="E744" s="78">
        <v>1977</v>
      </c>
      <c r="F744" s="78">
        <v>2010</v>
      </c>
      <c r="G744" s="78" t="s">
        <v>51</v>
      </c>
      <c r="H744" s="78">
        <v>4</v>
      </c>
      <c r="I744" s="78">
        <v>4</v>
      </c>
      <c r="J744" s="44">
        <v>4061.6</v>
      </c>
      <c r="K744" s="44">
        <v>3500</v>
      </c>
      <c r="L744" s="44">
        <v>0</v>
      </c>
      <c r="M744" s="79">
        <v>135</v>
      </c>
      <c r="N744" s="129">
        <f t="shared" si="290"/>
        <v>1090164.3753000002</v>
      </c>
      <c r="O744" s="44"/>
      <c r="P744" s="68"/>
      <c r="Q744" s="68"/>
      <c r="R744" s="68">
        <f>+'Приложение №2'!E744</f>
        <v>1090164.3753000002</v>
      </c>
      <c r="S744" s="68">
        <f>+'Приложение №2'!E744-'Приложение №1'!R744</f>
        <v>0</v>
      </c>
      <c r="T744" s="68">
        <v>0</v>
      </c>
      <c r="U744" s="68">
        <f t="shared" si="284"/>
        <v>311.47553580000005</v>
      </c>
      <c r="V744" s="68">
        <v>1432.2830200640001</v>
      </c>
      <c r="W744" s="80">
        <v>2024</v>
      </c>
      <c r="X744" s="29" t="e">
        <f>+#REF!-'[1]Приложение №1'!$P546</f>
        <v>#REF!</v>
      </c>
      <c r="Z744" s="31">
        <f t="shared" si="287"/>
        <v>1579948.37</v>
      </c>
      <c r="AA744" s="27">
        <v>0</v>
      </c>
      <c r="AB744" s="27">
        <v>0</v>
      </c>
      <c r="AC744" s="27">
        <v>0</v>
      </c>
      <c r="AD744" s="27">
        <v>0</v>
      </c>
      <c r="AE744" s="27">
        <v>1066834.8576685803</v>
      </c>
      <c r="AF744" s="27"/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473984.511</v>
      </c>
      <c r="AN744" s="32">
        <v>15799.483700000001</v>
      </c>
      <c r="AO744" s="33">
        <v>23329.517631420003</v>
      </c>
      <c r="AP744" s="84">
        <f>+N744-'Приложение №2'!E744</f>
        <v>0</v>
      </c>
      <c r="AQ744" s="1">
        <v>1456397.27</v>
      </c>
      <c r="AR744" s="1">
        <f t="shared" si="289"/>
        <v>357000</v>
      </c>
      <c r="AS744" s="1">
        <f t="shared" ref="AS744:AS749" si="291">+(K744*10+L744*20)*12*30</f>
        <v>12600000</v>
      </c>
      <c r="AT744" s="29">
        <f t="shared" si="285"/>
        <v>-12600000</v>
      </c>
      <c r="AU744" s="29">
        <f>+P744-'[6]Приложение №1'!$P712</f>
        <v>0</v>
      </c>
      <c r="AV744" s="29">
        <f>+Q744-'[6]Приложение №1'!$Q712</f>
        <v>0</v>
      </c>
      <c r="AW744" s="29">
        <f>+R744-'[6]Приложение №1'!$R712</f>
        <v>0</v>
      </c>
      <c r="AX744" s="29">
        <f>+S744-'[6]Приложение №1'!$S712</f>
        <v>0</v>
      </c>
      <c r="AY744" s="29">
        <f>+T744-'[6]Приложение №1'!$T712</f>
        <v>0</v>
      </c>
    </row>
    <row r="745" spans="1:51" x14ac:dyDescent="0.25">
      <c r="A745" s="133">
        <f t="shared" si="288"/>
        <v>727</v>
      </c>
      <c r="B745" s="132">
        <f t="shared" si="288"/>
        <v>265</v>
      </c>
      <c r="C745" s="77" t="s">
        <v>110</v>
      </c>
      <c r="D745" s="77" t="s">
        <v>273</v>
      </c>
      <c r="E745" s="78">
        <v>1986</v>
      </c>
      <c r="F745" s="78">
        <v>2010</v>
      </c>
      <c r="G745" s="78" t="s">
        <v>44</v>
      </c>
      <c r="H745" s="78">
        <v>5</v>
      </c>
      <c r="I745" s="78">
        <v>4</v>
      </c>
      <c r="J745" s="44">
        <v>4920.8</v>
      </c>
      <c r="K745" s="44">
        <v>4295.6000000000004</v>
      </c>
      <c r="L745" s="44">
        <v>0</v>
      </c>
      <c r="M745" s="79">
        <v>193</v>
      </c>
      <c r="N745" s="129">
        <f t="shared" si="290"/>
        <v>1458644.1368999998</v>
      </c>
      <c r="O745" s="44"/>
      <c r="P745" s="68"/>
      <c r="Q745" s="68"/>
      <c r="R745" s="68">
        <f>+'Приложение №2'!E745</f>
        <v>1458644.1368999998</v>
      </c>
      <c r="S745" s="68">
        <f>+'Приложение №2'!E745-'Приложение №1'!R745</f>
        <v>0</v>
      </c>
      <c r="T745" s="68">
        <v>0</v>
      </c>
      <c r="U745" s="68">
        <f t="shared" si="284"/>
        <v>339.56703065927917</v>
      </c>
      <c r="V745" s="68">
        <v>1433.2830200640001</v>
      </c>
      <c r="W745" s="80">
        <v>2024</v>
      </c>
      <c r="X745" s="29" t="e">
        <f>+#REF!-'[1]Приложение №1'!$P901</f>
        <v>#REF!</v>
      </c>
      <c r="Z745" s="31">
        <f t="shared" si="287"/>
        <v>2113977.0099999998</v>
      </c>
      <c r="AA745" s="27">
        <v>0</v>
      </c>
      <c r="AB745" s="27">
        <v>0</v>
      </c>
      <c r="AC745" s="27">
        <v>0</v>
      </c>
      <c r="AD745" s="27">
        <v>0</v>
      </c>
      <c r="AE745" s="27">
        <v>1427429.1523703397</v>
      </c>
      <c r="AF745" s="27"/>
      <c r="AG745" s="27">
        <v>0</v>
      </c>
      <c r="AH745" s="27">
        <v>0</v>
      </c>
      <c r="AI745" s="27">
        <v>0</v>
      </c>
      <c r="AJ745" s="27">
        <v>0</v>
      </c>
      <c r="AK745" s="27">
        <v>0</v>
      </c>
      <c r="AL745" s="27">
        <v>0</v>
      </c>
      <c r="AM745" s="27">
        <v>634193.10299999989</v>
      </c>
      <c r="AN745" s="32">
        <v>21139.770099999998</v>
      </c>
      <c r="AO745" s="33">
        <v>31214.98452966</v>
      </c>
      <c r="AP745" s="84">
        <f>+N745-'Приложение №2'!E745</f>
        <v>0</v>
      </c>
      <c r="AQ745" s="1">
        <v>1632118.56</v>
      </c>
      <c r="AR745" s="1">
        <f t="shared" si="289"/>
        <v>438151.2</v>
      </c>
      <c r="AS745" s="1">
        <f t="shared" si="291"/>
        <v>15464160</v>
      </c>
      <c r="AT745" s="29">
        <f t="shared" si="285"/>
        <v>-15464160</v>
      </c>
      <c r="AU745" s="29">
        <f>+P745-'[6]Приложение №1'!$P713</f>
        <v>0</v>
      </c>
      <c r="AV745" s="29">
        <f>+Q745-'[6]Приложение №1'!$Q713</f>
        <v>0</v>
      </c>
      <c r="AW745" s="29">
        <f>+R745-'[6]Приложение №1'!$R713</f>
        <v>0</v>
      </c>
      <c r="AX745" s="29">
        <f>+S745-'[6]Приложение №1'!$S713</f>
        <v>0</v>
      </c>
      <c r="AY745" s="29">
        <f>+T745-'[6]Приложение №1'!$T713</f>
        <v>0</v>
      </c>
    </row>
    <row r="746" spans="1:51" x14ac:dyDescent="0.25">
      <c r="A746" s="133">
        <f t="shared" si="288"/>
        <v>728</v>
      </c>
      <c r="B746" s="132">
        <f t="shared" si="288"/>
        <v>266</v>
      </c>
      <c r="C746" s="77" t="s">
        <v>109</v>
      </c>
      <c r="D746" s="77" t="s">
        <v>676</v>
      </c>
      <c r="E746" s="78">
        <v>1981</v>
      </c>
      <c r="F746" s="78"/>
      <c r="G746" s="78" t="s">
        <v>44</v>
      </c>
      <c r="H746" s="78">
        <v>2</v>
      </c>
      <c r="I746" s="78">
        <v>1</v>
      </c>
      <c r="J746" s="44">
        <v>660</v>
      </c>
      <c r="K746" s="44">
        <v>592.70000000000005</v>
      </c>
      <c r="L746" s="44">
        <v>0</v>
      </c>
      <c r="M746" s="79">
        <v>13</v>
      </c>
      <c r="N746" s="129">
        <f t="shared" si="290"/>
        <v>4258070.3745964803</v>
      </c>
      <c r="O746" s="44"/>
      <c r="P746" s="68">
        <v>1751097.6945964801</v>
      </c>
      <c r="Q746" s="68"/>
      <c r="R746" s="68">
        <f t="shared" ref="R746:R751" si="292">+AQ746+AR746</f>
        <v>373252.68000000005</v>
      </c>
      <c r="S746" s="68">
        <f>+AS746</f>
        <v>2133720</v>
      </c>
      <c r="T746" s="68">
        <v>0</v>
      </c>
      <c r="U746" s="68">
        <f t="shared" si="284"/>
        <v>7184.1916223999997</v>
      </c>
      <c r="V746" s="68">
        <v>1434.2830200640001</v>
      </c>
      <c r="W746" s="80">
        <v>2024</v>
      </c>
      <c r="X746" s="29" t="e">
        <f>+#REF!-'[1]Приложение №1'!$P1732</f>
        <v>#REF!</v>
      </c>
      <c r="Z746" s="31">
        <f t="shared" si="287"/>
        <v>19893961.780000001</v>
      </c>
      <c r="AA746" s="27">
        <v>0</v>
      </c>
      <c r="AB746" s="27">
        <v>0</v>
      </c>
      <c r="AC746" s="27">
        <v>3565270.41384234</v>
      </c>
      <c r="AD746" s="27">
        <v>2303095.9599144002</v>
      </c>
      <c r="AE746" s="27">
        <v>1422513.1652520599</v>
      </c>
      <c r="AF746" s="27"/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9543182.8357933201</v>
      </c>
      <c r="AM746" s="27">
        <v>2492832.9380000001</v>
      </c>
      <c r="AN746" s="32">
        <v>198939.61780000001</v>
      </c>
      <c r="AO746" s="33">
        <v>368126.84939787997</v>
      </c>
      <c r="AP746" s="84">
        <f>+N746-'Приложение №2'!E746</f>
        <v>0</v>
      </c>
      <c r="AQ746" s="41">
        <v>312797.28000000003</v>
      </c>
      <c r="AR746" s="1">
        <f t="shared" si="289"/>
        <v>60455.4</v>
      </c>
      <c r="AS746" s="1">
        <f t="shared" si="291"/>
        <v>2133720</v>
      </c>
      <c r="AT746" s="29">
        <f t="shared" si="285"/>
        <v>0</v>
      </c>
      <c r="AU746" s="29">
        <f>+P746-'[6]Приложение №1'!$P714</f>
        <v>0</v>
      </c>
      <c r="AV746" s="29">
        <f>+Q746-'[6]Приложение №1'!$Q714</f>
        <v>0</v>
      </c>
      <c r="AW746" s="29">
        <f>+R746-'[6]Приложение №1'!$R714</f>
        <v>0</v>
      </c>
      <c r="AX746" s="29">
        <f>+S746-'[6]Приложение №1'!$S714</f>
        <v>0</v>
      </c>
      <c r="AY746" s="29">
        <f>+T746-'[6]Приложение №1'!$T714</f>
        <v>0</v>
      </c>
    </row>
    <row r="747" spans="1:51" s="35" customFormat="1" x14ac:dyDescent="0.25">
      <c r="A747" s="133">
        <f t="shared" si="288"/>
        <v>729</v>
      </c>
      <c r="B747" s="132">
        <f t="shared" si="288"/>
        <v>267</v>
      </c>
      <c r="C747" s="77" t="s">
        <v>629</v>
      </c>
      <c r="D747" s="77" t="s">
        <v>674</v>
      </c>
      <c r="E747" s="78" t="s">
        <v>586</v>
      </c>
      <c r="F747" s="78" t="s">
        <v>586</v>
      </c>
      <c r="G747" s="78" t="s">
        <v>570</v>
      </c>
      <c r="H747" s="78" t="s">
        <v>582</v>
      </c>
      <c r="I747" s="78" t="s">
        <v>579</v>
      </c>
      <c r="J747" s="44">
        <v>4959.8999999999996</v>
      </c>
      <c r="K747" s="44">
        <v>4332.8999999999996</v>
      </c>
      <c r="L747" s="44">
        <v>85.1</v>
      </c>
      <c r="M747" s="79">
        <v>166</v>
      </c>
      <c r="N747" s="129">
        <f t="shared" si="290"/>
        <v>10942766.959917923</v>
      </c>
      <c r="O747" s="44">
        <v>0</v>
      </c>
      <c r="P747" s="68"/>
      <c r="Q747" s="68">
        <v>0</v>
      </c>
      <c r="R747" s="68">
        <f t="shared" si="292"/>
        <v>2666641.9500000002</v>
      </c>
      <c r="S747" s="68">
        <f>+'Приложение №2'!E747-'Приложение №1'!R747</f>
        <v>8276125.0099179232</v>
      </c>
      <c r="T747" s="68">
        <v>0</v>
      </c>
      <c r="U747" s="68">
        <f t="shared" si="284"/>
        <v>2525.5064644736608</v>
      </c>
      <c r="V747" s="68">
        <v>1435.2830200640001</v>
      </c>
      <c r="W747" s="80">
        <v>2024</v>
      </c>
      <c r="X747" s="35">
        <v>1753600.15</v>
      </c>
      <c r="Y747" s="35">
        <f>+(K747*9.1+L747*18.19)*12</f>
        <v>491728.30799999984</v>
      </c>
      <c r="AA747" s="36">
        <f>+N747-'[5]Приложение № 2'!E681</f>
        <v>-444863.52288207598</v>
      </c>
      <c r="AD747" s="36">
        <f>+N747-'[5]Приложение № 2'!E681</f>
        <v>-444863.52288207598</v>
      </c>
      <c r="AP747" s="84">
        <f>+N747-'Приложение №2'!E747</f>
        <v>0</v>
      </c>
      <c r="AQ747" s="35">
        <v>2207325.75</v>
      </c>
      <c r="AR747" s="1">
        <f t="shared" si="289"/>
        <v>459316.2</v>
      </c>
      <c r="AS747" s="1">
        <f t="shared" si="291"/>
        <v>16211160</v>
      </c>
      <c r="AT747" s="29">
        <f t="shared" si="285"/>
        <v>-7935034.9900820768</v>
      </c>
      <c r="AU747" s="29">
        <f>+P747-'[6]Приложение №1'!$P715</f>
        <v>0</v>
      </c>
      <c r="AV747" s="29">
        <f>+Q747-'[6]Приложение №1'!$Q715</f>
        <v>0</v>
      </c>
      <c r="AW747" s="29">
        <f>+R747-'[6]Приложение №1'!$R715</f>
        <v>0</v>
      </c>
      <c r="AX747" s="29">
        <f>+S747-'[6]Приложение №1'!$S715</f>
        <v>0</v>
      </c>
      <c r="AY747" s="29">
        <f>+T747-'[6]Приложение №1'!$T715</f>
        <v>0</v>
      </c>
    </row>
    <row r="748" spans="1:51" x14ac:dyDescent="0.25">
      <c r="A748" s="133">
        <f t="shared" si="288"/>
        <v>730</v>
      </c>
      <c r="B748" s="132">
        <f t="shared" si="288"/>
        <v>268</v>
      </c>
      <c r="C748" s="77" t="s">
        <v>109</v>
      </c>
      <c r="D748" s="77" t="s">
        <v>266</v>
      </c>
      <c r="E748" s="78">
        <v>1992</v>
      </c>
      <c r="F748" s="78">
        <v>2010</v>
      </c>
      <c r="G748" s="78" t="s">
        <v>44</v>
      </c>
      <c r="H748" s="78">
        <v>2</v>
      </c>
      <c r="I748" s="78">
        <v>2</v>
      </c>
      <c r="J748" s="44">
        <v>1132.5999999999999</v>
      </c>
      <c r="K748" s="44">
        <v>869.3</v>
      </c>
      <c r="L748" s="44">
        <v>263.3</v>
      </c>
      <c r="M748" s="79">
        <v>31</v>
      </c>
      <c r="N748" s="129">
        <f t="shared" si="290"/>
        <v>5037776.7369999997</v>
      </c>
      <c r="O748" s="44"/>
      <c r="P748" s="68">
        <v>1760352.89</v>
      </c>
      <c r="Q748" s="68"/>
      <c r="R748" s="68">
        <f t="shared" si="292"/>
        <v>316207.04435401992</v>
      </c>
      <c r="S748" s="68">
        <f>+'Приложение №2'!E748-'Приложение №1'!P748-R748</f>
        <v>2961216.8026459804</v>
      </c>
      <c r="T748" s="68">
        <v>0</v>
      </c>
      <c r="U748" s="68">
        <f t="shared" si="284"/>
        <v>5795.2107868399862</v>
      </c>
      <c r="V748" s="68">
        <v>1436.2830200640001</v>
      </c>
      <c r="W748" s="80">
        <v>2024</v>
      </c>
      <c r="X748" s="29" t="e">
        <f>+#REF!-'[1]Приложение №1'!$P1734</f>
        <v>#REF!</v>
      </c>
      <c r="Z748" s="31">
        <f>SUM(AA748:AO748)</f>
        <v>5660423.2999999998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/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4929968.3148281993</v>
      </c>
      <c r="AM748" s="27">
        <v>566042.32999999996</v>
      </c>
      <c r="AN748" s="32">
        <v>56604.233</v>
      </c>
      <c r="AO748" s="33">
        <v>107808.4221718</v>
      </c>
      <c r="AP748" s="84">
        <f>+N748-'Приложение №2'!E748</f>
        <v>0</v>
      </c>
      <c r="AQ748" s="29">
        <f>467298.54-R471</f>
        <v>173825.24435401993</v>
      </c>
      <c r="AR748" s="1">
        <f t="shared" si="289"/>
        <v>142381.79999999999</v>
      </c>
      <c r="AS748" s="1">
        <f t="shared" si="291"/>
        <v>5025240</v>
      </c>
      <c r="AT748" s="29">
        <f t="shared" si="285"/>
        <v>-2064023.1973540196</v>
      </c>
      <c r="AU748" s="29">
        <f>+P748-'[6]Приложение №1'!$P716</f>
        <v>0</v>
      </c>
      <c r="AV748" s="29">
        <f>+Q748-'[6]Приложение №1'!$Q716</f>
        <v>0</v>
      </c>
      <c r="AW748" s="29">
        <f>+R748-'[6]Приложение №1'!$R716</f>
        <v>0</v>
      </c>
      <c r="AX748" s="29">
        <f>+S748-'[6]Приложение №1'!$S716</f>
        <v>0</v>
      </c>
      <c r="AY748" s="29">
        <f>+T748-'[6]Приложение №1'!$T716</f>
        <v>0</v>
      </c>
    </row>
    <row r="749" spans="1:51" x14ac:dyDescent="0.25">
      <c r="A749" s="133">
        <f t="shared" si="288"/>
        <v>731</v>
      </c>
      <c r="B749" s="132">
        <f t="shared" si="288"/>
        <v>269</v>
      </c>
      <c r="C749" s="77" t="s">
        <v>109</v>
      </c>
      <c r="D749" s="77" t="s">
        <v>267</v>
      </c>
      <c r="E749" s="78">
        <v>1993</v>
      </c>
      <c r="F749" s="78">
        <v>2009</v>
      </c>
      <c r="G749" s="78" t="s">
        <v>44</v>
      </c>
      <c r="H749" s="78">
        <v>2</v>
      </c>
      <c r="I749" s="78">
        <v>2</v>
      </c>
      <c r="J749" s="44">
        <v>1119.8</v>
      </c>
      <c r="K749" s="44">
        <v>862.9</v>
      </c>
      <c r="L749" s="44">
        <v>256.89999999999998</v>
      </c>
      <c r="M749" s="79">
        <v>33</v>
      </c>
      <c r="N749" s="129">
        <f t="shared" si="290"/>
        <v>4996855.5961000007</v>
      </c>
      <c r="O749" s="44"/>
      <c r="P749" s="68">
        <f>+'Приложение №2'!E749-'Приложение №1'!R749-'Приложение №1'!S749</f>
        <v>0</v>
      </c>
      <c r="Q749" s="68"/>
      <c r="R749" s="68">
        <f t="shared" si="292"/>
        <v>203932.15</v>
      </c>
      <c r="S749" s="68">
        <f>+'Приложение №2'!E749-'Приложение №1'!R749</f>
        <v>4792923.4461000003</v>
      </c>
      <c r="T749" s="68">
        <v>0</v>
      </c>
      <c r="U749" s="68">
        <f t="shared" si="284"/>
        <v>5790.7701890137914</v>
      </c>
      <c r="V749" s="68">
        <v>1437.2830200640001</v>
      </c>
      <c r="W749" s="80">
        <v>2024</v>
      </c>
      <c r="X749" s="29" t="e">
        <f>+#REF!-'[1]Приложение №1'!$P1735</f>
        <v>#REF!</v>
      </c>
      <c r="Z749" s="31">
        <f>SUM(AA749:AO749)</f>
        <v>5614444.4900000002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/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4889922.8863434605</v>
      </c>
      <c r="AM749" s="27">
        <v>561444.44900000002</v>
      </c>
      <c r="AN749" s="32">
        <v>56144.444900000002</v>
      </c>
      <c r="AO749" s="33">
        <v>106932.70975654002</v>
      </c>
      <c r="AP749" s="84">
        <f>+N749-'Приложение №2'!E749</f>
        <v>0</v>
      </c>
      <c r="AQ749" s="29">
        <f>384509.89-R472</f>
        <v>63508.75</v>
      </c>
      <c r="AR749" s="1">
        <f t="shared" si="289"/>
        <v>140423.4</v>
      </c>
      <c r="AS749" s="1">
        <f t="shared" si="291"/>
        <v>4956120</v>
      </c>
      <c r="AT749" s="29">
        <f t="shared" si="285"/>
        <v>-163196.55389999971</v>
      </c>
      <c r="AU749" s="29">
        <f>+P749-'[6]Приложение №1'!$P717</f>
        <v>0</v>
      </c>
      <c r="AV749" s="29">
        <f>+Q749-'[6]Приложение №1'!$Q717</f>
        <v>0</v>
      </c>
      <c r="AW749" s="29">
        <f>+R749-'[6]Приложение №1'!$R717</f>
        <v>0</v>
      </c>
      <c r="AX749" s="29">
        <f>+S749-'[6]Приложение №1'!$S717</f>
        <v>0</v>
      </c>
      <c r="AY749" s="29">
        <f>+T749-'[6]Приложение №1'!$T717</f>
        <v>0</v>
      </c>
    </row>
    <row r="750" spans="1:51" s="35" customFormat="1" x14ac:dyDescent="0.25">
      <c r="A750" s="133">
        <f t="shared" si="288"/>
        <v>732</v>
      </c>
      <c r="B750" s="132">
        <f t="shared" si="288"/>
        <v>270</v>
      </c>
      <c r="C750" s="77" t="s">
        <v>630</v>
      </c>
      <c r="D750" s="77" t="s">
        <v>675</v>
      </c>
      <c r="E750" s="78" t="s">
        <v>631</v>
      </c>
      <c r="F750" s="78" t="s">
        <v>631</v>
      </c>
      <c r="G750" s="78" t="s">
        <v>570</v>
      </c>
      <c r="H750" s="78" t="s">
        <v>572</v>
      </c>
      <c r="I750" s="78" t="s">
        <v>572</v>
      </c>
      <c r="J750" s="44">
        <v>948.7</v>
      </c>
      <c r="K750" s="44">
        <v>864.8</v>
      </c>
      <c r="L750" s="44">
        <v>80.099999999999994</v>
      </c>
      <c r="M750" s="79">
        <v>31</v>
      </c>
      <c r="N750" s="129">
        <f t="shared" si="290"/>
        <v>6815055.1868583523</v>
      </c>
      <c r="O750" s="44">
        <v>0</v>
      </c>
      <c r="P750" s="68">
        <v>3867495.7968583526</v>
      </c>
      <c r="Q750" s="68">
        <v>0</v>
      </c>
      <c r="R750" s="68">
        <f t="shared" si="292"/>
        <v>332408.91000000003</v>
      </c>
      <c r="S750" s="68">
        <f>+AS750</f>
        <v>2601082.8799999999</v>
      </c>
      <c r="T750" s="68">
        <f>+'Приложение №2'!E750-'Приложение №1'!P750-'Приложение №1'!R750-'Приложение №1'!S750</f>
        <v>14067.599999999627</v>
      </c>
      <c r="U750" s="68">
        <f t="shared" si="284"/>
        <v>7880.4985971997603</v>
      </c>
      <c r="V750" s="68">
        <v>1438.2830200640001</v>
      </c>
      <c r="W750" s="80">
        <v>2024</v>
      </c>
      <c r="X750" s="35">
        <v>192543.82</v>
      </c>
      <c r="Y750" s="35">
        <f>+(K750*9.1+L750*18.19)*12</f>
        <v>111920.38799999998</v>
      </c>
      <c r="AA750" s="36">
        <f>+N750-'[5]Приложение № 2'!E684</f>
        <v>-7762482.9806082062</v>
      </c>
      <c r="AD750" s="36">
        <f>+N750-'[5]Приложение № 2'!E684</f>
        <v>-7762482.9806082062</v>
      </c>
      <c r="AP750" s="84">
        <f>+N750-'Приложение №2'!E750</f>
        <v>0</v>
      </c>
      <c r="AQ750" s="35">
        <v>227858.91</v>
      </c>
      <c r="AR750" s="1">
        <f t="shared" si="289"/>
        <v>104550</v>
      </c>
      <c r="AS750" s="1">
        <f>+(K750*10+L750*20)*12*30-1088917.12</f>
        <v>2601082.8799999999</v>
      </c>
      <c r="AT750" s="29">
        <f t="shared" si="285"/>
        <v>0</v>
      </c>
      <c r="AU750" s="29">
        <f>+P750-'[6]Приложение №1'!$P718</f>
        <v>0</v>
      </c>
      <c r="AV750" s="29">
        <f>+Q750-'[6]Приложение №1'!$Q718</f>
        <v>0</v>
      </c>
      <c r="AW750" s="29">
        <f>+R750-'[6]Приложение №1'!$R718</f>
        <v>0</v>
      </c>
      <c r="AX750" s="29">
        <f>+S750-'[6]Приложение №1'!$S718</f>
        <v>0</v>
      </c>
      <c r="AY750" s="29">
        <f>+T750-'[6]Приложение №1'!$T718</f>
        <v>0</v>
      </c>
    </row>
    <row r="751" spans="1:51" x14ac:dyDescent="0.25">
      <c r="A751" s="133">
        <f t="shared" si="288"/>
        <v>733</v>
      </c>
      <c r="B751" s="132">
        <f t="shared" si="288"/>
        <v>271</v>
      </c>
      <c r="C751" s="77" t="s">
        <v>534</v>
      </c>
      <c r="D751" s="77" t="s">
        <v>535</v>
      </c>
      <c r="E751" s="78">
        <v>1976</v>
      </c>
      <c r="F751" s="78">
        <v>1976</v>
      </c>
      <c r="G751" s="78" t="s">
        <v>44</v>
      </c>
      <c r="H751" s="78">
        <v>2</v>
      </c>
      <c r="I751" s="78">
        <v>1</v>
      </c>
      <c r="J751" s="44">
        <v>394</v>
      </c>
      <c r="K751" s="44">
        <v>375.6</v>
      </c>
      <c r="L751" s="44">
        <v>0</v>
      </c>
      <c r="M751" s="79">
        <v>38</v>
      </c>
      <c r="N751" s="129">
        <f t="shared" si="290"/>
        <v>4904397.8896157993</v>
      </c>
      <c r="O751" s="44"/>
      <c r="P751" s="68">
        <f>+'Приложение №2'!E751-'Приложение №1'!R751-'Приложение №1'!S751</f>
        <v>3397803.4296157993</v>
      </c>
      <c r="Q751" s="68"/>
      <c r="R751" s="68">
        <f t="shared" si="292"/>
        <v>154434.46</v>
      </c>
      <c r="S751" s="68">
        <f>+AS751</f>
        <v>1352160</v>
      </c>
      <c r="T751" s="68">
        <f>+'Приложение №2'!E751-'Приложение №1'!P751-'Приложение №1'!R751-'Приложение №1'!S751</f>
        <v>0</v>
      </c>
      <c r="U751" s="68">
        <f t="shared" si="284"/>
        <v>13057.502368519166</v>
      </c>
      <c r="V751" s="68">
        <v>1439.2830200640001</v>
      </c>
      <c r="W751" s="80">
        <v>2024</v>
      </c>
      <c r="X751" s="29" t="e">
        <f>+#REF!-'[1]Приложение №1'!$P1743</f>
        <v>#REF!</v>
      </c>
      <c r="Z751" s="31">
        <f>SUM(AA751:AO751)</f>
        <v>7351295.8599999994</v>
      </c>
      <c r="AA751" s="27">
        <v>735304.27475400001</v>
      </c>
      <c r="AB751" s="27">
        <v>447441.06023399998</v>
      </c>
      <c r="AC751" s="27">
        <v>206096.46766800003</v>
      </c>
      <c r="AD751" s="27">
        <v>0</v>
      </c>
      <c r="AE751" s="27">
        <v>0</v>
      </c>
      <c r="AF751" s="27"/>
      <c r="AG751" s="27">
        <v>69083.30797200001</v>
      </c>
      <c r="AH751" s="27">
        <v>0</v>
      </c>
      <c r="AI751" s="27">
        <v>2116583.6327580004</v>
      </c>
      <c r="AJ751" s="27">
        <v>0</v>
      </c>
      <c r="AK751" s="27">
        <v>1764502.807326</v>
      </c>
      <c r="AL751" s="27">
        <v>1553997.7564439997</v>
      </c>
      <c r="AM751" s="27">
        <v>241340.1</v>
      </c>
      <c r="AN751" s="27">
        <v>66210.3</v>
      </c>
      <c r="AO751" s="33">
        <v>150736.15284400003</v>
      </c>
      <c r="AP751" s="84">
        <f>+N751-'Приложение №2'!E751</f>
        <v>0</v>
      </c>
      <c r="AQ751" s="1">
        <v>116123.26</v>
      </c>
      <c r="AR751" s="1">
        <f t="shared" si="289"/>
        <v>38311.199999999997</v>
      </c>
      <c r="AS751" s="1">
        <f>+(K751*10+L751*20)*12*30</f>
        <v>1352160</v>
      </c>
      <c r="AT751" s="29">
        <f t="shared" si="285"/>
        <v>0</v>
      </c>
      <c r="AU751" s="29">
        <f>+P751-'[6]Приложение №1'!$P719</f>
        <v>0</v>
      </c>
      <c r="AV751" s="29">
        <f>+Q751-'[6]Приложение №1'!$Q719</f>
        <v>0</v>
      </c>
      <c r="AW751" s="29">
        <f>+R751-'[6]Приложение №1'!$R719</f>
        <v>0</v>
      </c>
      <c r="AX751" s="29">
        <f>+S751-'[6]Приложение №1'!$S719</f>
        <v>0</v>
      </c>
      <c r="AY751" s="29">
        <f>+T751-'[6]Приложение №1'!$T719</f>
        <v>0</v>
      </c>
    </row>
    <row r="752" spans="1:51" x14ac:dyDescent="0.25">
      <c r="A752" s="81"/>
      <c r="B752" s="81"/>
      <c r="C752" s="81"/>
      <c r="D752" s="81"/>
      <c r="E752" s="82"/>
      <c r="F752" s="82"/>
      <c r="G752" s="82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2"/>
    </row>
    <row r="753" spans="1:23" x14ac:dyDescent="0.25">
      <c r="A753" s="81"/>
      <c r="B753" s="81"/>
      <c r="C753" s="81"/>
      <c r="D753" s="165"/>
      <c r="E753" s="82"/>
      <c r="F753" s="82"/>
      <c r="G753" s="82" t="s">
        <v>750</v>
      </c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2"/>
    </row>
    <row r="754" spans="1:23" x14ac:dyDescent="0.25">
      <c r="A754" s="81"/>
      <c r="B754" s="81"/>
      <c r="C754" s="81"/>
      <c r="D754" s="165"/>
      <c r="E754" s="82"/>
      <c r="F754" s="82"/>
      <c r="G754" s="82" t="s">
        <v>751</v>
      </c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2"/>
    </row>
    <row r="755" spans="1:23" x14ac:dyDescent="0.25">
      <c r="A755" s="81"/>
      <c r="B755" s="81"/>
      <c r="C755" s="81"/>
      <c r="D755" s="81"/>
      <c r="E755" s="82"/>
      <c r="F755" s="82"/>
      <c r="G755" s="82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2"/>
    </row>
    <row r="756" spans="1:23" x14ac:dyDescent="0.25">
      <c r="A756" s="81"/>
      <c r="B756" s="83"/>
      <c r="C756" s="81"/>
      <c r="D756" s="81"/>
      <c r="E756" s="82"/>
      <c r="F756" s="82"/>
      <c r="G756" s="82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2"/>
    </row>
    <row r="757" spans="1:23" x14ac:dyDescent="0.25">
      <c r="A757" s="81"/>
      <c r="B757" s="81"/>
      <c r="C757" s="81"/>
      <c r="D757" s="81"/>
      <c r="E757" s="82"/>
      <c r="F757" s="82"/>
      <c r="G757" s="82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2"/>
    </row>
  </sheetData>
  <autoFilter ref="A12:AS751"/>
  <mergeCells count="33"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F10:F12"/>
    <mergeCell ref="K10:K11"/>
    <mergeCell ref="L10:L11"/>
    <mergeCell ref="N10:N11"/>
    <mergeCell ref="N9:T9"/>
    <mergeCell ref="O10:T10"/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U9:U11"/>
    <mergeCell ref="E10:E12"/>
  </mergeCells>
  <phoneticPr fontId="18" type="noConversion"/>
  <conditionalFormatting sqref="D511">
    <cfRule type="duplicateValues" dxfId="179" priority="96"/>
  </conditionalFormatting>
  <conditionalFormatting sqref="D572">
    <cfRule type="duplicateValues" dxfId="178" priority="95"/>
  </conditionalFormatting>
  <conditionalFormatting sqref="D622">
    <cfRule type="duplicateValues" dxfId="177" priority="94"/>
  </conditionalFormatting>
  <conditionalFormatting sqref="D698:D705">
    <cfRule type="duplicateValues" dxfId="176" priority="8508"/>
  </conditionalFormatting>
  <conditionalFormatting sqref="D707:D713">
    <cfRule type="duplicateValues" dxfId="175" priority="92"/>
  </conditionalFormatting>
  <conditionalFormatting sqref="D714">
    <cfRule type="duplicateValues" dxfId="174" priority="91"/>
  </conditionalFormatting>
  <conditionalFormatting sqref="D720:D721">
    <cfRule type="duplicateValues" dxfId="173" priority="90"/>
  </conditionalFormatting>
  <conditionalFormatting sqref="D751">
    <cfRule type="duplicateValues" dxfId="172" priority="8545"/>
  </conditionalFormatting>
  <conditionalFormatting sqref="D256">
    <cfRule type="duplicateValues" dxfId="171" priority="89"/>
  </conditionalFormatting>
  <conditionalFormatting sqref="D307">
    <cfRule type="duplicateValues" dxfId="170" priority="87"/>
  </conditionalFormatting>
  <conditionalFormatting sqref="D331">
    <cfRule type="duplicateValues" dxfId="169" priority="86"/>
  </conditionalFormatting>
  <conditionalFormatting sqref="D444">
    <cfRule type="duplicateValues" dxfId="168" priority="85"/>
  </conditionalFormatting>
  <conditionalFormatting sqref="D746:D749 D111 D68 D176 D629 D489 D604 D554 D559 D571 D317:D318 D263 D255 D26 D514 D491:D492 D461 D451:D454 D440:D442 D436 D431 D422 D393:D395 D718:D719 D706 D697 D686:D691 D350:D351 D397:D416 D434 D464 D466 D561 D257:D258 D354 D260">
    <cfRule type="duplicateValues" dxfId="167" priority="8623"/>
  </conditionalFormatting>
  <conditionalFormatting sqref="D311">
    <cfRule type="duplicateValues" dxfId="166" priority="79"/>
  </conditionalFormatting>
  <conditionalFormatting sqref="D735">
    <cfRule type="duplicateValues" dxfId="165" priority="78"/>
  </conditionalFormatting>
  <conditionalFormatting sqref="D736">
    <cfRule type="duplicateValues" dxfId="164" priority="77"/>
  </conditionalFormatting>
  <conditionalFormatting sqref="D733">
    <cfRule type="duplicateValues" dxfId="163" priority="76"/>
  </conditionalFormatting>
  <conditionalFormatting sqref="D558">
    <cfRule type="duplicateValues" dxfId="162" priority="75"/>
  </conditionalFormatting>
  <conditionalFormatting sqref="D560">
    <cfRule type="duplicateValues" dxfId="161" priority="74"/>
  </conditionalFormatting>
  <conditionalFormatting sqref="D750">
    <cfRule type="duplicateValues" dxfId="160" priority="72"/>
  </conditionalFormatting>
  <conditionalFormatting sqref="D212">
    <cfRule type="duplicateValues" dxfId="159" priority="70"/>
  </conditionalFormatting>
  <conditionalFormatting sqref="D225:D226">
    <cfRule type="duplicateValues" dxfId="158" priority="69"/>
  </conditionalFormatting>
  <conditionalFormatting sqref="D265">
    <cfRule type="duplicateValues" dxfId="157" priority="67"/>
  </conditionalFormatting>
  <conditionalFormatting sqref="D269">
    <cfRule type="duplicateValues" dxfId="156" priority="66"/>
  </conditionalFormatting>
  <conditionalFormatting sqref="D65">
    <cfRule type="duplicateValues" dxfId="155" priority="65"/>
  </conditionalFormatting>
  <conditionalFormatting sqref="D105">
    <cfRule type="duplicateValues" dxfId="154" priority="64"/>
  </conditionalFormatting>
  <conditionalFormatting sqref="D330">
    <cfRule type="duplicateValues" dxfId="153" priority="63"/>
  </conditionalFormatting>
  <conditionalFormatting sqref="D135">
    <cfRule type="duplicateValues" dxfId="152" priority="62"/>
  </conditionalFormatting>
  <conditionalFormatting sqref="D137">
    <cfRule type="duplicateValues" dxfId="151" priority="61"/>
  </conditionalFormatting>
  <conditionalFormatting sqref="D382:D383">
    <cfRule type="duplicateValues" dxfId="150" priority="60"/>
  </conditionalFormatting>
  <conditionalFormatting sqref="D392">
    <cfRule type="duplicateValues" dxfId="149" priority="59"/>
  </conditionalFormatting>
  <conditionalFormatting sqref="D438">
    <cfRule type="duplicateValues" dxfId="148" priority="58"/>
  </conditionalFormatting>
  <conditionalFormatting sqref="D443">
    <cfRule type="duplicateValues" dxfId="147" priority="57"/>
  </conditionalFormatting>
  <conditionalFormatting sqref="D449:D450">
    <cfRule type="duplicateValues" dxfId="146" priority="56"/>
  </conditionalFormatting>
  <conditionalFormatting sqref="D469">
    <cfRule type="duplicateValues" dxfId="145" priority="55"/>
  </conditionalFormatting>
  <conditionalFormatting sqref="D470:D472">
    <cfRule type="duplicateValues" dxfId="144" priority="54"/>
  </conditionalFormatting>
  <conditionalFormatting sqref="D473">
    <cfRule type="duplicateValues" dxfId="143" priority="53"/>
  </conditionalFormatting>
  <conditionalFormatting sqref="D474:D475">
    <cfRule type="duplicateValues" dxfId="142" priority="52"/>
  </conditionalFormatting>
  <conditionalFormatting sqref="D206">
    <cfRule type="duplicateValues" dxfId="141" priority="51"/>
  </conditionalFormatting>
  <conditionalFormatting sqref="D229">
    <cfRule type="duplicateValues" dxfId="140" priority="50"/>
  </conditionalFormatting>
  <conditionalFormatting sqref="D231">
    <cfRule type="duplicateValues" dxfId="139" priority="49"/>
  </conditionalFormatting>
  <conditionalFormatting sqref="D234">
    <cfRule type="duplicateValues" dxfId="138" priority="48"/>
  </conditionalFormatting>
  <conditionalFormatting sqref="D274">
    <cfRule type="duplicateValues" dxfId="137" priority="45"/>
  </conditionalFormatting>
  <conditionalFormatting sqref="D276">
    <cfRule type="duplicateValues" dxfId="136" priority="44"/>
  </conditionalFormatting>
  <conditionalFormatting sqref="D291">
    <cfRule type="duplicateValues" dxfId="135" priority="43"/>
  </conditionalFormatting>
  <conditionalFormatting sqref="D306">
    <cfRule type="duplicateValues" dxfId="134" priority="42"/>
  </conditionalFormatting>
  <conditionalFormatting sqref="D310">
    <cfRule type="duplicateValues" dxfId="133" priority="41"/>
  </conditionalFormatting>
  <conditionalFormatting sqref="D328">
    <cfRule type="duplicateValues" dxfId="132" priority="40"/>
  </conditionalFormatting>
  <conditionalFormatting sqref="D334">
    <cfRule type="duplicateValues" dxfId="131" priority="39"/>
  </conditionalFormatting>
  <conditionalFormatting sqref="D345">
    <cfRule type="duplicateValues" dxfId="130" priority="37"/>
  </conditionalFormatting>
  <conditionalFormatting sqref="D384:D385">
    <cfRule type="duplicateValues" dxfId="129" priority="36"/>
  </conditionalFormatting>
  <conditionalFormatting sqref="D388:D391">
    <cfRule type="duplicateValues" dxfId="128" priority="35"/>
  </conditionalFormatting>
  <conditionalFormatting sqref="D433">
    <cfRule type="duplicateValues" dxfId="127" priority="32"/>
  </conditionalFormatting>
  <conditionalFormatting sqref="D477">
    <cfRule type="duplicateValues" dxfId="126" priority="31"/>
  </conditionalFormatting>
  <conditionalFormatting sqref="D168">
    <cfRule type="duplicateValues" dxfId="125" priority="28"/>
  </conditionalFormatting>
  <conditionalFormatting sqref="D172">
    <cfRule type="duplicateValues" dxfId="124" priority="26"/>
  </conditionalFormatting>
  <conditionalFormatting sqref="D273">
    <cfRule type="duplicateValues" dxfId="123" priority="25"/>
  </conditionalFormatting>
  <conditionalFormatting sqref="D293">
    <cfRule type="duplicateValues" dxfId="122" priority="24"/>
  </conditionalFormatting>
  <conditionalFormatting sqref="D299">
    <cfRule type="duplicateValues" dxfId="121" priority="23"/>
  </conditionalFormatting>
  <conditionalFormatting sqref="D309">
    <cfRule type="duplicateValues" dxfId="120" priority="21"/>
  </conditionalFormatting>
  <conditionalFormatting sqref="D322">
    <cfRule type="duplicateValues" dxfId="119" priority="20"/>
  </conditionalFormatting>
  <conditionalFormatting sqref="D340">
    <cfRule type="duplicateValues" dxfId="118" priority="19"/>
  </conditionalFormatting>
  <conditionalFormatting sqref="D362">
    <cfRule type="duplicateValues" dxfId="117" priority="18"/>
  </conditionalFormatting>
  <conditionalFormatting sqref="D478:D479">
    <cfRule type="duplicateValues" dxfId="116" priority="17"/>
  </conditionalFormatting>
  <conditionalFormatting sqref="D174">
    <cfRule type="duplicateValues" dxfId="115" priority="16"/>
  </conditionalFormatting>
  <conditionalFormatting sqref="D271">
    <cfRule type="duplicateValues" dxfId="114" priority="9540"/>
  </conditionalFormatting>
  <conditionalFormatting sqref="D48">
    <cfRule type="duplicateValues" dxfId="113" priority="15"/>
  </conditionalFormatting>
  <conditionalFormatting sqref="D270">
    <cfRule type="duplicateValues" dxfId="112" priority="14"/>
  </conditionalFormatting>
  <conditionalFormatting sqref="D637">
    <cfRule type="duplicateValues" dxfId="111" priority="13"/>
  </conditionalFormatting>
  <conditionalFormatting sqref="D495">
    <cfRule type="duplicateValues" dxfId="110" priority="12"/>
  </conditionalFormatting>
  <conditionalFormatting sqref="D253">
    <cfRule type="duplicateValues" dxfId="109" priority="11"/>
  </conditionalFormatting>
  <conditionalFormatting sqref="D232">
    <cfRule type="duplicateValues" dxfId="108" priority="10"/>
  </conditionalFormatting>
  <conditionalFormatting sqref="D259">
    <cfRule type="duplicateValues" dxfId="107" priority="9"/>
  </conditionalFormatting>
  <conditionalFormatting sqref="D241">
    <cfRule type="duplicateValues" dxfId="106" priority="8"/>
  </conditionalFormatting>
  <conditionalFormatting sqref="D272">
    <cfRule type="duplicateValues" dxfId="105" priority="7"/>
  </conditionalFormatting>
  <conditionalFormatting sqref="D275">
    <cfRule type="duplicateValues" dxfId="104" priority="6"/>
  </conditionalFormatting>
  <conditionalFormatting sqref="D304">
    <cfRule type="duplicateValues" dxfId="103" priority="5"/>
  </conditionalFormatting>
  <conditionalFormatting sqref="D347:D348">
    <cfRule type="duplicateValues" dxfId="102" priority="4"/>
  </conditionalFormatting>
  <conditionalFormatting sqref="D346">
    <cfRule type="duplicateValues" dxfId="101" priority="3"/>
  </conditionalFormatting>
  <conditionalFormatting sqref="D476">
    <cfRule type="duplicateValues" dxfId="100" priority="2"/>
  </conditionalFormatting>
  <conditionalFormatting sqref="D170">
    <cfRule type="duplicateValues" dxfId="99" priority="1"/>
  </conditionalFormatting>
  <conditionalFormatting sqref="D369 D169 D131:D134 D95 D17:D24 D27:D47 D235 D55:D56 D58 D60:D64 D76 D79:D93 D109 D116:D120 D144:D152 D179:D190 D192:D201 D122:D125 D52:D53 D244 D97:D104 D154:D161 D175 D66:D67 D163:D166 D49:D50 D136 D127:D128 D69:D73 D106:D107 D112:D113 D138 D171">
    <cfRule type="duplicateValues" dxfId="98" priority="9582"/>
  </conditionalFormatting>
  <pageMargins left="0.39370078740157483" right="0.39370078740157483" top="0.39370078740157483" bottom="0.39370078740157483" header="0.31496062992125984" footer="0.31496062992125984"/>
  <pageSetup paperSize="9" scale="3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O805"/>
  <sheetViews>
    <sheetView showZeros="0" view="pageBreakPreview" zoomScale="70" zoomScaleNormal="85" zoomScaleSheetLayoutView="70" workbookViewId="0">
      <selection activeCell="F33" sqref="F33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hidden="1" customWidth="1"/>
    <col min="4" max="4" width="78.42578125" style="1" customWidth="1"/>
    <col min="5" max="5" width="20.28515625" style="1" customWidth="1"/>
    <col min="6" max="6" width="18.85546875" style="1" customWidth="1"/>
    <col min="7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16384" width="9.140625" style="1"/>
  </cols>
  <sheetData>
    <row r="1" spans="1:21" ht="15.75" x14ac:dyDescent="0.25">
      <c r="T1" s="116" t="s">
        <v>536</v>
      </c>
    </row>
    <row r="2" spans="1:21" ht="15.75" x14ac:dyDescent="0.25">
      <c r="T2" s="116" t="s">
        <v>1218</v>
      </c>
    </row>
    <row r="3" spans="1:21" ht="15.75" x14ac:dyDescent="0.25">
      <c r="T3" s="116" t="s">
        <v>1219</v>
      </c>
    </row>
    <row r="6" spans="1:21" s="5" customFormat="1" ht="20.25" x14ac:dyDescent="0.25">
      <c r="A6" s="182" t="s">
        <v>555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21" s="5" customFormat="1" ht="16.5" x14ac:dyDescent="0.25">
      <c r="A7" s="6"/>
      <c r="B7" s="6"/>
      <c r="C7" s="6"/>
      <c r="D7" s="6"/>
    </row>
    <row r="8" spans="1:21" s="5" customFormat="1" x14ac:dyDescent="0.25">
      <c r="A8" s="8"/>
      <c r="B8" s="8"/>
      <c r="C8" s="8"/>
      <c r="D8" s="8"/>
    </row>
    <row r="9" spans="1:21" s="15" customFormat="1" ht="14.25" customHeight="1" x14ac:dyDescent="0.25">
      <c r="A9" s="183" t="s">
        <v>1</v>
      </c>
      <c r="B9" s="183" t="s">
        <v>1</v>
      </c>
      <c r="C9" s="180" t="s">
        <v>2</v>
      </c>
      <c r="D9" s="180" t="s">
        <v>3</v>
      </c>
      <c r="E9" s="203" t="s">
        <v>15</v>
      </c>
      <c r="F9" s="206" t="s">
        <v>540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1" s="15" customFormat="1" ht="14.25" x14ac:dyDescent="0.25">
      <c r="A10" s="184"/>
      <c r="B10" s="184"/>
      <c r="C10" s="181"/>
      <c r="D10" s="181"/>
      <c r="E10" s="204"/>
      <c r="F10" s="207" t="s">
        <v>22</v>
      </c>
      <c r="G10" s="207"/>
      <c r="H10" s="207"/>
      <c r="I10" s="207"/>
      <c r="J10" s="207"/>
      <c r="K10" s="207"/>
      <c r="L10" s="207"/>
      <c r="M10" s="207" t="s">
        <v>544</v>
      </c>
      <c r="N10" s="207" t="s">
        <v>24</v>
      </c>
      <c r="O10" s="207" t="s">
        <v>25</v>
      </c>
      <c r="P10" s="207" t="s">
        <v>1083</v>
      </c>
      <c r="Q10" s="207" t="s">
        <v>27</v>
      </c>
      <c r="R10" s="207" t="s">
        <v>537</v>
      </c>
      <c r="S10" s="207" t="s">
        <v>538</v>
      </c>
      <c r="T10" s="207" t="s">
        <v>552</v>
      </c>
    </row>
    <row r="11" spans="1:21" s="15" customFormat="1" ht="129" customHeight="1" x14ac:dyDescent="0.25">
      <c r="A11" s="184"/>
      <c r="B11" s="184"/>
      <c r="C11" s="181"/>
      <c r="D11" s="181"/>
      <c r="E11" s="205"/>
      <c r="F11" s="17" t="s">
        <v>33</v>
      </c>
      <c r="G11" s="17" t="s">
        <v>34</v>
      </c>
      <c r="H11" s="17" t="s">
        <v>35</v>
      </c>
      <c r="I11" s="17" t="s">
        <v>36</v>
      </c>
      <c r="J11" s="17" t="s">
        <v>37</v>
      </c>
      <c r="K11" s="17" t="s">
        <v>38</v>
      </c>
      <c r="L11" s="17" t="s">
        <v>23</v>
      </c>
      <c r="M11" s="207"/>
      <c r="N11" s="207"/>
      <c r="O11" s="207"/>
      <c r="P11" s="207"/>
      <c r="Q11" s="207"/>
      <c r="R11" s="207"/>
      <c r="S11" s="207"/>
      <c r="T11" s="207"/>
    </row>
    <row r="12" spans="1:21" s="21" customFormat="1" ht="14.25" x14ac:dyDescent="0.25">
      <c r="A12" s="209"/>
      <c r="B12" s="209"/>
      <c r="C12" s="208"/>
      <c r="D12" s="208"/>
      <c r="E12" s="17" t="s">
        <v>41</v>
      </c>
      <c r="F12" s="17" t="s">
        <v>41</v>
      </c>
      <c r="G12" s="17" t="s">
        <v>41</v>
      </c>
      <c r="H12" s="17" t="s">
        <v>41</v>
      </c>
      <c r="I12" s="17" t="s">
        <v>41</v>
      </c>
      <c r="J12" s="17" t="s">
        <v>41</v>
      </c>
      <c r="K12" s="17" t="s">
        <v>41</v>
      </c>
      <c r="L12" s="17" t="s">
        <v>41</v>
      </c>
      <c r="M12" s="17" t="s">
        <v>41</v>
      </c>
      <c r="N12" s="17" t="s">
        <v>41</v>
      </c>
      <c r="O12" s="17" t="s">
        <v>41</v>
      </c>
      <c r="P12" s="17" t="s">
        <v>41</v>
      </c>
      <c r="Q12" s="17" t="s">
        <v>41</v>
      </c>
      <c r="R12" s="17" t="s">
        <v>41</v>
      </c>
      <c r="S12" s="17" t="s">
        <v>41</v>
      </c>
      <c r="T12" s="17" t="s">
        <v>41</v>
      </c>
    </row>
    <row r="13" spans="1:21" s="49" customFormat="1" ht="14.25" x14ac:dyDescent="0.25">
      <c r="A13" s="45"/>
      <c r="B13" s="45"/>
      <c r="C13" s="46"/>
      <c r="D13" s="46" t="s">
        <v>639</v>
      </c>
      <c r="E13" s="47">
        <f t="shared" ref="E13:U13" si="0">+E14+E205+E480</f>
        <v>8457731478.1594963</v>
      </c>
      <c r="F13" s="47">
        <f t="shared" si="0"/>
        <v>1602174632.7769494</v>
      </c>
      <c r="G13" s="47">
        <f t="shared" si="0"/>
        <v>488633750.48836029</v>
      </c>
      <c r="H13" s="47">
        <f t="shared" si="0"/>
        <v>630811755.72309482</v>
      </c>
      <c r="I13" s="47">
        <f t="shared" si="0"/>
        <v>391323891.14075208</v>
      </c>
      <c r="J13" s="47">
        <f t="shared" si="0"/>
        <v>110273117.89974943</v>
      </c>
      <c r="K13" s="47">
        <f t="shared" si="0"/>
        <v>0</v>
      </c>
      <c r="L13" s="47">
        <f t="shared" si="0"/>
        <v>41975216.747005224</v>
      </c>
      <c r="M13" s="47">
        <f t="shared" si="0"/>
        <v>313837397.45314777</v>
      </c>
      <c r="N13" s="47">
        <f t="shared" si="0"/>
        <v>1551152733.538507</v>
      </c>
      <c r="O13" s="47">
        <f t="shared" si="0"/>
        <v>246321377.38329095</v>
      </c>
      <c r="P13" s="47">
        <f t="shared" si="0"/>
        <v>1663797062.6426222</v>
      </c>
      <c r="Q13" s="47">
        <f t="shared" si="0"/>
        <v>862912935.69235253</v>
      </c>
      <c r="R13" s="47">
        <f t="shared" si="0"/>
        <v>153609521.62148258</v>
      </c>
      <c r="S13" s="47">
        <f t="shared" si="0"/>
        <v>12847211.487602543</v>
      </c>
      <c r="T13" s="47">
        <f t="shared" si="0"/>
        <v>233977190.3845793</v>
      </c>
      <c r="U13" s="48">
        <f t="shared" si="0"/>
        <v>2737</v>
      </c>
    </row>
    <row r="14" spans="1:21" s="53" customFormat="1" x14ac:dyDescent="0.25">
      <c r="A14" s="50"/>
      <c r="B14" s="50"/>
      <c r="C14" s="50"/>
      <c r="D14" s="50" t="s">
        <v>554</v>
      </c>
      <c r="E14" s="51">
        <f>SUM(F14:T14)+E15+E16</f>
        <v>1940692648.3191597</v>
      </c>
      <c r="F14" s="51">
        <f t="shared" ref="F14:T14" si="1">SUM(F15:F204)</f>
        <v>279754649.10367119</v>
      </c>
      <c r="G14" s="51">
        <f t="shared" si="1"/>
        <v>92359789.639999971</v>
      </c>
      <c r="H14" s="51">
        <f t="shared" si="1"/>
        <v>93379199.87000002</v>
      </c>
      <c r="I14" s="51">
        <f t="shared" si="1"/>
        <v>103931194.98090571</v>
      </c>
      <c r="J14" s="51">
        <f t="shared" si="1"/>
        <v>20726332.382261999</v>
      </c>
      <c r="K14" s="51">
        <f t="shared" si="1"/>
        <v>0</v>
      </c>
      <c r="L14" s="51">
        <f t="shared" si="1"/>
        <v>0</v>
      </c>
      <c r="M14" s="51">
        <f t="shared" si="1"/>
        <v>28694966.400000002</v>
      </c>
      <c r="N14" s="51">
        <f t="shared" si="1"/>
        <v>417243389.46806598</v>
      </c>
      <c r="O14" s="51">
        <f t="shared" si="1"/>
        <v>79372152.859999985</v>
      </c>
      <c r="P14" s="51">
        <f t="shared" si="1"/>
        <v>386777705.02000004</v>
      </c>
      <c r="Q14" s="51">
        <f t="shared" si="1"/>
        <v>163994551.38939598</v>
      </c>
      <c r="R14" s="51">
        <f t="shared" si="1"/>
        <v>46941461.869868487</v>
      </c>
      <c r="S14" s="51">
        <f t="shared" si="1"/>
        <v>3919866.0416604881</v>
      </c>
      <c r="T14" s="51">
        <f t="shared" si="1"/>
        <v>69513706.113330066</v>
      </c>
      <c r="U14" s="52">
        <f>SUM(U17:U476)</f>
        <v>1500</v>
      </c>
    </row>
    <row r="15" spans="1:21" s="53" customFormat="1" x14ac:dyDescent="0.25">
      <c r="A15" s="121"/>
      <c r="B15" s="50"/>
      <c r="C15" s="50"/>
      <c r="D15" s="50" t="s">
        <v>1136</v>
      </c>
      <c r="E15" s="51">
        <v>149536241.57999992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122"/>
      <c r="U15" s="123"/>
    </row>
    <row r="16" spans="1:21" s="53" customFormat="1" x14ac:dyDescent="0.25">
      <c r="A16" s="121"/>
      <c r="B16" s="50"/>
      <c r="C16" s="50"/>
      <c r="D16" s="50" t="s">
        <v>1153</v>
      </c>
      <c r="E16" s="51">
        <v>4547441.6000000006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22"/>
      <c r="U16" s="123"/>
    </row>
    <row r="17" spans="1:22" x14ac:dyDescent="0.25">
      <c r="A17" s="135">
        <v>1</v>
      </c>
      <c r="B17" s="134">
        <v>1</v>
      </c>
      <c r="C17" s="77" t="s">
        <v>59</v>
      </c>
      <c r="D17" s="77" t="s">
        <v>120</v>
      </c>
      <c r="E17" s="129">
        <f>SUBTOTAL(9,F17:T17)</f>
        <v>35883420.902660385</v>
      </c>
      <c r="F17" s="44">
        <v>11937105.199999999</v>
      </c>
      <c r="G17" s="44">
        <v>7031659.7400000002</v>
      </c>
      <c r="H17" s="44"/>
      <c r="I17" s="44">
        <v>2917316.85</v>
      </c>
      <c r="J17" s="44">
        <v>0</v>
      </c>
      <c r="K17" s="44"/>
      <c r="L17" s="44"/>
      <c r="M17" s="44">
        <v>0</v>
      </c>
      <c r="N17" s="44">
        <v>4693934.4000000004</v>
      </c>
      <c r="O17" s="44">
        <v>8467593.2400000002</v>
      </c>
      <c r="P17" s="44">
        <v>0</v>
      </c>
      <c r="Q17" s="44">
        <v>0</v>
      </c>
      <c r="R17" s="44"/>
      <c r="S17" s="68"/>
      <c r="T17" s="136">
        <v>835811.47266038705</v>
      </c>
      <c r="U17" s="24">
        <f t="shared" ref="U17:U83" si="2">COUNTIF(F17:Q17,"&gt;0")</f>
        <v>5</v>
      </c>
    </row>
    <row r="18" spans="1:22" x14ac:dyDescent="0.25">
      <c r="A18" s="135">
        <f t="shared" ref="A18:A81" si="3">+A17+1</f>
        <v>2</v>
      </c>
      <c r="B18" s="134">
        <f t="shared" ref="B18:B81" si="4">+B17+1</f>
        <v>2</v>
      </c>
      <c r="C18" s="77" t="s">
        <v>59</v>
      </c>
      <c r="D18" s="77" t="s">
        <v>121</v>
      </c>
      <c r="E18" s="129">
        <f>SUBTOTAL(9,F18:T18)</f>
        <v>34138401.5</v>
      </c>
      <c r="F18" s="44">
        <v>10136488.119999999</v>
      </c>
      <c r="G18" s="44">
        <v>6838744.3399999999</v>
      </c>
      <c r="H18" s="44"/>
      <c r="I18" s="44">
        <v>2920060.1</v>
      </c>
      <c r="J18" s="44">
        <v>0</v>
      </c>
      <c r="K18" s="44"/>
      <c r="L18" s="44"/>
      <c r="M18" s="44">
        <v>0</v>
      </c>
      <c r="N18" s="44">
        <v>4839492</v>
      </c>
      <c r="O18" s="44">
        <v>8471863.8000000007</v>
      </c>
      <c r="P18" s="44">
        <v>0</v>
      </c>
      <c r="Q18" s="44">
        <v>0</v>
      </c>
      <c r="R18" s="44"/>
      <c r="S18" s="68"/>
      <c r="T18" s="136">
        <v>931753.14</v>
      </c>
      <c r="U18" s="24">
        <f t="shared" si="2"/>
        <v>5</v>
      </c>
    </row>
    <row r="19" spans="1:22" x14ac:dyDescent="0.25">
      <c r="A19" s="135">
        <f t="shared" si="3"/>
        <v>3</v>
      </c>
      <c r="B19" s="134">
        <f t="shared" si="4"/>
        <v>3</v>
      </c>
      <c r="C19" s="77" t="s">
        <v>59</v>
      </c>
      <c r="D19" s="77" t="s">
        <v>122</v>
      </c>
      <c r="E19" s="129">
        <f t="shared" ref="E19:E85" si="5">SUBTOTAL(9,F19:T19)</f>
        <v>21804481.706755415</v>
      </c>
      <c r="F19" s="44">
        <v>8693551.2400000002</v>
      </c>
      <c r="G19" s="44">
        <v>2539728.9700000002</v>
      </c>
      <c r="H19" s="44"/>
      <c r="I19" s="44">
        <v>1744090.12</v>
      </c>
      <c r="J19" s="44">
        <v>0</v>
      </c>
      <c r="K19" s="44"/>
      <c r="L19" s="44"/>
      <c r="M19" s="44">
        <v>0</v>
      </c>
      <c r="N19" s="44">
        <v>2720365.2</v>
      </c>
      <c r="O19" s="44">
        <v>5773109.29</v>
      </c>
      <c r="P19" s="44">
        <v>0</v>
      </c>
      <c r="Q19" s="44">
        <v>0</v>
      </c>
      <c r="R19" s="44"/>
      <c r="S19" s="68"/>
      <c r="T19" s="136">
        <v>333636.88675541501</v>
      </c>
      <c r="U19" s="24">
        <f t="shared" si="2"/>
        <v>5</v>
      </c>
      <c r="V19" s="1" t="s">
        <v>711</v>
      </c>
    </row>
    <row r="20" spans="1:22" x14ac:dyDescent="0.25">
      <c r="A20" s="135">
        <f t="shared" si="3"/>
        <v>4</v>
      </c>
      <c r="B20" s="134">
        <f t="shared" si="4"/>
        <v>4</v>
      </c>
      <c r="C20" s="77" t="s">
        <v>275</v>
      </c>
      <c r="D20" s="77" t="s">
        <v>276</v>
      </c>
      <c r="E20" s="129">
        <f t="shared" si="5"/>
        <v>6683521.8589600008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/>
      <c r="L20" s="44"/>
      <c r="M20" s="44">
        <v>0</v>
      </c>
      <c r="N20" s="44">
        <v>6340797.9400000004</v>
      </c>
      <c r="O20" s="44">
        <v>0</v>
      </c>
      <c r="P20" s="44">
        <v>0</v>
      </c>
      <c r="Q20" s="44">
        <v>0</v>
      </c>
      <c r="R20" s="44"/>
      <c r="S20" s="68"/>
      <c r="T20" s="136">
        <v>342723.91895999998</v>
      </c>
      <c r="U20" s="24">
        <f t="shared" si="2"/>
        <v>1</v>
      </c>
    </row>
    <row r="21" spans="1:22" x14ac:dyDescent="0.25">
      <c r="A21" s="135">
        <f t="shared" si="3"/>
        <v>5</v>
      </c>
      <c r="B21" s="134">
        <f t="shared" si="4"/>
        <v>5</v>
      </c>
      <c r="C21" s="77" t="s">
        <v>275</v>
      </c>
      <c r="D21" s="77" t="s">
        <v>277</v>
      </c>
      <c r="E21" s="129">
        <f t="shared" si="5"/>
        <v>1380495.8153303184</v>
      </c>
      <c r="F21" s="44">
        <v>1272491.3999999999</v>
      </c>
      <c r="G21" s="44">
        <v>0</v>
      </c>
      <c r="H21" s="44">
        <v>0</v>
      </c>
      <c r="I21" s="44">
        <v>0</v>
      </c>
      <c r="J21" s="44">
        <v>0</v>
      </c>
      <c r="K21" s="44"/>
      <c r="L21" s="44"/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/>
      <c r="S21" s="68"/>
      <c r="T21" s="136">
        <v>108004.41533031844</v>
      </c>
      <c r="U21" s="24">
        <f t="shared" si="2"/>
        <v>1</v>
      </c>
    </row>
    <row r="22" spans="1:22" x14ac:dyDescent="0.25">
      <c r="A22" s="135">
        <f t="shared" si="3"/>
        <v>6</v>
      </c>
      <c r="B22" s="134">
        <f t="shared" si="4"/>
        <v>6</v>
      </c>
      <c r="C22" s="77" t="s">
        <v>275</v>
      </c>
      <c r="D22" s="77" t="s">
        <v>278</v>
      </c>
      <c r="E22" s="129">
        <f t="shared" si="5"/>
        <v>2472986.52</v>
      </c>
      <c r="F22" s="44">
        <v>2428165.69</v>
      </c>
      <c r="G22" s="44">
        <v>0</v>
      </c>
      <c r="H22" s="44">
        <v>0</v>
      </c>
      <c r="I22" s="44">
        <v>0</v>
      </c>
      <c r="J22" s="44">
        <v>0</v>
      </c>
      <c r="K22" s="44"/>
      <c r="L22" s="44"/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/>
      <c r="S22" s="68"/>
      <c r="T22" s="136">
        <v>44820.83</v>
      </c>
      <c r="U22" s="24">
        <f t="shared" si="2"/>
        <v>1</v>
      </c>
    </row>
    <row r="23" spans="1:22" x14ac:dyDescent="0.25">
      <c r="A23" s="135">
        <f t="shared" si="3"/>
        <v>7</v>
      </c>
      <c r="B23" s="134">
        <f t="shared" si="4"/>
        <v>7</v>
      </c>
      <c r="C23" s="77" t="s">
        <v>60</v>
      </c>
      <c r="D23" s="77" t="s">
        <v>124</v>
      </c>
      <c r="E23" s="129">
        <f t="shared" si="5"/>
        <v>113078.26467698808</v>
      </c>
      <c r="F23" s="44">
        <v>0</v>
      </c>
      <c r="G23" s="44">
        <v>0</v>
      </c>
      <c r="H23" s="44"/>
      <c r="I23" s="44">
        <v>104364.26</v>
      </c>
      <c r="J23" s="44">
        <v>0</v>
      </c>
      <c r="K23" s="44"/>
      <c r="L23" s="44"/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/>
      <c r="S23" s="68"/>
      <c r="T23" s="136">
        <v>8714.0046769880846</v>
      </c>
      <c r="U23" s="24">
        <f t="shared" si="2"/>
        <v>1</v>
      </c>
    </row>
    <row r="24" spans="1:22" x14ac:dyDescent="0.25">
      <c r="A24" s="135">
        <f t="shared" si="3"/>
        <v>8</v>
      </c>
      <c r="B24" s="134">
        <f t="shared" si="4"/>
        <v>8</v>
      </c>
      <c r="C24" s="77" t="s">
        <v>60</v>
      </c>
      <c r="D24" s="77" t="s">
        <v>279</v>
      </c>
      <c r="E24" s="129">
        <f t="shared" si="5"/>
        <v>5366313.5354361599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/>
      <c r="L24" s="44"/>
      <c r="M24" s="44">
        <v>0</v>
      </c>
      <c r="N24" s="44">
        <v>0</v>
      </c>
      <c r="O24" s="44">
        <v>5195773.5</v>
      </c>
      <c r="P24" s="44"/>
      <c r="Q24" s="44"/>
      <c r="R24" s="44"/>
      <c r="S24" s="68"/>
      <c r="T24" s="136">
        <v>170540.03543616005</v>
      </c>
      <c r="U24" s="24">
        <f t="shared" si="2"/>
        <v>1</v>
      </c>
    </row>
    <row r="25" spans="1:22" x14ac:dyDescent="0.25">
      <c r="A25" s="135">
        <f t="shared" si="3"/>
        <v>9</v>
      </c>
      <c r="B25" s="134">
        <f t="shared" si="4"/>
        <v>9</v>
      </c>
      <c r="C25" s="77" t="s">
        <v>60</v>
      </c>
      <c r="D25" s="77" t="s">
        <v>125</v>
      </c>
      <c r="E25" s="129">
        <f t="shared" si="5"/>
        <v>3697130.3492353396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/>
      <c r="L25" s="44"/>
      <c r="M25" s="44">
        <v>0</v>
      </c>
      <c r="N25" s="44">
        <v>0</v>
      </c>
      <c r="O25" s="44">
        <v>2388753.41</v>
      </c>
      <c r="P25" s="44"/>
      <c r="Q25" s="44">
        <v>815005.58</v>
      </c>
      <c r="R25" s="44">
        <v>392917.04065692797</v>
      </c>
      <c r="S25" s="68">
        <v>18562.626065692799</v>
      </c>
      <c r="T25" s="136">
        <v>81891.69251271851</v>
      </c>
      <c r="U25" s="24">
        <f t="shared" si="2"/>
        <v>2</v>
      </c>
      <c r="V25" s="1" t="s">
        <v>713</v>
      </c>
    </row>
    <row r="26" spans="1:22" x14ac:dyDescent="0.25">
      <c r="A26" s="135">
        <f t="shared" si="3"/>
        <v>10</v>
      </c>
      <c r="B26" s="134">
        <f t="shared" si="4"/>
        <v>10</v>
      </c>
      <c r="C26" s="77" t="s">
        <v>545</v>
      </c>
      <c r="D26" s="77" t="s">
        <v>457</v>
      </c>
      <c r="E26" s="129">
        <f>SUBTOTAL(9,F26:T26)</f>
        <v>3712081.5291589973</v>
      </c>
      <c r="F26" s="44"/>
      <c r="G26" s="44"/>
      <c r="H26" s="44">
        <v>878254.94</v>
      </c>
      <c r="I26" s="44"/>
      <c r="J26" s="44">
        <v>0</v>
      </c>
      <c r="K26" s="44"/>
      <c r="L26" s="44"/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f>2191683.42279663-27761</f>
        <v>2163922.4227966298</v>
      </c>
      <c r="S26" s="68">
        <v>229848.71147637241</v>
      </c>
      <c r="T26" s="136">
        <v>440055.45488599484</v>
      </c>
      <c r="U26" s="24">
        <f>COUNTIF(F26:Q26,"&gt;0")</f>
        <v>1</v>
      </c>
    </row>
    <row r="27" spans="1:22" x14ac:dyDescent="0.25">
      <c r="A27" s="135">
        <f t="shared" si="3"/>
        <v>11</v>
      </c>
      <c r="B27" s="134">
        <f t="shared" si="4"/>
        <v>11</v>
      </c>
      <c r="C27" s="77" t="s">
        <v>545</v>
      </c>
      <c r="D27" s="77" t="s">
        <v>126</v>
      </c>
      <c r="E27" s="129">
        <f t="shared" si="5"/>
        <v>6156349.6058218479</v>
      </c>
      <c r="F27" s="44">
        <v>2699032.56</v>
      </c>
      <c r="G27" s="44">
        <v>2261633.31</v>
      </c>
      <c r="H27" s="44"/>
      <c r="I27" s="44">
        <v>818058.15</v>
      </c>
      <c r="J27" s="44">
        <v>0</v>
      </c>
      <c r="K27" s="44"/>
      <c r="L27" s="44"/>
      <c r="M27" s="44">
        <v>0</v>
      </c>
      <c r="N27" s="44"/>
      <c r="O27" s="44">
        <v>0</v>
      </c>
      <c r="P27" s="44">
        <v>0</v>
      </c>
      <c r="Q27" s="44">
        <v>0</v>
      </c>
      <c r="R27" s="44"/>
      <c r="S27" s="68"/>
      <c r="T27" s="136">
        <v>377625.58582184697</v>
      </c>
      <c r="U27" s="24">
        <f t="shared" si="2"/>
        <v>3</v>
      </c>
    </row>
    <row r="28" spans="1:22" x14ac:dyDescent="0.25">
      <c r="A28" s="135">
        <f t="shared" si="3"/>
        <v>12</v>
      </c>
      <c r="B28" s="134">
        <f t="shared" si="4"/>
        <v>12</v>
      </c>
      <c r="C28" s="77"/>
      <c r="D28" s="77" t="s">
        <v>564</v>
      </c>
      <c r="E28" s="129">
        <f t="shared" si="5"/>
        <v>13036215.770000001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/>
      <c r="L28" s="44"/>
      <c r="M28" s="44">
        <v>0</v>
      </c>
      <c r="N28" s="137">
        <v>2807713.83</v>
      </c>
      <c r="O28" s="137">
        <v>0</v>
      </c>
      <c r="P28" s="137">
        <v>9577950</v>
      </c>
      <c r="Q28" s="137">
        <v>0</v>
      </c>
      <c r="R28" s="137">
        <v>377498.73</v>
      </c>
      <c r="S28" s="131">
        <v>8000</v>
      </c>
      <c r="T28" s="138">
        <v>265053.21000000002</v>
      </c>
      <c r="U28" s="24">
        <f t="shared" si="2"/>
        <v>2</v>
      </c>
    </row>
    <row r="29" spans="1:22" x14ac:dyDescent="0.25">
      <c r="A29" s="135">
        <f t="shared" si="3"/>
        <v>13</v>
      </c>
      <c r="B29" s="134">
        <f t="shared" si="4"/>
        <v>13</v>
      </c>
      <c r="C29" s="77" t="s">
        <v>545</v>
      </c>
      <c r="D29" s="77" t="s">
        <v>281</v>
      </c>
      <c r="E29" s="129">
        <f t="shared" si="5"/>
        <v>947792.52460360434</v>
      </c>
      <c r="F29" s="44"/>
      <c r="G29" s="44"/>
      <c r="H29" s="44"/>
      <c r="I29" s="44">
        <v>856822.68</v>
      </c>
      <c r="J29" s="44">
        <v>0</v>
      </c>
      <c r="K29" s="44"/>
      <c r="L29" s="44"/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/>
      <c r="S29" s="68"/>
      <c r="T29" s="136">
        <v>90969.844603604302</v>
      </c>
      <c r="U29" s="24">
        <f t="shared" si="2"/>
        <v>1</v>
      </c>
    </row>
    <row r="30" spans="1:22" x14ac:dyDescent="0.25">
      <c r="A30" s="135">
        <f t="shared" si="3"/>
        <v>14</v>
      </c>
      <c r="B30" s="134">
        <f t="shared" si="4"/>
        <v>14</v>
      </c>
      <c r="C30" s="77" t="s">
        <v>545</v>
      </c>
      <c r="D30" s="77" t="s">
        <v>133</v>
      </c>
      <c r="E30" s="129">
        <f t="shared" si="5"/>
        <v>3204810.5757265971</v>
      </c>
      <c r="F30" s="44"/>
      <c r="G30" s="44">
        <v>1900545.16</v>
      </c>
      <c r="H30" s="44"/>
      <c r="I30" s="44">
        <v>1184190.3999999999</v>
      </c>
      <c r="J30" s="44">
        <v>0</v>
      </c>
      <c r="K30" s="44"/>
      <c r="L30" s="44"/>
      <c r="M30" s="44">
        <v>0</v>
      </c>
      <c r="N30" s="44">
        <v>0</v>
      </c>
      <c r="O30" s="44"/>
      <c r="P30" s="44">
        <v>0</v>
      </c>
      <c r="Q30" s="44">
        <v>0</v>
      </c>
      <c r="R30" s="44"/>
      <c r="S30" s="68"/>
      <c r="T30" s="136">
        <v>120075.0157265975</v>
      </c>
      <c r="U30" s="24">
        <f t="shared" si="2"/>
        <v>2</v>
      </c>
    </row>
    <row r="31" spans="1:22" x14ac:dyDescent="0.25">
      <c r="A31" s="135">
        <f t="shared" si="3"/>
        <v>15</v>
      </c>
      <c r="B31" s="134">
        <f t="shared" si="4"/>
        <v>15</v>
      </c>
      <c r="C31" s="77" t="s">
        <v>545</v>
      </c>
      <c r="D31" s="77" t="s">
        <v>284</v>
      </c>
      <c r="E31" s="129">
        <f t="shared" si="5"/>
        <v>7091508.1283725407</v>
      </c>
      <c r="F31" s="44">
        <v>2005222.15</v>
      </c>
      <c r="G31" s="44"/>
      <c r="H31" s="44">
        <v>0</v>
      </c>
      <c r="I31" s="44"/>
      <c r="J31" s="44">
        <v>0</v>
      </c>
      <c r="K31" s="44"/>
      <c r="L31" s="44"/>
      <c r="M31" s="44">
        <v>0</v>
      </c>
      <c r="N31" s="44">
        <v>0</v>
      </c>
      <c r="O31" s="44">
        <v>4791041.3099999996</v>
      </c>
      <c r="P31" s="44"/>
      <c r="Q31" s="44">
        <v>0</v>
      </c>
      <c r="R31" s="44"/>
      <c r="S31" s="68"/>
      <c r="T31" s="136">
        <v>295244.66837254167</v>
      </c>
      <c r="U31" s="24">
        <f t="shared" si="2"/>
        <v>2</v>
      </c>
    </row>
    <row r="32" spans="1:22" x14ac:dyDescent="0.25">
      <c r="A32" s="135">
        <f t="shared" si="3"/>
        <v>16</v>
      </c>
      <c r="B32" s="134">
        <f t="shared" si="4"/>
        <v>16</v>
      </c>
      <c r="C32" s="77" t="s">
        <v>546</v>
      </c>
      <c r="D32" s="77" t="s">
        <v>565</v>
      </c>
      <c r="E32" s="129">
        <f t="shared" si="5"/>
        <v>50879011.910000004</v>
      </c>
      <c r="F32" s="44">
        <v>0</v>
      </c>
      <c r="G32" s="44">
        <v>0</v>
      </c>
      <c r="H32" s="44">
        <v>0</v>
      </c>
      <c r="I32" s="137">
        <v>6678313.5999999996</v>
      </c>
      <c r="J32" s="137">
        <v>0</v>
      </c>
      <c r="K32" s="137"/>
      <c r="L32" s="137"/>
      <c r="M32" s="137">
        <v>0</v>
      </c>
      <c r="N32" s="137">
        <v>25055410.800000001</v>
      </c>
      <c r="O32" s="137">
        <v>16117459.310000001</v>
      </c>
      <c r="P32" s="137">
        <v>0</v>
      </c>
      <c r="Q32" s="137">
        <v>0</v>
      </c>
      <c r="R32" s="137">
        <v>1734020.86</v>
      </c>
      <c r="S32" s="131">
        <v>10000</v>
      </c>
      <c r="T32" s="138">
        <v>1283807.3400000001</v>
      </c>
      <c r="U32" s="24">
        <f t="shared" si="2"/>
        <v>3</v>
      </c>
    </row>
    <row r="33" spans="1:22" x14ac:dyDescent="0.25">
      <c r="A33" s="135">
        <f t="shared" si="3"/>
        <v>17</v>
      </c>
      <c r="B33" s="134">
        <f t="shared" si="4"/>
        <v>17</v>
      </c>
      <c r="C33" s="77" t="s">
        <v>545</v>
      </c>
      <c r="D33" s="77" t="s">
        <v>141</v>
      </c>
      <c r="E33" s="129">
        <f t="shared" si="5"/>
        <v>10558217.996456141</v>
      </c>
      <c r="F33" s="44"/>
      <c r="G33" s="44">
        <v>4716823.2</v>
      </c>
      <c r="H33" s="44"/>
      <c r="I33" s="44">
        <v>0</v>
      </c>
      <c r="J33" s="44">
        <v>0</v>
      </c>
      <c r="K33" s="44"/>
      <c r="L33" s="44"/>
      <c r="M33" s="44">
        <v>0</v>
      </c>
      <c r="N33" s="44">
        <v>5310079.2</v>
      </c>
      <c r="O33" s="44">
        <v>0</v>
      </c>
      <c r="P33" s="44">
        <v>0</v>
      </c>
      <c r="Q33" s="44">
        <v>0</v>
      </c>
      <c r="R33" s="44"/>
      <c r="S33" s="68"/>
      <c r="T33" s="136">
        <v>531315.59645614028</v>
      </c>
      <c r="U33" s="24">
        <f t="shared" si="2"/>
        <v>2</v>
      </c>
      <c r="V33" s="1" t="s">
        <v>711</v>
      </c>
    </row>
    <row r="34" spans="1:22" x14ac:dyDescent="0.25">
      <c r="A34" s="135">
        <f t="shared" si="3"/>
        <v>18</v>
      </c>
      <c r="B34" s="134">
        <f t="shared" si="4"/>
        <v>18</v>
      </c>
      <c r="C34" s="77" t="s">
        <v>545</v>
      </c>
      <c r="D34" s="77" t="s">
        <v>286</v>
      </c>
      <c r="E34" s="129">
        <f t="shared" si="5"/>
        <v>11881010.632439215</v>
      </c>
      <c r="F34" s="44"/>
      <c r="G34" s="44">
        <v>4815586.08</v>
      </c>
      <c r="H34" s="44"/>
      <c r="I34" s="44">
        <v>2345570.7400000002</v>
      </c>
      <c r="J34" s="44">
        <v>0</v>
      </c>
      <c r="K34" s="44"/>
      <c r="L34" s="44"/>
      <c r="M34" s="44">
        <v>0</v>
      </c>
      <c r="N34" s="44">
        <v>0</v>
      </c>
      <c r="O34" s="44">
        <v>4165102.0700000003</v>
      </c>
      <c r="P34" s="44">
        <v>0</v>
      </c>
      <c r="Q34" s="44">
        <v>0</v>
      </c>
      <c r="R34" s="44"/>
      <c r="S34" s="68"/>
      <c r="T34" s="136">
        <v>554751.74243921472</v>
      </c>
      <c r="U34" s="24">
        <f t="shared" si="2"/>
        <v>3</v>
      </c>
    </row>
    <row r="35" spans="1:22" x14ac:dyDescent="0.25">
      <c r="A35" s="135">
        <f t="shared" si="3"/>
        <v>19</v>
      </c>
      <c r="B35" s="134">
        <f t="shared" si="4"/>
        <v>19</v>
      </c>
      <c r="C35" s="77" t="s">
        <v>545</v>
      </c>
      <c r="D35" s="77" t="s">
        <v>287</v>
      </c>
      <c r="E35" s="129">
        <f t="shared" si="5"/>
        <v>13275635.754342195</v>
      </c>
      <c r="F35" s="44">
        <v>5601164.7400000002</v>
      </c>
      <c r="G35" s="44">
        <v>4132221.15</v>
      </c>
      <c r="H35" s="44"/>
      <c r="I35" s="44">
        <v>2594387.63</v>
      </c>
      <c r="J35" s="44">
        <v>0</v>
      </c>
      <c r="K35" s="44"/>
      <c r="L35" s="44"/>
      <c r="M35" s="44">
        <v>0</v>
      </c>
      <c r="N35" s="44">
        <v>0</v>
      </c>
      <c r="O35" s="44"/>
      <c r="P35" s="44">
        <v>0</v>
      </c>
      <c r="Q35" s="44">
        <v>0</v>
      </c>
      <c r="R35" s="44"/>
      <c r="S35" s="68"/>
      <c r="T35" s="136">
        <v>947862.23434219416</v>
      </c>
      <c r="U35" s="24">
        <f t="shared" si="2"/>
        <v>3</v>
      </c>
      <c r="V35" s="1" t="s">
        <v>711</v>
      </c>
    </row>
    <row r="36" spans="1:22" x14ac:dyDescent="0.25">
      <c r="A36" s="135">
        <f t="shared" si="3"/>
        <v>20</v>
      </c>
      <c r="B36" s="134">
        <f t="shared" si="4"/>
        <v>20</v>
      </c>
      <c r="C36" s="77" t="s">
        <v>545</v>
      </c>
      <c r="D36" s="77" t="s">
        <v>288</v>
      </c>
      <c r="E36" s="129">
        <f t="shared" si="5"/>
        <v>5240799.8242184632</v>
      </c>
      <c r="F36" s="44"/>
      <c r="G36" s="44">
        <v>1792691.85</v>
      </c>
      <c r="H36" s="44"/>
      <c r="I36" s="44">
        <v>1124322.94</v>
      </c>
      <c r="J36" s="44">
        <v>0</v>
      </c>
      <c r="K36" s="44"/>
      <c r="L36" s="44"/>
      <c r="M36" s="44">
        <v>0</v>
      </c>
      <c r="N36" s="44">
        <v>0</v>
      </c>
      <c r="O36" s="44">
        <v>1790598.95</v>
      </c>
      <c r="P36" s="44">
        <v>0</v>
      </c>
      <c r="Q36" s="44">
        <v>0</v>
      </c>
      <c r="R36" s="44"/>
      <c r="S36" s="68"/>
      <c r="T36" s="136">
        <v>533186.08421846246</v>
      </c>
      <c r="U36" s="24">
        <f t="shared" si="2"/>
        <v>3</v>
      </c>
    </row>
    <row r="37" spans="1:22" x14ac:dyDescent="0.25">
      <c r="A37" s="135">
        <f t="shared" si="3"/>
        <v>21</v>
      </c>
      <c r="B37" s="134">
        <f t="shared" si="4"/>
        <v>21</v>
      </c>
      <c r="C37" s="77" t="s">
        <v>545</v>
      </c>
      <c r="D37" s="77" t="s">
        <v>289</v>
      </c>
      <c r="E37" s="129">
        <f t="shared" si="5"/>
        <v>1569633.6837197063</v>
      </c>
      <c r="F37" s="44"/>
      <c r="G37" s="44">
        <v>991956.22</v>
      </c>
      <c r="H37" s="44"/>
      <c r="I37" s="44">
        <v>513354.67</v>
      </c>
      <c r="J37" s="44">
        <v>0</v>
      </c>
      <c r="K37" s="44"/>
      <c r="L37" s="44"/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/>
      <c r="S37" s="68"/>
      <c r="T37" s="136">
        <v>64322.793719706453</v>
      </c>
      <c r="U37" s="24">
        <f t="shared" si="2"/>
        <v>2</v>
      </c>
    </row>
    <row r="38" spans="1:22" x14ac:dyDescent="0.25">
      <c r="A38" s="135">
        <f t="shared" si="3"/>
        <v>22</v>
      </c>
      <c r="B38" s="134">
        <f t="shared" si="4"/>
        <v>22</v>
      </c>
      <c r="C38" s="77" t="s">
        <v>545</v>
      </c>
      <c r="D38" s="77" t="s">
        <v>290</v>
      </c>
      <c r="E38" s="129">
        <f t="shared" si="5"/>
        <v>6565896.2326294025</v>
      </c>
      <c r="F38" s="44">
        <v>2562057.4900000002</v>
      </c>
      <c r="G38" s="44">
        <v>1395411.2</v>
      </c>
      <c r="H38" s="44"/>
      <c r="I38" s="44">
        <v>767119.01</v>
      </c>
      <c r="J38" s="44">
        <v>0</v>
      </c>
      <c r="K38" s="44"/>
      <c r="L38" s="44"/>
      <c r="M38" s="44">
        <v>0</v>
      </c>
      <c r="N38" s="44">
        <v>0</v>
      </c>
      <c r="O38" s="44">
        <v>1469553.35</v>
      </c>
      <c r="P38" s="44">
        <v>0</v>
      </c>
      <c r="Q38" s="44">
        <v>0</v>
      </c>
      <c r="R38" s="44"/>
      <c r="S38" s="68"/>
      <c r="T38" s="136">
        <v>371755.18262940162</v>
      </c>
      <c r="U38" s="24">
        <f t="shared" si="2"/>
        <v>4</v>
      </c>
    </row>
    <row r="39" spans="1:22" x14ac:dyDescent="0.25">
      <c r="A39" s="135">
        <f t="shared" si="3"/>
        <v>23</v>
      </c>
      <c r="B39" s="134">
        <f t="shared" si="4"/>
        <v>23</v>
      </c>
      <c r="C39" s="77" t="s">
        <v>545</v>
      </c>
      <c r="D39" s="77" t="s">
        <v>291</v>
      </c>
      <c r="E39" s="129">
        <f t="shared" si="5"/>
        <v>2676812.0378491483</v>
      </c>
      <c r="F39" s="44">
        <v>2427136.19</v>
      </c>
      <c r="G39" s="44"/>
      <c r="H39" s="44"/>
      <c r="I39" s="44"/>
      <c r="J39" s="44">
        <v>0</v>
      </c>
      <c r="K39" s="44"/>
      <c r="L39" s="44"/>
      <c r="M39" s="44">
        <v>0</v>
      </c>
      <c r="N39" s="44">
        <v>0</v>
      </c>
      <c r="O39" s="44"/>
      <c r="P39" s="44">
        <v>0</v>
      </c>
      <c r="Q39" s="44">
        <v>0</v>
      </c>
      <c r="R39" s="44"/>
      <c r="S39" s="68"/>
      <c r="T39" s="136">
        <v>249675.84784914847</v>
      </c>
      <c r="U39" s="24">
        <f t="shared" si="2"/>
        <v>1</v>
      </c>
      <c r="V39" s="1" t="s">
        <v>711</v>
      </c>
    </row>
    <row r="40" spans="1:22" x14ac:dyDescent="0.25">
      <c r="A40" s="135">
        <f t="shared" si="3"/>
        <v>24</v>
      </c>
      <c r="B40" s="134">
        <f t="shared" si="4"/>
        <v>24</v>
      </c>
      <c r="C40" s="77" t="s">
        <v>546</v>
      </c>
      <c r="D40" s="77" t="s">
        <v>567</v>
      </c>
      <c r="E40" s="129">
        <f t="shared" si="5"/>
        <v>3289538.05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/>
      <c r="L40" s="44"/>
      <c r="M40" s="44">
        <v>0</v>
      </c>
      <c r="N40" s="137">
        <v>2913300.81</v>
      </c>
      <c r="O40" s="137">
        <v>0</v>
      </c>
      <c r="P40" s="137">
        <v>0</v>
      </c>
      <c r="Q40" s="137">
        <v>0</v>
      </c>
      <c r="R40" s="137">
        <v>297498.73</v>
      </c>
      <c r="S40" s="131">
        <v>8000</v>
      </c>
      <c r="T40" s="138">
        <v>70738.509999999995</v>
      </c>
      <c r="U40" s="24">
        <f t="shared" si="2"/>
        <v>1</v>
      </c>
    </row>
    <row r="41" spans="1:22" x14ac:dyDescent="0.25">
      <c r="A41" s="135">
        <f t="shared" si="3"/>
        <v>25</v>
      </c>
      <c r="B41" s="134">
        <f t="shared" si="4"/>
        <v>25</v>
      </c>
      <c r="C41" s="77" t="s">
        <v>545</v>
      </c>
      <c r="D41" s="77" t="s">
        <v>62</v>
      </c>
      <c r="E41" s="129">
        <f>SUBTOTAL(9,F41:T41)</f>
        <v>11247578.769128263</v>
      </c>
      <c r="F41" s="44">
        <v>6371778.620193528</v>
      </c>
      <c r="G41" s="44">
        <v>2540840.59</v>
      </c>
      <c r="H41" s="44">
        <v>0</v>
      </c>
      <c r="I41" s="44">
        <v>1797583.57</v>
      </c>
      <c r="J41" s="44">
        <v>0</v>
      </c>
      <c r="K41" s="44"/>
      <c r="L41" s="44"/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/>
      <c r="S41" s="68"/>
      <c r="T41" s="136">
        <v>537375.98893473484</v>
      </c>
      <c r="U41" s="24">
        <f>COUNTIF(F41:Q41,"&gt;0")</f>
        <v>3</v>
      </c>
      <c r="V41" s="1" t="s">
        <v>711</v>
      </c>
    </row>
    <row r="42" spans="1:22" x14ac:dyDescent="0.25">
      <c r="A42" s="135">
        <f t="shared" si="3"/>
        <v>26</v>
      </c>
      <c r="B42" s="134">
        <f t="shared" si="4"/>
        <v>26</v>
      </c>
      <c r="C42" s="77" t="s">
        <v>546</v>
      </c>
      <c r="D42" s="77" t="s">
        <v>566</v>
      </c>
      <c r="E42" s="129">
        <f t="shared" si="5"/>
        <v>3685808.05</v>
      </c>
      <c r="F42" s="137">
        <v>2951330.4</v>
      </c>
      <c r="G42" s="137">
        <v>0</v>
      </c>
      <c r="H42" s="137">
        <v>0</v>
      </c>
      <c r="I42" s="137">
        <v>0</v>
      </c>
      <c r="J42" s="137">
        <v>0</v>
      </c>
      <c r="K42" s="137"/>
      <c r="L42" s="137"/>
      <c r="M42" s="137">
        <v>0</v>
      </c>
      <c r="N42" s="137">
        <v>0</v>
      </c>
      <c r="O42" s="137"/>
      <c r="P42" s="137">
        <v>0</v>
      </c>
      <c r="Q42" s="137">
        <v>0</v>
      </c>
      <c r="R42" s="137">
        <v>582619.32999999996</v>
      </c>
      <c r="S42" s="131">
        <v>24000</v>
      </c>
      <c r="T42" s="138">
        <v>127858.32</v>
      </c>
      <c r="U42" s="24">
        <f t="shared" si="2"/>
        <v>1</v>
      </c>
    </row>
    <row r="43" spans="1:22" x14ac:dyDescent="0.25">
      <c r="A43" s="135">
        <f t="shared" si="3"/>
        <v>27</v>
      </c>
      <c r="B43" s="134">
        <f t="shared" si="4"/>
        <v>27</v>
      </c>
      <c r="C43" s="77" t="s">
        <v>545</v>
      </c>
      <c r="D43" s="77" t="s">
        <v>64</v>
      </c>
      <c r="E43" s="129">
        <f>SUBTOTAL(9,F43:T43)</f>
        <v>11848373.487256411</v>
      </c>
      <c r="F43" s="44">
        <v>6358104.2193061095</v>
      </c>
      <c r="G43" s="44">
        <v>2760585.92</v>
      </c>
      <c r="H43" s="44">
        <v>0</v>
      </c>
      <c r="I43" s="44">
        <v>2192924.2209056863</v>
      </c>
      <c r="J43" s="44">
        <v>0</v>
      </c>
      <c r="K43" s="44"/>
      <c r="L43" s="44"/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/>
      <c r="S43" s="68"/>
      <c r="T43" s="136">
        <v>536759.12704461697</v>
      </c>
      <c r="U43" s="24">
        <f>COUNTIF(F43:Q43,"&gt;0")</f>
        <v>3</v>
      </c>
      <c r="V43" s="1" t="s">
        <v>711</v>
      </c>
    </row>
    <row r="44" spans="1:22" x14ac:dyDescent="0.25">
      <c r="A44" s="135">
        <f t="shared" si="3"/>
        <v>28</v>
      </c>
      <c r="B44" s="134">
        <f t="shared" si="4"/>
        <v>28</v>
      </c>
      <c r="C44" s="77" t="s">
        <v>545</v>
      </c>
      <c r="D44" s="77" t="s">
        <v>149</v>
      </c>
      <c r="E44" s="129">
        <f t="shared" si="5"/>
        <v>5302435.6314287242</v>
      </c>
      <c r="F44" s="44"/>
      <c r="G44" s="44">
        <v>0</v>
      </c>
      <c r="H44" s="44">
        <v>0</v>
      </c>
      <c r="I44" s="44"/>
      <c r="J44" s="44">
        <v>0</v>
      </c>
      <c r="K44" s="44"/>
      <c r="L44" s="44"/>
      <c r="M44" s="44">
        <v>0</v>
      </c>
      <c r="N44" s="44">
        <v>0</v>
      </c>
      <c r="O44" s="44">
        <v>5115227.17</v>
      </c>
      <c r="P44" s="44">
        <v>0</v>
      </c>
      <c r="Q44" s="44">
        <v>0</v>
      </c>
      <c r="R44" s="44"/>
      <c r="S44" s="68"/>
      <c r="T44" s="136">
        <v>187208.46142872394</v>
      </c>
      <c r="U44" s="24">
        <f t="shared" si="2"/>
        <v>1</v>
      </c>
    </row>
    <row r="45" spans="1:22" x14ac:dyDescent="0.25">
      <c r="A45" s="135">
        <f t="shared" si="3"/>
        <v>29</v>
      </c>
      <c r="B45" s="134">
        <f t="shared" si="4"/>
        <v>29</v>
      </c>
      <c r="C45" s="77" t="s">
        <v>545</v>
      </c>
      <c r="D45" s="77" t="s">
        <v>459</v>
      </c>
      <c r="E45" s="129">
        <f t="shared" si="5"/>
        <v>4475493.9860630399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/>
      <c r="L45" s="44"/>
      <c r="M45" s="44">
        <v>0</v>
      </c>
      <c r="N45" s="44">
        <v>0</v>
      </c>
      <c r="O45" s="44">
        <v>4339069.3499999996</v>
      </c>
      <c r="P45" s="44">
        <v>0</v>
      </c>
      <c r="Q45" s="44">
        <v>0</v>
      </c>
      <c r="R45" s="44"/>
      <c r="S45" s="68"/>
      <c r="T45" s="136">
        <v>136424.63606304</v>
      </c>
      <c r="U45" s="24">
        <f t="shared" si="2"/>
        <v>1</v>
      </c>
    </row>
    <row r="46" spans="1:22" x14ac:dyDescent="0.25">
      <c r="A46" s="135">
        <f t="shared" si="3"/>
        <v>30</v>
      </c>
      <c r="B46" s="134">
        <f t="shared" si="4"/>
        <v>30</v>
      </c>
      <c r="C46" s="77" t="s">
        <v>545</v>
      </c>
      <c r="D46" s="77" t="s">
        <v>460</v>
      </c>
      <c r="E46" s="129">
        <f t="shared" si="5"/>
        <v>4016836.5007339842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/>
      <c r="L46" s="44"/>
      <c r="M46" s="44">
        <v>0</v>
      </c>
      <c r="N46" s="44">
        <v>0</v>
      </c>
      <c r="O46" s="44">
        <v>3882256.24</v>
      </c>
      <c r="P46" s="44">
        <v>0</v>
      </c>
      <c r="Q46" s="44">
        <v>0</v>
      </c>
      <c r="R46" s="44"/>
      <c r="S46" s="68"/>
      <c r="T46" s="136">
        <v>134580.260733984</v>
      </c>
      <c r="U46" s="24">
        <f t="shared" si="2"/>
        <v>1</v>
      </c>
    </row>
    <row r="47" spans="1:22" x14ac:dyDescent="0.25">
      <c r="A47" s="135">
        <f t="shared" si="3"/>
        <v>31</v>
      </c>
      <c r="B47" s="134">
        <f t="shared" si="4"/>
        <v>31</v>
      </c>
      <c r="C47" s="77" t="s">
        <v>545</v>
      </c>
      <c r="D47" s="77" t="s">
        <v>461</v>
      </c>
      <c r="E47" s="129">
        <f t="shared" si="5"/>
        <v>4129287.6900192644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/>
      <c r="L47" s="44"/>
      <c r="M47" s="44">
        <v>0</v>
      </c>
      <c r="N47" s="44">
        <v>0</v>
      </c>
      <c r="O47" s="44">
        <v>3994725.91</v>
      </c>
      <c r="P47" s="44">
        <v>0</v>
      </c>
      <c r="Q47" s="44">
        <v>0</v>
      </c>
      <c r="R47" s="44"/>
      <c r="S47" s="68"/>
      <c r="T47" s="136">
        <v>134561.780019264</v>
      </c>
      <c r="U47" s="24">
        <f t="shared" si="2"/>
        <v>1</v>
      </c>
    </row>
    <row r="48" spans="1:22" x14ac:dyDescent="0.25">
      <c r="A48" s="135">
        <f t="shared" si="3"/>
        <v>32</v>
      </c>
      <c r="B48" s="134">
        <f t="shared" si="4"/>
        <v>32</v>
      </c>
      <c r="C48" s="77" t="s">
        <v>545</v>
      </c>
      <c r="D48" s="77" t="s">
        <v>458</v>
      </c>
      <c r="E48" s="129">
        <f t="shared" si="5"/>
        <v>3549906.48971568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/>
      <c r="L48" s="44"/>
      <c r="M48" s="44">
        <v>0</v>
      </c>
      <c r="N48" s="44">
        <v>0</v>
      </c>
      <c r="O48" s="44">
        <v>3410025.96</v>
      </c>
      <c r="P48" s="44">
        <v>0</v>
      </c>
      <c r="Q48" s="44">
        <v>0</v>
      </c>
      <c r="R48" s="44"/>
      <c r="S48" s="68"/>
      <c r="T48" s="136">
        <v>139880.52971567999</v>
      </c>
      <c r="U48" s="24">
        <f t="shared" si="2"/>
        <v>1</v>
      </c>
      <c r="V48" s="1" t="s">
        <v>711</v>
      </c>
    </row>
    <row r="49" spans="1:22" x14ac:dyDescent="0.25">
      <c r="A49" s="135">
        <f t="shared" si="3"/>
        <v>33</v>
      </c>
      <c r="B49" s="134">
        <f t="shared" si="4"/>
        <v>33</v>
      </c>
      <c r="C49" s="77" t="s">
        <v>545</v>
      </c>
      <c r="D49" s="77" t="s">
        <v>297</v>
      </c>
      <c r="E49" s="129">
        <f t="shared" si="5"/>
        <v>12323375.331853973</v>
      </c>
      <c r="F49" s="44">
        <v>5460916.2000000002</v>
      </c>
      <c r="G49" s="44"/>
      <c r="H49" s="44"/>
      <c r="I49" s="44">
        <v>2605145.33</v>
      </c>
      <c r="J49" s="44">
        <v>0</v>
      </c>
      <c r="K49" s="44"/>
      <c r="L49" s="44"/>
      <c r="M49" s="44">
        <v>0</v>
      </c>
      <c r="N49" s="44">
        <v>3676226.7</v>
      </c>
      <c r="O49" s="44">
        <v>0</v>
      </c>
      <c r="P49" s="44">
        <v>0</v>
      </c>
      <c r="Q49" s="44">
        <v>0</v>
      </c>
      <c r="R49" s="44"/>
      <c r="S49" s="68"/>
      <c r="T49" s="136">
        <v>581087.10185397218</v>
      </c>
      <c r="U49" s="24">
        <f t="shared" si="2"/>
        <v>3</v>
      </c>
    </row>
    <row r="50" spans="1:22" x14ac:dyDescent="0.25">
      <c r="A50" s="135">
        <f t="shared" si="3"/>
        <v>34</v>
      </c>
      <c r="B50" s="134">
        <f t="shared" si="4"/>
        <v>34</v>
      </c>
      <c r="C50" s="77" t="s">
        <v>545</v>
      </c>
      <c r="D50" s="77" t="s">
        <v>163</v>
      </c>
      <c r="E50" s="129">
        <f t="shared" si="5"/>
        <v>26057138.58937408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/>
      <c r="L50" s="44"/>
      <c r="M50" s="44">
        <v>0</v>
      </c>
      <c r="N50" s="44"/>
      <c r="O50" s="44">
        <v>0</v>
      </c>
      <c r="P50" s="44">
        <v>24993173.34</v>
      </c>
      <c r="Q50" s="44">
        <v>0</v>
      </c>
      <c r="R50" s="44"/>
      <c r="S50" s="68"/>
      <c r="T50" s="136">
        <v>1063965.2493740798</v>
      </c>
      <c r="U50" s="24">
        <f t="shared" si="2"/>
        <v>1</v>
      </c>
    </row>
    <row r="51" spans="1:22" x14ac:dyDescent="0.25">
      <c r="A51" s="135">
        <f t="shared" si="3"/>
        <v>35</v>
      </c>
      <c r="B51" s="134">
        <f t="shared" si="4"/>
        <v>35</v>
      </c>
      <c r="C51" s="77" t="s">
        <v>545</v>
      </c>
      <c r="D51" s="77" t="s">
        <v>300</v>
      </c>
      <c r="E51" s="129">
        <f t="shared" si="5"/>
        <v>2330396.1391615798</v>
      </c>
      <c r="F51" s="44"/>
      <c r="G51" s="44">
        <v>2149155.58</v>
      </c>
      <c r="H51" s="44">
        <v>0</v>
      </c>
      <c r="I51" s="44">
        <v>0</v>
      </c>
      <c r="J51" s="44">
        <v>0</v>
      </c>
      <c r="K51" s="44"/>
      <c r="L51" s="44"/>
      <c r="M51" s="44"/>
      <c r="N51" s="44"/>
      <c r="O51" s="44"/>
      <c r="P51" s="44"/>
      <c r="Q51" s="44">
        <v>0</v>
      </c>
      <c r="R51" s="44"/>
      <c r="S51" s="68"/>
      <c r="T51" s="136">
        <v>181240.55916157967</v>
      </c>
      <c r="U51" s="24">
        <f t="shared" si="2"/>
        <v>1</v>
      </c>
    </row>
    <row r="52" spans="1:22" x14ac:dyDescent="0.25">
      <c r="A52" s="135">
        <f t="shared" si="3"/>
        <v>36</v>
      </c>
      <c r="B52" s="134">
        <f t="shared" si="4"/>
        <v>36</v>
      </c>
      <c r="C52" s="77" t="s">
        <v>545</v>
      </c>
      <c r="D52" s="77" t="s">
        <v>70</v>
      </c>
      <c r="E52" s="129">
        <f t="shared" si="5"/>
        <v>1888185.6276605655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/>
      <c r="L52" s="44"/>
      <c r="M52" s="44">
        <v>0</v>
      </c>
      <c r="N52" s="44">
        <v>1822287.29</v>
      </c>
      <c r="O52" s="44">
        <v>0</v>
      </c>
      <c r="P52" s="44">
        <v>0</v>
      </c>
      <c r="Q52" s="44">
        <v>0</v>
      </c>
      <c r="R52" s="44"/>
      <c r="S52" s="68"/>
      <c r="T52" s="136">
        <v>65898.337660565405</v>
      </c>
      <c r="U52" s="24">
        <f t="shared" si="2"/>
        <v>1</v>
      </c>
    </row>
    <row r="53" spans="1:22" x14ac:dyDescent="0.25">
      <c r="A53" s="135">
        <f t="shared" si="3"/>
        <v>37</v>
      </c>
      <c r="B53" s="134">
        <f t="shared" si="4"/>
        <v>37</v>
      </c>
      <c r="C53" s="77" t="s">
        <v>546</v>
      </c>
      <c r="D53" s="77" t="s">
        <v>678</v>
      </c>
      <c r="E53" s="129">
        <f t="shared" si="5"/>
        <v>22074493.369999997</v>
      </c>
      <c r="F53" s="44"/>
      <c r="G53" s="137">
        <v>6965734.7999999998</v>
      </c>
      <c r="H53" s="137">
        <v>2892341.42</v>
      </c>
      <c r="I53" s="137">
        <v>3341459.79</v>
      </c>
      <c r="J53" s="137">
        <v>0</v>
      </c>
      <c r="K53" s="137"/>
      <c r="L53" s="137"/>
      <c r="M53" s="137">
        <v>0</v>
      </c>
      <c r="N53" s="137">
        <v>7743707.0499999998</v>
      </c>
      <c r="O53" s="137">
        <v>0</v>
      </c>
      <c r="P53" s="137">
        <v>0</v>
      </c>
      <c r="Q53" s="137">
        <v>0</v>
      </c>
      <c r="R53" s="137">
        <v>732528.68</v>
      </c>
      <c r="S53" s="131">
        <v>10000</v>
      </c>
      <c r="T53" s="138">
        <v>388721.63</v>
      </c>
      <c r="U53" s="24">
        <f t="shared" ref="U53" si="6">COUNTIF(F53:Q53,"&gt;0")</f>
        <v>4</v>
      </c>
    </row>
    <row r="54" spans="1:22" x14ac:dyDescent="0.25">
      <c r="A54" s="135">
        <f t="shared" si="3"/>
        <v>38</v>
      </c>
      <c r="B54" s="134">
        <f t="shared" si="4"/>
        <v>38</v>
      </c>
      <c r="C54" s="77" t="s">
        <v>72</v>
      </c>
      <c r="D54" s="77" t="s">
        <v>308</v>
      </c>
      <c r="E54" s="129">
        <f>SUBTOTAL(9,F54:T54)</f>
        <v>12738229.499971401</v>
      </c>
      <c r="F54" s="44">
        <v>1983392.29</v>
      </c>
      <c r="G54" s="44">
        <v>0</v>
      </c>
      <c r="H54" s="44">
        <v>764851.03</v>
      </c>
      <c r="I54" s="44">
        <v>859745.54</v>
      </c>
      <c r="J54" s="44">
        <v>0</v>
      </c>
      <c r="K54" s="44"/>
      <c r="L54" s="44"/>
      <c r="M54" s="44">
        <v>0</v>
      </c>
      <c r="N54" s="44">
        <v>4729777.2699999996</v>
      </c>
      <c r="O54" s="44">
        <v>0</v>
      </c>
      <c r="P54" s="44">
        <v>3962700.17</v>
      </c>
      <c r="Q54" s="44"/>
      <c r="R54" s="44">
        <v>118987.5845</v>
      </c>
      <c r="S54" s="68">
        <v>24854.014500000001</v>
      </c>
      <c r="T54" s="136">
        <v>293921.60097140004</v>
      </c>
      <c r="U54" s="24">
        <f>COUNTIF(F54:Q54,"&gt;0")</f>
        <v>5</v>
      </c>
    </row>
    <row r="55" spans="1:22" x14ac:dyDescent="0.25">
      <c r="A55" s="135">
        <f t="shared" si="3"/>
        <v>39</v>
      </c>
      <c r="B55" s="134">
        <f t="shared" si="4"/>
        <v>39</v>
      </c>
      <c r="C55" s="77" t="s">
        <v>72</v>
      </c>
      <c r="D55" s="77" t="s">
        <v>309</v>
      </c>
      <c r="E55" s="129">
        <f t="shared" si="5"/>
        <v>10031683.765631998</v>
      </c>
      <c r="F55" s="44">
        <v>3525522.9</v>
      </c>
      <c r="G55" s="44">
        <v>0</v>
      </c>
      <c r="H55" s="44">
        <v>1377151.25</v>
      </c>
      <c r="I55" s="44"/>
      <c r="J55" s="44">
        <v>0</v>
      </c>
      <c r="K55" s="44"/>
      <c r="L55" s="44"/>
      <c r="M55" s="44">
        <v>0</v>
      </c>
      <c r="N55" s="44">
        <v>4462778.8899999997</v>
      </c>
      <c r="O55" s="44">
        <v>0</v>
      </c>
      <c r="P55" s="44">
        <v>0</v>
      </c>
      <c r="Q55" s="44">
        <v>0</v>
      </c>
      <c r="R55" s="44">
        <v>322308.04000000004</v>
      </c>
      <c r="S55" s="68">
        <v>48000</v>
      </c>
      <c r="T55" s="136">
        <v>295922.68563200004</v>
      </c>
      <c r="U55" s="24">
        <f t="shared" si="2"/>
        <v>3</v>
      </c>
    </row>
    <row r="56" spans="1:22" x14ac:dyDescent="0.25">
      <c r="A56" s="135">
        <f t="shared" si="3"/>
        <v>40</v>
      </c>
      <c r="B56" s="134">
        <f t="shared" si="4"/>
        <v>40</v>
      </c>
      <c r="C56" s="77" t="s">
        <v>72</v>
      </c>
      <c r="D56" s="77" t="s">
        <v>311</v>
      </c>
      <c r="E56" s="129">
        <f t="shared" si="5"/>
        <v>7884285.4414625997</v>
      </c>
      <c r="F56" s="44">
        <v>5966685.6799999997</v>
      </c>
      <c r="G56" s="44">
        <v>1488946.14</v>
      </c>
      <c r="H56" s="44"/>
      <c r="I56" s="44"/>
      <c r="J56" s="44">
        <v>0</v>
      </c>
      <c r="K56" s="44"/>
      <c r="L56" s="44"/>
      <c r="M56" s="44">
        <v>0</v>
      </c>
      <c r="N56" s="44"/>
      <c r="O56" s="44">
        <v>0</v>
      </c>
      <c r="P56" s="44"/>
      <c r="Q56" s="44"/>
      <c r="R56" s="44"/>
      <c r="S56" s="68"/>
      <c r="T56" s="136">
        <v>428653.62146259996</v>
      </c>
      <c r="U56" s="24">
        <f t="shared" si="2"/>
        <v>2</v>
      </c>
    </row>
    <row r="57" spans="1:22" x14ac:dyDescent="0.25">
      <c r="A57" s="135">
        <f t="shared" si="3"/>
        <v>41</v>
      </c>
      <c r="B57" s="134">
        <f t="shared" si="4"/>
        <v>41</v>
      </c>
      <c r="C57" s="77" t="s">
        <v>72</v>
      </c>
      <c r="D57" s="77" t="s">
        <v>312</v>
      </c>
      <c r="E57" s="129">
        <f t="shared" si="5"/>
        <v>12731761.31732418</v>
      </c>
      <c r="F57" s="44">
        <v>1765727.93</v>
      </c>
      <c r="G57" s="44">
        <v>0</v>
      </c>
      <c r="H57" s="44">
        <v>609050.4</v>
      </c>
      <c r="I57" s="44"/>
      <c r="J57" s="44">
        <v>0</v>
      </c>
      <c r="K57" s="44"/>
      <c r="L57" s="44"/>
      <c r="M57" s="44">
        <v>0</v>
      </c>
      <c r="N57" s="44">
        <v>6221591.2110660002</v>
      </c>
      <c r="O57" s="44"/>
      <c r="P57" s="44"/>
      <c r="Q57" s="44">
        <v>2928661.91</v>
      </c>
      <c r="R57" s="44">
        <v>699135.1274</v>
      </c>
      <c r="S57" s="68">
        <v>90522.263900000005</v>
      </c>
      <c r="T57" s="136">
        <v>417072.47495817998</v>
      </c>
      <c r="U57" s="24">
        <f>COUNTIF(F57:Q57,"&gt;0")</f>
        <v>4</v>
      </c>
      <c r="V57" s="1" t="s">
        <v>714</v>
      </c>
    </row>
    <row r="58" spans="1:22" x14ac:dyDescent="0.25">
      <c r="A58" s="135">
        <f t="shared" si="3"/>
        <v>42</v>
      </c>
      <c r="B58" s="134">
        <f t="shared" si="4"/>
        <v>42</v>
      </c>
      <c r="C58" s="77" t="s">
        <v>72</v>
      </c>
      <c r="D58" s="77" t="s">
        <v>313</v>
      </c>
      <c r="E58" s="129">
        <f t="shared" si="5"/>
        <v>7296497.5090870196</v>
      </c>
      <c r="F58" s="44">
        <v>3493966.86</v>
      </c>
      <c r="G58" s="44">
        <v>2141042.75</v>
      </c>
      <c r="H58" s="44"/>
      <c r="I58" s="44">
        <v>1393455.49</v>
      </c>
      <c r="J58" s="44"/>
      <c r="K58" s="44"/>
      <c r="L58" s="44"/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/>
      <c r="S58" s="68"/>
      <c r="T58" s="136">
        <v>268032.40908702003</v>
      </c>
      <c r="U58" s="24">
        <f t="shared" si="2"/>
        <v>3</v>
      </c>
    </row>
    <row r="59" spans="1:22" x14ac:dyDescent="0.25">
      <c r="A59" s="135">
        <f t="shared" si="3"/>
        <v>43</v>
      </c>
      <c r="B59" s="134">
        <f t="shared" si="4"/>
        <v>43</v>
      </c>
      <c r="C59" s="77" t="s">
        <v>72</v>
      </c>
      <c r="D59" s="77" t="s">
        <v>310</v>
      </c>
      <c r="E59" s="129">
        <f>SUBTOTAL(9,F59:T59)</f>
        <v>50935943.967325002</v>
      </c>
      <c r="F59" s="44">
        <v>5399356.9199999999</v>
      </c>
      <c r="G59" s="44"/>
      <c r="H59" s="44">
        <v>2387945.1800000002</v>
      </c>
      <c r="I59" s="44">
        <v>2433472.6800000002</v>
      </c>
      <c r="J59" s="44"/>
      <c r="K59" s="44"/>
      <c r="L59" s="44"/>
      <c r="M59" s="44">
        <v>0</v>
      </c>
      <c r="N59" s="44">
        <v>11379650.75</v>
      </c>
      <c r="O59" s="44">
        <v>0</v>
      </c>
      <c r="P59" s="44">
        <v>18883188.84</v>
      </c>
      <c r="Q59" s="44">
        <v>8812365.2793959994</v>
      </c>
      <c r="R59" s="44">
        <v>276792.45750000002</v>
      </c>
      <c r="S59" s="68">
        <v>44508.167499999996</v>
      </c>
      <c r="T59" s="136">
        <v>1318663.6929290001</v>
      </c>
      <c r="U59" s="24">
        <f>COUNTIF(F59:Q59,"&gt;0")</f>
        <v>6</v>
      </c>
      <c r="V59" s="1" t="s">
        <v>712</v>
      </c>
    </row>
    <row r="60" spans="1:22" x14ac:dyDescent="0.25">
      <c r="A60" s="135">
        <f t="shared" si="3"/>
        <v>44</v>
      </c>
      <c r="B60" s="134">
        <f t="shared" si="4"/>
        <v>44</v>
      </c>
      <c r="C60" s="77" t="s">
        <v>72</v>
      </c>
      <c r="D60" s="77" t="s">
        <v>317</v>
      </c>
      <c r="E60" s="129">
        <f t="shared" si="5"/>
        <v>9358782.4640582055</v>
      </c>
      <c r="F60" s="44">
        <v>1114194.82</v>
      </c>
      <c r="G60" s="44">
        <v>0</v>
      </c>
      <c r="H60" s="44">
        <v>325054.98</v>
      </c>
      <c r="I60" s="44">
        <v>0</v>
      </c>
      <c r="J60" s="44">
        <v>0</v>
      </c>
      <c r="K60" s="44"/>
      <c r="L60" s="44"/>
      <c r="M60" s="44">
        <v>0</v>
      </c>
      <c r="N60" s="44">
        <v>2410884.9500000002</v>
      </c>
      <c r="O60" s="44">
        <v>0</v>
      </c>
      <c r="P60" s="44">
        <v>2965969.93</v>
      </c>
      <c r="Q60" s="44">
        <v>2124525.0299999998</v>
      </c>
      <c r="R60" s="44">
        <v>222088.61</v>
      </c>
      <c r="S60" s="44">
        <v>64189.444058208501</v>
      </c>
      <c r="T60" s="136">
        <v>131874.70000000001</v>
      </c>
      <c r="U60" s="24">
        <f t="shared" si="2"/>
        <v>5</v>
      </c>
    </row>
    <row r="61" spans="1:22" x14ac:dyDescent="0.25">
      <c r="A61" s="135">
        <f t="shared" si="3"/>
        <v>45</v>
      </c>
      <c r="B61" s="134">
        <f t="shared" si="4"/>
        <v>45</v>
      </c>
      <c r="C61" s="77" t="s">
        <v>72</v>
      </c>
      <c r="D61" s="77" t="s">
        <v>171</v>
      </c>
      <c r="E61" s="129">
        <f t="shared" si="5"/>
        <v>495705.70943093998</v>
      </c>
      <c r="F61" s="44">
        <v>0</v>
      </c>
      <c r="G61" s="44">
        <v>0</v>
      </c>
      <c r="H61" s="44">
        <v>295096.46000000002</v>
      </c>
      <c r="I61" s="44">
        <v>0</v>
      </c>
      <c r="J61" s="44">
        <v>0</v>
      </c>
      <c r="K61" s="44"/>
      <c r="L61" s="44"/>
      <c r="M61" s="44">
        <v>0</v>
      </c>
      <c r="N61" s="44">
        <v>0</v>
      </c>
      <c r="O61" s="44">
        <v>0</v>
      </c>
      <c r="P61" s="44"/>
      <c r="Q61" s="44"/>
      <c r="R61" s="44"/>
      <c r="S61" s="68"/>
      <c r="T61" s="136">
        <v>200609.24943093999</v>
      </c>
      <c r="U61" s="24">
        <f t="shared" si="2"/>
        <v>1</v>
      </c>
    </row>
    <row r="62" spans="1:22" x14ac:dyDescent="0.25">
      <c r="A62" s="135">
        <f t="shared" si="3"/>
        <v>46</v>
      </c>
      <c r="B62" s="134">
        <f t="shared" si="4"/>
        <v>46</v>
      </c>
      <c r="C62" s="77" t="s">
        <v>72</v>
      </c>
      <c r="D62" s="77" t="s">
        <v>172</v>
      </c>
      <c r="E62" s="129">
        <f t="shared" si="5"/>
        <v>494070.75222363998</v>
      </c>
      <c r="F62" s="44">
        <v>0</v>
      </c>
      <c r="G62" s="44">
        <v>0</v>
      </c>
      <c r="H62" s="44">
        <v>295096.46000000002</v>
      </c>
      <c r="I62" s="44">
        <v>0</v>
      </c>
      <c r="J62" s="44">
        <v>0</v>
      </c>
      <c r="K62" s="44"/>
      <c r="L62" s="44"/>
      <c r="M62" s="44">
        <v>0</v>
      </c>
      <c r="N62" s="44">
        <v>0</v>
      </c>
      <c r="O62" s="44">
        <v>0</v>
      </c>
      <c r="P62" s="44"/>
      <c r="Q62" s="44"/>
      <c r="R62" s="44"/>
      <c r="S62" s="68"/>
      <c r="T62" s="136">
        <v>198974.29222363996</v>
      </c>
      <c r="U62" s="24">
        <f t="shared" si="2"/>
        <v>1</v>
      </c>
    </row>
    <row r="63" spans="1:22" x14ac:dyDescent="0.25">
      <c r="A63" s="135">
        <f t="shared" si="3"/>
        <v>47</v>
      </c>
      <c r="B63" s="134">
        <f t="shared" si="4"/>
        <v>47</v>
      </c>
      <c r="C63" s="77" t="s">
        <v>72</v>
      </c>
      <c r="D63" s="77" t="s">
        <v>315</v>
      </c>
      <c r="E63" s="129">
        <f t="shared" si="5"/>
        <v>20563603.904344082</v>
      </c>
      <c r="F63" s="139"/>
      <c r="G63" s="44"/>
      <c r="H63" s="81"/>
      <c r="I63" s="44"/>
      <c r="J63" s="44"/>
      <c r="K63" s="44"/>
      <c r="L63" s="44"/>
      <c r="M63" s="44">
        <v>0</v>
      </c>
      <c r="N63" s="44"/>
      <c r="O63" s="44">
        <v>0</v>
      </c>
      <c r="P63" s="44">
        <v>13315014.15</v>
      </c>
      <c r="Q63" s="44">
        <v>6316602.7000000002</v>
      </c>
      <c r="R63" s="44">
        <v>184016.59</v>
      </c>
      <c r="S63" s="68"/>
      <c r="T63" s="136">
        <v>747970.46434408007</v>
      </c>
      <c r="U63" s="24">
        <f t="shared" si="2"/>
        <v>2</v>
      </c>
    </row>
    <row r="64" spans="1:22" x14ac:dyDescent="0.25">
      <c r="A64" s="135">
        <f t="shared" si="3"/>
        <v>48</v>
      </c>
      <c r="B64" s="134">
        <f t="shared" si="4"/>
        <v>48</v>
      </c>
      <c r="C64" s="77" t="s">
        <v>72</v>
      </c>
      <c r="D64" s="77" t="s">
        <v>316</v>
      </c>
      <c r="E64" s="129">
        <f t="shared" si="5"/>
        <v>26746433.920307983</v>
      </c>
      <c r="F64" s="44">
        <v>4769407.0999999996</v>
      </c>
      <c r="G64" s="44"/>
      <c r="H64" s="81"/>
      <c r="I64" s="44">
        <v>1031316.84</v>
      </c>
      <c r="J64" s="44"/>
      <c r="K64" s="44"/>
      <c r="L64" s="44"/>
      <c r="M64" s="44">
        <v>0</v>
      </c>
      <c r="N64" s="44">
        <v>10189652.140000001</v>
      </c>
      <c r="O64" s="44">
        <v>0</v>
      </c>
      <c r="P64" s="44">
        <v>7616799.1900000004</v>
      </c>
      <c r="Q64" s="44">
        <v>787626.31</v>
      </c>
      <c r="R64" s="44">
        <v>1118801.8879009918</v>
      </c>
      <c r="S64" s="44">
        <v>64785.607900991992</v>
      </c>
      <c r="T64" s="136">
        <v>1168044.8445060002</v>
      </c>
      <c r="U64" s="24">
        <f t="shared" si="2"/>
        <v>5</v>
      </c>
    </row>
    <row r="65" spans="1:22" x14ac:dyDescent="0.25">
      <c r="A65" s="135">
        <f t="shared" si="3"/>
        <v>49</v>
      </c>
      <c r="B65" s="134">
        <f t="shared" si="4"/>
        <v>49</v>
      </c>
      <c r="C65" s="77" t="s">
        <v>72</v>
      </c>
      <c r="D65" s="77" t="s">
        <v>467</v>
      </c>
      <c r="E65" s="129">
        <f>SUBTOTAL(9,F65:T65)</f>
        <v>701860.01140024001</v>
      </c>
      <c r="F65" s="44"/>
      <c r="G65" s="44"/>
      <c r="H65" s="44">
        <v>657551.96</v>
      </c>
      <c r="I65" s="44"/>
      <c r="J65" s="44"/>
      <c r="K65" s="44"/>
      <c r="L65" s="44"/>
      <c r="M65" s="44">
        <v>0</v>
      </c>
      <c r="N65" s="44"/>
      <c r="O65" s="44">
        <v>0</v>
      </c>
      <c r="P65" s="44">
        <v>0</v>
      </c>
      <c r="Q65" s="44">
        <v>0</v>
      </c>
      <c r="R65" s="44"/>
      <c r="S65" s="68"/>
      <c r="T65" s="136">
        <v>44308.051400240001</v>
      </c>
      <c r="U65" s="24">
        <f>COUNTIF(F65:Q65,"&gt;0")</f>
        <v>1</v>
      </c>
      <c r="V65" s="1" t="s">
        <v>711</v>
      </c>
    </row>
    <row r="66" spans="1:22" s="35" customFormat="1" x14ac:dyDescent="0.25">
      <c r="A66" s="135">
        <f t="shared" si="3"/>
        <v>50</v>
      </c>
      <c r="B66" s="134">
        <f t="shared" si="4"/>
        <v>50</v>
      </c>
      <c r="C66" s="130" t="s">
        <v>556</v>
      </c>
      <c r="D66" s="77" t="s">
        <v>560</v>
      </c>
      <c r="E66" s="129">
        <f t="shared" si="5"/>
        <v>6059622.2357299505</v>
      </c>
      <c r="F66" s="129"/>
      <c r="G66" s="129"/>
      <c r="H66" s="129"/>
      <c r="I66" s="129"/>
      <c r="J66" s="129"/>
      <c r="K66" s="129"/>
      <c r="L66" s="129"/>
      <c r="M66" s="129">
        <v>5738993.2800000003</v>
      </c>
      <c r="N66" s="129"/>
      <c r="O66" s="129"/>
      <c r="P66" s="129"/>
      <c r="Q66" s="129"/>
      <c r="R66" s="129">
        <v>146568.92267519998</v>
      </c>
      <c r="S66" s="129">
        <v>24000</v>
      </c>
      <c r="T66" s="129">
        <v>150060.03305475073</v>
      </c>
      <c r="U66" s="24">
        <f t="shared" si="2"/>
        <v>1</v>
      </c>
    </row>
    <row r="67" spans="1:22" s="35" customFormat="1" x14ac:dyDescent="0.25">
      <c r="A67" s="135">
        <f t="shared" si="3"/>
        <v>51</v>
      </c>
      <c r="B67" s="134">
        <f t="shared" si="4"/>
        <v>51</v>
      </c>
      <c r="C67" s="130" t="s">
        <v>556</v>
      </c>
      <c r="D67" s="77" t="s">
        <v>561</v>
      </c>
      <c r="E67" s="129">
        <f t="shared" si="5"/>
        <v>6048926.2934416514</v>
      </c>
      <c r="F67" s="129"/>
      <c r="G67" s="129"/>
      <c r="H67" s="129"/>
      <c r="I67" s="129"/>
      <c r="J67" s="129"/>
      <c r="K67" s="129"/>
      <c r="L67" s="129"/>
      <c r="M67" s="129">
        <v>5738993.2800000003</v>
      </c>
      <c r="N67" s="129"/>
      <c r="O67" s="129"/>
      <c r="P67" s="129"/>
      <c r="Q67" s="129"/>
      <c r="R67" s="129">
        <v>135639.08179199998</v>
      </c>
      <c r="S67" s="129">
        <v>24000</v>
      </c>
      <c r="T67" s="129">
        <v>150293.9316496512</v>
      </c>
      <c r="U67" s="24">
        <f t="shared" si="2"/>
        <v>1</v>
      </c>
    </row>
    <row r="68" spans="1:22" x14ac:dyDescent="0.25">
      <c r="A68" s="135">
        <f t="shared" si="3"/>
        <v>52</v>
      </c>
      <c r="B68" s="134">
        <f t="shared" si="4"/>
        <v>52</v>
      </c>
      <c r="C68" s="77" t="s">
        <v>72</v>
      </c>
      <c r="D68" s="77" t="s">
        <v>464</v>
      </c>
      <c r="E68" s="129">
        <f>SUBTOTAL(9,F68:T68)</f>
        <v>1143075.80756688</v>
      </c>
      <c r="F68" s="44"/>
      <c r="G68" s="44"/>
      <c r="H68" s="44"/>
      <c r="I68" s="44"/>
      <c r="J68" s="44">
        <f>1117005.032262+1399.01</f>
        <v>1118404.042262</v>
      </c>
      <c r="K68" s="44"/>
      <c r="L68" s="44"/>
      <c r="M68" s="44"/>
      <c r="N68" s="44"/>
      <c r="O68" s="44">
        <v>0</v>
      </c>
      <c r="P68" s="44">
        <v>0</v>
      </c>
      <c r="Q68" s="44">
        <v>0</v>
      </c>
      <c r="R68" s="44"/>
      <c r="S68" s="68"/>
      <c r="T68" s="136">
        <v>24671.765304880006</v>
      </c>
      <c r="U68" s="24">
        <f>COUNTIF(F68:Q68,"&gt;0")</f>
        <v>1</v>
      </c>
    </row>
    <row r="69" spans="1:22" x14ac:dyDescent="0.25">
      <c r="A69" s="135">
        <f t="shared" si="3"/>
        <v>53</v>
      </c>
      <c r="B69" s="134">
        <f t="shared" si="4"/>
        <v>53</v>
      </c>
      <c r="C69" s="77" t="s">
        <v>72</v>
      </c>
      <c r="D69" s="77" t="s">
        <v>465</v>
      </c>
      <c r="E69" s="129">
        <f t="shared" si="5"/>
        <v>784502.32414875994</v>
      </c>
      <c r="F69" s="44"/>
      <c r="G69" s="44"/>
      <c r="H69" s="44">
        <v>727596.98</v>
      </c>
      <c r="I69" s="44"/>
      <c r="J69" s="44"/>
      <c r="K69" s="44"/>
      <c r="L69" s="44"/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/>
      <c r="S69" s="68"/>
      <c r="T69" s="136">
        <v>56905.344148760007</v>
      </c>
      <c r="U69" s="24">
        <f t="shared" si="2"/>
        <v>1</v>
      </c>
      <c r="V69" s="1" t="s">
        <v>711</v>
      </c>
    </row>
    <row r="70" spans="1:22" x14ac:dyDescent="0.25">
      <c r="A70" s="135">
        <f t="shared" si="3"/>
        <v>54</v>
      </c>
      <c r="B70" s="134">
        <f t="shared" si="4"/>
        <v>54</v>
      </c>
      <c r="C70" s="77" t="s">
        <v>72</v>
      </c>
      <c r="D70" s="77" t="s">
        <v>466</v>
      </c>
      <c r="E70" s="129">
        <f t="shared" si="5"/>
        <v>4592465.8816174399</v>
      </c>
      <c r="F70" s="44">
        <v>2728315.47</v>
      </c>
      <c r="G70" s="44">
        <v>1047486.37</v>
      </c>
      <c r="H70" s="44">
        <v>607322.06000000006</v>
      </c>
      <c r="I70" s="44"/>
      <c r="J70" s="44"/>
      <c r="K70" s="44"/>
      <c r="L70" s="44"/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/>
      <c r="S70" s="68"/>
      <c r="T70" s="136">
        <v>209341.98161743997</v>
      </c>
      <c r="U70" s="24">
        <f t="shared" si="2"/>
        <v>3</v>
      </c>
    </row>
    <row r="71" spans="1:22" x14ac:dyDescent="0.25">
      <c r="A71" s="135">
        <f t="shared" si="3"/>
        <v>55</v>
      </c>
      <c r="B71" s="134">
        <f t="shared" si="4"/>
        <v>55</v>
      </c>
      <c r="C71" s="77" t="s">
        <v>72</v>
      </c>
      <c r="D71" s="77" t="s">
        <v>319</v>
      </c>
      <c r="E71" s="129">
        <f t="shared" si="5"/>
        <v>3114149.7142166197</v>
      </c>
      <c r="F71" s="44"/>
      <c r="G71" s="44">
        <v>0</v>
      </c>
      <c r="H71" s="44"/>
      <c r="I71" s="44">
        <v>2223078.38</v>
      </c>
      <c r="J71" s="44">
        <v>0</v>
      </c>
      <c r="K71" s="44"/>
      <c r="L71" s="44"/>
      <c r="M71" s="44">
        <v>0</v>
      </c>
      <c r="N71" s="44"/>
      <c r="O71" s="44">
        <v>0</v>
      </c>
      <c r="P71" s="44"/>
      <c r="Q71" s="44">
        <v>0</v>
      </c>
      <c r="R71" s="44"/>
      <c r="S71" s="68"/>
      <c r="T71" s="136">
        <v>891071.33421662007</v>
      </c>
      <c r="U71" s="24">
        <f t="shared" si="2"/>
        <v>1</v>
      </c>
      <c r="V71" s="1" t="s">
        <v>711</v>
      </c>
    </row>
    <row r="72" spans="1:22" x14ac:dyDescent="0.25">
      <c r="A72" s="135">
        <f t="shared" si="3"/>
        <v>56</v>
      </c>
      <c r="B72" s="134">
        <f t="shared" si="4"/>
        <v>56</v>
      </c>
      <c r="C72" s="77" t="s">
        <v>72</v>
      </c>
      <c r="D72" s="77" t="s">
        <v>320</v>
      </c>
      <c r="E72" s="129">
        <f t="shared" si="5"/>
        <v>3385337.9774930598</v>
      </c>
      <c r="F72" s="44"/>
      <c r="G72" s="44">
        <v>0</v>
      </c>
      <c r="H72" s="44"/>
      <c r="I72" s="44"/>
      <c r="J72" s="44">
        <v>0</v>
      </c>
      <c r="K72" s="44"/>
      <c r="L72" s="44"/>
      <c r="M72" s="44">
        <v>0</v>
      </c>
      <c r="N72" s="44">
        <v>2845906.28</v>
      </c>
      <c r="O72" s="44">
        <v>0</v>
      </c>
      <c r="P72" s="44"/>
      <c r="Q72" s="44">
        <v>0</v>
      </c>
      <c r="R72" s="44"/>
      <c r="S72" s="68"/>
      <c r="T72" s="136">
        <v>539431.69749306003</v>
      </c>
      <c r="U72" s="24">
        <f t="shared" si="2"/>
        <v>1</v>
      </c>
    </row>
    <row r="73" spans="1:22" x14ac:dyDescent="0.25">
      <c r="A73" s="135">
        <f t="shared" si="3"/>
        <v>57</v>
      </c>
      <c r="B73" s="134">
        <f t="shared" si="4"/>
        <v>57</v>
      </c>
      <c r="C73" s="77" t="s">
        <v>72</v>
      </c>
      <c r="D73" s="77" t="s">
        <v>321</v>
      </c>
      <c r="E73" s="129">
        <f t="shared" si="5"/>
        <v>6382437.5058791805</v>
      </c>
      <c r="F73" s="44"/>
      <c r="G73" s="44">
        <v>0</v>
      </c>
      <c r="H73" s="81"/>
      <c r="I73" s="81"/>
      <c r="J73" s="44">
        <v>0</v>
      </c>
      <c r="K73" s="44"/>
      <c r="L73" s="44"/>
      <c r="M73" s="44">
        <v>0</v>
      </c>
      <c r="N73" s="44">
        <v>3018526.85</v>
      </c>
      <c r="O73" s="44">
        <v>0</v>
      </c>
      <c r="P73" s="44"/>
      <c r="Q73" s="44">
        <v>0</v>
      </c>
      <c r="R73" s="44">
        <v>2550189.8570000003</v>
      </c>
      <c r="S73" s="68">
        <v>278424.56929999997</v>
      </c>
      <c r="T73" s="136">
        <v>535296.22957918001</v>
      </c>
      <c r="U73" s="24">
        <f t="shared" si="2"/>
        <v>1</v>
      </c>
      <c r="V73" s="1" t="s">
        <v>711</v>
      </c>
    </row>
    <row r="74" spans="1:22" x14ac:dyDescent="0.25">
      <c r="A74" s="135">
        <f t="shared" si="3"/>
        <v>58</v>
      </c>
      <c r="B74" s="134">
        <f t="shared" si="4"/>
        <v>58</v>
      </c>
      <c r="C74" s="77" t="s">
        <v>72</v>
      </c>
      <c r="D74" s="77" t="s">
        <v>176</v>
      </c>
      <c r="E74" s="129">
        <f t="shared" si="5"/>
        <v>9734596.8718827199</v>
      </c>
      <c r="F74" s="44"/>
      <c r="G74" s="44"/>
      <c r="H74" s="44"/>
      <c r="I74" s="44"/>
      <c r="J74" s="44">
        <v>0</v>
      </c>
      <c r="K74" s="44"/>
      <c r="L74" s="44"/>
      <c r="M74" s="44">
        <v>0</v>
      </c>
      <c r="N74" s="44">
        <v>0</v>
      </c>
      <c r="O74" s="44">
        <v>0</v>
      </c>
      <c r="P74" s="44">
        <v>9311700.5</v>
      </c>
      <c r="Q74" s="44">
        <v>0</v>
      </c>
      <c r="R74" s="44"/>
      <c r="S74" s="68"/>
      <c r="T74" s="136">
        <v>422896.37188271998</v>
      </c>
      <c r="U74" s="24">
        <f t="shared" si="2"/>
        <v>1</v>
      </c>
    </row>
    <row r="75" spans="1:22" x14ac:dyDescent="0.25">
      <c r="A75" s="135">
        <f t="shared" si="3"/>
        <v>59</v>
      </c>
      <c r="B75" s="134">
        <f t="shared" si="4"/>
        <v>59</v>
      </c>
      <c r="C75" s="77" t="s">
        <v>72</v>
      </c>
      <c r="D75" s="77" t="s">
        <v>323</v>
      </c>
      <c r="E75" s="129">
        <f t="shared" si="5"/>
        <v>34443200.645936362</v>
      </c>
      <c r="F75" s="44">
        <v>6954265.3799999999</v>
      </c>
      <c r="G75" s="44">
        <v>2374323.58</v>
      </c>
      <c r="H75" s="44">
        <v>3305645.72</v>
      </c>
      <c r="I75" s="44">
        <v>2650517.1800000002</v>
      </c>
      <c r="J75" s="44"/>
      <c r="K75" s="44"/>
      <c r="L75" s="44"/>
      <c r="M75" s="44"/>
      <c r="N75" s="44">
        <v>7951460.7199999997</v>
      </c>
      <c r="O75" s="44"/>
      <c r="P75" s="44"/>
      <c r="Q75" s="44">
        <v>9695977.5800000001</v>
      </c>
      <c r="R75" s="44">
        <v>328083.39630000002</v>
      </c>
      <c r="S75" s="68">
        <v>44553.206300000005</v>
      </c>
      <c r="T75" s="136">
        <v>1138373.8833363601</v>
      </c>
      <c r="U75" s="24">
        <f t="shared" si="2"/>
        <v>6</v>
      </c>
      <c r="V75" s="1" t="s">
        <v>714</v>
      </c>
    </row>
    <row r="76" spans="1:22" x14ac:dyDescent="0.25">
      <c r="A76" s="135">
        <f t="shared" si="3"/>
        <v>60</v>
      </c>
      <c r="B76" s="134">
        <f t="shared" si="4"/>
        <v>60</v>
      </c>
      <c r="C76" s="77" t="s">
        <v>72</v>
      </c>
      <c r="D76" s="77" t="s">
        <v>184</v>
      </c>
      <c r="E76" s="129">
        <f t="shared" si="5"/>
        <v>1171020.99</v>
      </c>
      <c r="F76" s="44"/>
      <c r="G76" s="44">
        <v>0</v>
      </c>
      <c r="H76" s="44">
        <v>0</v>
      </c>
      <c r="I76" s="44">
        <v>0</v>
      </c>
      <c r="J76" s="44">
        <v>1171020.99</v>
      </c>
      <c r="K76" s="44"/>
      <c r="L76" s="44"/>
      <c r="M76" s="44">
        <v>0</v>
      </c>
      <c r="N76" s="44"/>
      <c r="O76" s="44">
        <v>0</v>
      </c>
      <c r="P76" s="44"/>
      <c r="Q76" s="44"/>
      <c r="R76" s="44"/>
      <c r="S76" s="68"/>
      <c r="T76" s="136"/>
      <c r="U76" s="24">
        <f t="shared" si="2"/>
        <v>1</v>
      </c>
    </row>
    <row r="77" spans="1:22" x14ac:dyDescent="0.25">
      <c r="A77" s="135">
        <f t="shared" si="3"/>
        <v>61</v>
      </c>
      <c r="B77" s="134">
        <f t="shared" si="4"/>
        <v>61</v>
      </c>
      <c r="C77" s="77" t="s">
        <v>72</v>
      </c>
      <c r="D77" s="77" t="s">
        <v>325</v>
      </c>
      <c r="E77" s="129">
        <f>SUBTOTAL(9,F77:T77)</f>
        <v>16849690.808428802</v>
      </c>
      <c r="F77" s="44">
        <v>7847760.9900000002</v>
      </c>
      <c r="G77" s="44"/>
      <c r="H77" s="44"/>
      <c r="I77" s="44"/>
      <c r="J77" s="44"/>
      <c r="K77" s="44"/>
      <c r="L77" s="44"/>
      <c r="M77" s="44">
        <v>0</v>
      </c>
      <c r="N77" s="44">
        <v>0</v>
      </c>
      <c r="O77" s="44">
        <v>0</v>
      </c>
      <c r="P77" s="44">
        <v>0</v>
      </c>
      <c r="Q77" s="44">
        <v>7597182.2599999998</v>
      </c>
      <c r="R77" s="44">
        <v>504570.49899999995</v>
      </c>
      <c r="S77" s="68">
        <v>88504.399000000005</v>
      </c>
      <c r="T77" s="136">
        <v>811672.66042880015</v>
      </c>
      <c r="U77" s="24">
        <f>COUNTIF(F77:Q77,"&gt;0")</f>
        <v>2</v>
      </c>
      <c r="V77" s="1" t="s">
        <v>714</v>
      </c>
    </row>
    <row r="78" spans="1:22" x14ac:dyDescent="0.25">
      <c r="A78" s="135">
        <f t="shared" si="3"/>
        <v>62</v>
      </c>
      <c r="B78" s="134">
        <f t="shared" si="4"/>
        <v>62</v>
      </c>
      <c r="C78" s="77" t="s">
        <v>72</v>
      </c>
      <c r="D78" s="77" t="s">
        <v>187</v>
      </c>
      <c r="E78" s="129">
        <f t="shared" ref="E78" si="7">SUBTOTAL(9,F78:T78)</f>
        <v>15568933.82189</v>
      </c>
      <c r="F78" s="44">
        <v>0</v>
      </c>
      <c r="G78" s="44">
        <v>0</v>
      </c>
      <c r="H78" s="44">
        <v>0</v>
      </c>
      <c r="I78" s="44">
        <v>0</v>
      </c>
      <c r="J78" s="44"/>
      <c r="K78" s="44"/>
      <c r="L78" s="44"/>
      <c r="M78" s="44">
        <v>0</v>
      </c>
      <c r="N78" s="44">
        <v>0</v>
      </c>
      <c r="O78" s="44">
        <v>0</v>
      </c>
      <c r="P78" s="44">
        <v>15562524.65</v>
      </c>
      <c r="Q78" s="44">
        <v>0</v>
      </c>
      <c r="R78" s="44"/>
      <c r="S78" s="68"/>
      <c r="T78" s="136">
        <v>6409.1718899999996</v>
      </c>
      <c r="U78" s="24">
        <f t="shared" ref="U78" si="8">COUNTIF(F78:Q78,"&gt;0")</f>
        <v>1</v>
      </c>
    </row>
    <row r="79" spans="1:22" x14ac:dyDescent="0.25">
      <c r="A79" s="135">
        <f t="shared" si="3"/>
        <v>63</v>
      </c>
      <c r="B79" s="134">
        <f t="shared" si="4"/>
        <v>63</v>
      </c>
      <c r="C79" s="77" t="s">
        <v>72</v>
      </c>
      <c r="D79" s="77" t="s">
        <v>327</v>
      </c>
      <c r="E79" s="129">
        <f t="shared" si="5"/>
        <v>14757670.589566819</v>
      </c>
      <c r="F79" s="44"/>
      <c r="G79" s="44"/>
      <c r="H79" s="44">
        <v>1212218.3400000001</v>
      </c>
      <c r="I79" s="44"/>
      <c r="J79" s="44"/>
      <c r="K79" s="44"/>
      <c r="L79" s="44"/>
      <c r="M79" s="44">
        <v>0</v>
      </c>
      <c r="N79" s="44"/>
      <c r="O79" s="44">
        <v>0</v>
      </c>
      <c r="P79" s="44">
        <v>12904791.25</v>
      </c>
      <c r="Q79" s="44"/>
      <c r="R79" s="44"/>
      <c r="S79" s="68"/>
      <c r="T79" s="136">
        <v>640660.99956681998</v>
      </c>
      <c r="U79" s="24">
        <f t="shared" si="2"/>
        <v>2</v>
      </c>
    </row>
    <row r="80" spans="1:22" x14ac:dyDescent="0.25">
      <c r="A80" s="135">
        <f t="shared" si="3"/>
        <v>64</v>
      </c>
      <c r="B80" s="134">
        <f t="shared" si="4"/>
        <v>64</v>
      </c>
      <c r="C80" s="77" t="s">
        <v>72</v>
      </c>
      <c r="D80" s="77" t="s">
        <v>328</v>
      </c>
      <c r="E80" s="129">
        <f t="shared" si="5"/>
        <v>14905757.105931221</v>
      </c>
      <c r="F80" s="44"/>
      <c r="G80" s="44"/>
      <c r="H80" s="44">
        <v>1218340.6599999999</v>
      </c>
      <c r="I80" s="44"/>
      <c r="J80" s="44"/>
      <c r="K80" s="44"/>
      <c r="L80" s="44"/>
      <c r="M80" s="44">
        <v>0</v>
      </c>
      <c r="N80" s="44"/>
      <c r="O80" s="44">
        <v>0</v>
      </c>
      <c r="P80" s="44">
        <v>13044527.99</v>
      </c>
      <c r="Q80" s="44"/>
      <c r="R80" s="44"/>
      <c r="S80" s="68"/>
      <c r="T80" s="136">
        <v>642888.45593122009</v>
      </c>
      <c r="U80" s="24">
        <f t="shared" si="2"/>
        <v>2</v>
      </c>
      <c r="V80" s="1" t="s">
        <v>711</v>
      </c>
    </row>
    <row r="81" spans="1:22" x14ac:dyDescent="0.25">
      <c r="A81" s="135">
        <f t="shared" si="3"/>
        <v>65</v>
      </c>
      <c r="B81" s="134">
        <f t="shared" si="4"/>
        <v>65</v>
      </c>
      <c r="C81" s="77" t="s">
        <v>72</v>
      </c>
      <c r="D81" s="77" t="s">
        <v>329</v>
      </c>
      <c r="E81" s="129">
        <f t="shared" si="5"/>
        <v>9499544.7837941013</v>
      </c>
      <c r="F81" s="44">
        <v>6542286.3200000003</v>
      </c>
      <c r="G81" s="44">
        <v>0</v>
      </c>
      <c r="H81" s="44">
        <v>1697416.27</v>
      </c>
      <c r="I81" s="44">
        <v>0</v>
      </c>
      <c r="J81" s="44"/>
      <c r="K81" s="44"/>
      <c r="L81" s="44"/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937979.59060000011</v>
      </c>
      <c r="S81" s="68">
        <v>109643.86790000001</v>
      </c>
      <c r="T81" s="136">
        <v>212218.73529410001</v>
      </c>
      <c r="U81" s="24">
        <f t="shared" si="2"/>
        <v>2</v>
      </c>
    </row>
    <row r="82" spans="1:22" x14ac:dyDescent="0.25">
      <c r="A82" s="135">
        <f t="shared" ref="A82:B97" si="9">+A81+1</f>
        <v>66</v>
      </c>
      <c r="B82" s="134">
        <f t="shared" si="9"/>
        <v>66</v>
      </c>
      <c r="C82" s="77" t="s">
        <v>72</v>
      </c>
      <c r="D82" s="77" t="s">
        <v>330</v>
      </c>
      <c r="E82" s="129">
        <f t="shared" si="5"/>
        <v>6122093.3446254004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>
        <v>5951792.4900000002</v>
      </c>
      <c r="R82" s="44"/>
      <c r="S82" s="68"/>
      <c r="T82" s="136">
        <v>170300.85462540001</v>
      </c>
      <c r="U82" s="24">
        <f t="shared" si="2"/>
        <v>1</v>
      </c>
    </row>
    <row r="83" spans="1:22" x14ac:dyDescent="0.25">
      <c r="A83" s="135">
        <f t="shared" si="9"/>
        <v>67</v>
      </c>
      <c r="B83" s="134">
        <f t="shared" si="9"/>
        <v>67</v>
      </c>
      <c r="C83" s="77" t="s">
        <v>72</v>
      </c>
      <c r="D83" s="77" t="s">
        <v>331</v>
      </c>
      <c r="E83" s="129">
        <f t="shared" si="5"/>
        <v>13180476.834345801</v>
      </c>
      <c r="F83" s="44"/>
      <c r="G83" s="44"/>
      <c r="H83" s="44"/>
      <c r="I83" s="44"/>
      <c r="J83" s="44"/>
      <c r="K83" s="44"/>
      <c r="L83" s="44"/>
      <c r="M83" s="44"/>
      <c r="N83" s="44">
        <v>8640336.7400000002</v>
      </c>
      <c r="O83" s="44"/>
      <c r="P83" s="44"/>
      <c r="Q83" s="44">
        <v>4367516.82</v>
      </c>
      <c r="R83" s="44"/>
      <c r="S83" s="68"/>
      <c r="T83" s="136">
        <v>172623.27434580002</v>
      </c>
      <c r="U83" s="24">
        <f t="shared" si="2"/>
        <v>2</v>
      </c>
    </row>
    <row r="84" spans="1:22" x14ac:dyDescent="0.25">
      <c r="A84" s="135">
        <f t="shared" si="9"/>
        <v>68</v>
      </c>
      <c r="B84" s="134">
        <f t="shared" si="9"/>
        <v>68</v>
      </c>
      <c r="C84" s="77" t="s">
        <v>72</v>
      </c>
      <c r="D84" s="77" t="s">
        <v>333</v>
      </c>
      <c r="E84" s="129">
        <f t="shared" si="5"/>
        <v>6961640.1664998997</v>
      </c>
      <c r="F84" s="44"/>
      <c r="G84" s="44"/>
      <c r="H84" s="44"/>
      <c r="I84" s="44"/>
      <c r="J84" s="44"/>
      <c r="K84" s="44"/>
      <c r="L84" s="44"/>
      <c r="M84" s="44">
        <v>0</v>
      </c>
      <c r="N84" s="44"/>
      <c r="O84" s="44">
        <v>0</v>
      </c>
      <c r="P84" s="44"/>
      <c r="Q84" s="44">
        <v>6748339.8099999996</v>
      </c>
      <c r="R84" s="44"/>
      <c r="S84" s="68"/>
      <c r="T84" s="136">
        <v>213300.35649990002</v>
      </c>
      <c r="U84" s="24">
        <f t="shared" ref="U84:U152" si="10">COUNTIF(F84:Q84,"&gt;0")</f>
        <v>1</v>
      </c>
    </row>
    <row r="85" spans="1:22" x14ac:dyDescent="0.25">
      <c r="A85" s="135">
        <f t="shared" si="9"/>
        <v>69</v>
      </c>
      <c r="B85" s="134">
        <f t="shared" si="9"/>
        <v>69</v>
      </c>
      <c r="C85" s="77" t="s">
        <v>72</v>
      </c>
      <c r="D85" s="77" t="s">
        <v>334</v>
      </c>
      <c r="E85" s="129">
        <f t="shared" si="5"/>
        <v>33699195.586773798</v>
      </c>
      <c r="F85" s="44">
        <v>9954639.8599999994</v>
      </c>
      <c r="G85" s="44">
        <v>6212728.6200000001</v>
      </c>
      <c r="H85" s="44">
        <v>2280000.91</v>
      </c>
      <c r="I85" s="44">
        <v>4876418.04</v>
      </c>
      <c r="J85" s="44"/>
      <c r="K85" s="44"/>
      <c r="L85" s="44"/>
      <c r="M85" s="44">
        <v>0</v>
      </c>
      <c r="N85" s="44">
        <v>9984420.9700000007</v>
      </c>
      <c r="O85" s="44">
        <v>0</v>
      </c>
      <c r="P85" s="44"/>
      <c r="Q85" s="44"/>
      <c r="R85" s="44"/>
      <c r="S85" s="68"/>
      <c r="T85" s="136">
        <v>390987.18677379994</v>
      </c>
      <c r="U85" s="24">
        <f t="shared" si="10"/>
        <v>5</v>
      </c>
      <c r="V85" s="1" t="s">
        <v>711</v>
      </c>
    </row>
    <row r="86" spans="1:22" s="35" customFormat="1" x14ac:dyDescent="0.25">
      <c r="A86" s="135">
        <f t="shared" si="9"/>
        <v>70</v>
      </c>
      <c r="B86" s="134">
        <f t="shared" si="9"/>
        <v>70</v>
      </c>
      <c r="C86" s="130" t="s">
        <v>556</v>
      </c>
      <c r="D86" s="77" t="s">
        <v>562</v>
      </c>
      <c r="E86" s="129">
        <f t="shared" ref="E86:E154" si="11">SUBTOTAL(9,F86:T86)</f>
        <v>9021353.7382023316</v>
      </c>
      <c r="F86" s="129"/>
      <c r="G86" s="129"/>
      <c r="H86" s="129"/>
      <c r="I86" s="129"/>
      <c r="J86" s="129"/>
      <c r="K86" s="129"/>
      <c r="L86" s="129"/>
      <c r="M86" s="129">
        <v>8608489.9199999999</v>
      </c>
      <c r="N86" s="129"/>
      <c r="O86" s="129"/>
      <c r="P86" s="129"/>
      <c r="Q86" s="129"/>
      <c r="R86" s="129">
        <v>162285.00531609598</v>
      </c>
      <c r="S86" s="129">
        <v>24000</v>
      </c>
      <c r="T86" s="129">
        <v>226578.81288623557</v>
      </c>
      <c r="U86" s="24">
        <f t="shared" si="10"/>
        <v>1</v>
      </c>
    </row>
    <row r="87" spans="1:22" x14ac:dyDescent="0.25">
      <c r="A87" s="135">
        <f t="shared" si="9"/>
        <v>71</v>
      </c>
      <c r="B87" s="134">
        <f t="shared" si="9"/>
        <v>71</v>
      </c>
      <c r="C87" s="77" t="s">
        <v>72</v>
      </c>
      <c r="D87" s="77" t="s">
        <v>336</v>
      </c>
      <c r="E87" s="129">
        <f t="shared" si="11"/>
        <v>29481765.911612157</v>
      </c>
      <c r="F87" s="44">
        <v>0</v>
      </c>
      <c r="G87" s="44">
        <v>0</v>
      </c>
      <c r="H87" s="44"/>
      <c r="I87" s="44">
        <v>0</v>
      </c>
      <c r="J87" s="44">
        <v>0</v>
      </c>
      <c r="K87" s="44"/>
      <c r="L87" s="44"/>
      <c r="M87" s="44">
        <v>0</v>
      </c>
      <c r="N87" s="44">
        <v>12527051.33</v>
      </c>
      <c r="O87" s="44">
        <v>0</v>
      </c>
      <c r="P87" s="44">
        <v>16115638.25</v>
      </c>
      <c r="Q87" s="44">
        <v>0</v>
      </c>
      <c r="R87" s="44"/>
      <c r="S87" s="68"/>
      <c r="T87" s="136">
        <v>839076.3316121602</v>
      </c>
      <c r="U87" s="24">
        <f t="shared" si="10"/>
        <v>2</v>
      </c>
    </row>
    <row r="88" spans="1:22" x14ac:dyDescent="0.25">
      <c r="A88" s="135">
        <f t="shared" si="9"/>
        <v>72</v>
      </c>
      <c r="B88" s="134">
        <f t="shared" si="9"/>
        <v>72</v>
      </c>
      <c r="C88" s="77" t="s">
        <v>72</v>
      </c>
      <c r="D88" s="77" t="s">
        <v>468</v>
      </c>
      <c r="E88" s="129">
        <f t="shared" si="11"/>
        <v>1195255.9053653199</v>
      </c>
      <c r="F88" s="44"/>
      <c r="G88" s="81"/>
      <c r="H88" s="44">
        <v>1057009.1599999999</v>
      </c>
      <c r="I88" s="44"/>
      <c r="J88" s="44">
        <v>0</v>
      </c>
      <c r="K88" s="44"/>
      <c r="L88" s="44"/>
      <c r="M88" s="44">
        <v>0</v>
      </c>
      <c r="N88" s="81"/>
      <c r="O88" s="44">
        <v>0</v>
      </c>
      <c r="P88" s="44">
        <v>0</v>
      </c>
      <c r="Q88" s="44">
        <v>0</v>
      </c>
      <c r="R88" s="44"/>
      <c r="S88" s="68"/>
      <c r="T88" s="136">
        <v>138246.74536532001</v>
      </c>
      <c r="U88" s="24">
        <f t="shared" si="10"/>
        <v>1</v>
      </c>
    </row>
    <row r="89" spans="1:22" x14ac:dyDescent="0.25">
      <c r="A89" s="135">
        <f t="shared" si="9"/>
        <v>73</v>
      </c>
      <c r="B89" s="134">
        <f t="shared" si="9"/>
        <v>73</v>
      </c>
      <c r="C89" s="77" t="s">
        <v>72</v>
      </c>
      <c r="D89" s="77" t="s">
        <v>539</v>
      </c>
      <c r="E89" s="129">
        <f t="shared" si="11"/>
        <v>5574102.9828846604</v>
      </c>
      <c r="F89" s="44">
        <v>1651323.46</v>
      </c>
      <c r="G89" s="44"/>
      <c r="H89" s="44">
        <v>819773.26</v>
      </c>
      <c r="I89" s="44">
        <v>732192.34</v>
      </c>
      <c r="J89" s="44"/>
      <c r="K89" s="44"/>
      <c r="L89" s="44"/>
      <c r="M89" s="44">
        <v>0</v>
      </c>
      <c r="N89" s="44"/>
      <c r="O89" s="44">
        <v>0</v>
      </c>
      <c r="P89" s="44">
        <v>1813665.02</v>
      </c>
      <c r="Q89" s="44">
        <v>0</v>
      </c>
      <c r="R89" s="44"/>
      <c r="S89" s="68"/>
      <c r="T89" s="136">
        <v>557148.90288465994</v>
      </c>
      <c r="U89" s="24">
        <f t="shared" si="10"/>
        <v>4</v>
      </c>
    </row>
    <row r="90" spans="1:22" x14ac:dyDescent="0.25">
      <c r="A90" s="135">
        <f t="shared" si="9"/>
        <v>74</v>
      </c>
      <c r="B90" s="134">
        <f t="shared" si="9"/>
        <v>74</v>
      </c>
      <c r="C90" s="77" t="s">
        <v>72</v>
      </c>
      <c r="D90" s="77" t="s">
        <v>341</v>
      </c>
      <c r="E90" s="129">
        <f t="shared" si="11"/>
        <v>2006872.7686219998</v>
      </c>
      <c r="F90" s="44">
        <v>0</v>
      </c>
      <c r="G90" s="44">
        <v>0</v>
      </c>
      <c r="H90" s="44">
        <v>0</v>
      </c>
      <c r="I90" s="44">
        <v>0</v>
      </c>
      <c r="J90" s="44">
        <v>1842675.65</v>
      </c>
      <c r="K90" s="44"/>
      <c r="L90" s="44"/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123984.47</v>
      </c>
      <c r="S90" s="44"/>
      <c r="T90" s="136">
        <v>40212.648622000001</v>
      </c>
      <c r="U90" s="24">
        <f t="shared" si="10"/>
        <v>1</v>
      </c>
    </row>
    <row r="91" spans="1:22" x14ac:dyDescent="0.25">
      <c r="A91" s="135">
        <f t="shared" si="9"/>
        <v>75</v>
      </c>
      <c r="B91" s="134">
        <f t="shared" si="9"/>
        <v>75</v>
      </c>
      <c r="C91" s="77" t="s">
        <v>72</v>
      </c>
      <c r="D91" s="77" t="s">
        <v>342</v>
      </c>
      <c r="E91" s="129">
        <f t="shared" si="11"/>
        <v>2008071.8906700001</v>
      </c>
      <c r="F91" s="44">
        <v>0</v>
      </c>
      <c r="G91" s="44">
        <v>0</v>
      </c>
      <c r="H91" s="44">
        <v>0</v>
      </c>
      <c r="I91" s="44">
        <v>0</v>
      </c>
      <c r="J91" s="44">
        <v>1840005.31</v>
      </c>
      <c r="K91" s="44"/>
      <c r="L91" s="44"/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127902.76</v>
      </c>
      <c r="S91" s="44"/>
      <c r="T91" s="136">
        <v>40163.820670000001</v>
      </c>
      <c r="U91" s="24">
        <f t="shared" si="10"/>
        <v>1</v>
      </c>
    </row>
    <row r="92" spans="1:22" x14ac:dyDescent="0.25">
      <c r="A92" s="135">
        <f t="shared" si="9"/>
        <v>76</v>
      </c>
      <c r="B92" s="134">
        <f t="shared" si="9"/>
        <v>76</v>
      </c>
      <c r="C92" s="77" t="s">
        <v>72</v>
      </c>
      <c r="D92" s="77" t="s">
        <v>343</v>
      </c>
      <c r="E92" s="129">
        <f t="shared" si="11"/>
        <v>2179061.4200000004</v>
      </c>
      <c r="F92" s="44">
        <v>0</v>
      </c>
      <c r="G92" s="44">
        <v>0</v>
      </c>
      <c r="H92" s="44">
        <v>0</v>
      </c>
      <c r="I92" s="44">
        <v>0</v>
      </c>
      <c r="J92" s="44">
        <v>1980515.44</v>
      </c>
      <c r="K92" s="44"/>
      <c r="L92" s="44"/>
      <c r="M92" s="44">
        <v>0</v>
      </c>
      <c r="N92" s="44"/>
      <c r="O92" s="44">
        <v>0</v>
      </c>
      <c r="P92" s="44">
        <v>0</v>
      </c>
      <c r="Q92" s="44"/>
      <c r="R92" s="44">
        <v>123857.99</v>
      </c>
      <c r="S92" s="68"/>
      <c r="T92" s="136">
        <v>74687.990000000005</v>
      </c>
      <c r="U92" s="24">
        <f t="shared" si="10"/>
        <v>1</v>
      </c>
    </row>
    <row r="93" spans="1:22" x14ac:dyDescent="0.25">
      <c r="A93" s="135">
        <f t="shared" si="9"/>
        <v>77</v>
      </c>
      <c r="B93" s="134">
        <f t="shared" si="9"/>
        <v>77</v>
      </c>
      <c r="C93" s="77" t="s">
        <v>72</v>
      </c>
      <c r="D93" s="77" t="s">
        <v>190</v>
      </c>
      <c r="E93" s="129">
        <f t="shared" si="11"/>
        <v>856186.02</v>
      </c>
      <c r="F93" s="44">
        <v>0</v>
      </c>
      <c r="G93" s="44">
        <v>0</v>
      </c>
      <c r="H93" s="44">
        <v>0</v>
      </c>
      <c r="I93" s="44">
        <v>0</v>
      </c>
      <c r="J93" s="44">
        <v>856186.02</v>
      </c>
      <c r="K93" s="44"/>
      <c r="L93" s="44"/>
      <c r="M93" s="44">
        <v>0</v>
      </c>
      <c r="N93" s="44">
        <v>0</v>
      </c>
      <c r="O93" s="44">
        <v>0</v>
      </c>
      <c r="P93" s="44"/>
      <c r="Q93" s="44"/>
      <c r="R93" s="44"/>
      <c r="S93" s="68"/>
      <c r="T93" s="136"/>
      <c r="U93" s="24">
        <f t="shared" si="10"/>
        <v>1</v>
      </c>
    </row>
    <row r="94" spans="1:22" x14ac:dyDescent="0.25">
      <c r="A94" s="135">
        <f t="shared" si="9"/>
        <v>78</v>
      </c>
      <c r="B94" s="134">
        <f t="shared" si="9"/>
        <v>78</v>
      </c>
      <c r="C94" s="77" t="s">
        <v>72</v>
      </c>
      <c r="D94" s="77" t="s">
        <v>191</v>
      </c>
      <c r="E94" s="129">
        <f>SUBTOTAL(9,F94:T94)</f>
        <v>2296257.4311860004</v>
      </c>
      <c r="F94" s="44">
        <v>0</v>
      </c>
      <c r="G94" s="44">
        <v>0</v>
      </c>
      <c r="H94" s="44"/>
      <c r="I94" s="44">
        <v>0</v>
      </c>
      <c r="J94" s="44">
        <v>2082908.19</v>
      </c>
      <c r="K94" s="44"/>
      <c r="L94" s="44"/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199499.01</v>
      </c>
      <c r="S94" s="68">
        <v>2000</v>
      </c>
      <c r="T94" s="136">
        <v>11850.231185999999</v>
      </c>
      <c r="U94" s="24">
        <f>COUNTIF(F94:Q94,"&gt;0")</f>
        <v>1</v>
      </c>
      <c r="V94" s="1" t="s">
        <v>714</v>
      </c>
    </row>
    <row r="95" spans="1:22" x14ac:dyDescent="0.25">
      <c r="A95" s="135">
        <f t="shared" si="9"/>
        <v>79</v>
      </c>
      <c r="B95" s="134">
        <f t="shared" si="9"/>
        <v>79</v>
      </c>
      <c r="C95" s="77" t="s">
        <v>72</v>
      </c>
      <c r="D95" s="77" t="s">
        <v>347</v>
      </c>
      <c r="E95" s="129">
        <f t="shared" si="11"/>
        <v>16801922.47724456</v>
      </c>
      <c r="F95" s="44">
        <v>8268601.6299999999</v>
      </c>
      <c r="G95" s="44"/>
      <c r="H95" s="44">
        <v>3198417.38</v>
      </c>
      <c r="I95" s="44">
        <v>2797224.34</v>
      </c>
      <c r="J95" s="44"/>
      <c r="K95" s="44"/>
      <c r="L95" s="44"/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1945255.4768000001</v>
      </c>
      <c r="S95" s="68">
        <v>203313.06280000001</v>
      </c>
      <c r="T95" s="136">
        <v>389110.58764456003</v>
      </c>
      <c r="U95" s="24">
        <f t="shared" si="10"/>
        <v>3</v>
      </c>
    </row>
    <row r="96" spans="1:22" x14ac:dyDescent="0.25">
      <c r="A96" s="135">
        <f t="shared" si="9"/>
        <v>80</v>
      </c>
      <c r="B96" s="134">
        <f t="shared" si="9"/>
        <v>80</v>
      </c>
      <c r="C96" s="77" t="s">
        <v>72</v>
      </c>
      <c r="D96" s="77" t="s">
        <v>348</v>
      </c>
      <c r="E96" s="129">
        <f t="shared" si="11"/>
        <v>6920739.4009156814</v>
      </c>
      <c r="F96" s="44">
        <v>0</v>
      </c>
      <c r="G96" s="44"/>
      <c r="H96" s="44">
        <v>3491728.21</v>
      </c>
      <c r="I96" s="44"/>
      <c r="J96" s="44"/>
      <c r="K96" s="44"/>
      <c r="L96" s="44"/>
      <c r="M96" s="44">
        <v>0</v>
      </c>
      <c r="N96" s="44">
        <v>0</v>
      </c>
      <c r="O96" s="44">
        <v>0</v>
      </c>
      <c r="P96" s="44">
        <v>0</v>
      </c>
      <c r="Q96" s="44"/>
      <c r="R96" s="44">
        <v>2595059.9045922239</v>
      </c>
      <c r="S96" s="68">
        <v>223901.30645922237</v>
      </c>
      <c r="T96" s="136">
        <v>610049.97986423504</v>
      </c>
      <c r="U96" s="24">
        <f t="shared" si="10"/>
        <v>1</v>
      </c>
    </row>
    <row r="97" spans="1:22" x14ac:dyDescent="0.25">
      <c r="A97" s="135">
        <f t="shared" si="9"/>
        <v>81</v>
      </c>
      <c r="B97" s="134">
        <f t="shared" si="9"/>
        <v>81</v>
      </c>
      <c r="C97" s="77" t="s">
        <v>72</v>
      </c>
      <c r="D97" s="77" t="s">
        <v>470</v>
      </c>
      <c r="E97" s="129">
        <f t="shared" si="11"/>
        <v>10029177.534309041</v>
      </c>
      <c r="F97" s="44">
        <v>2770302.4300000006</v>
      </c>
      <c r="G97" s="44"/>
      <c r="H97" s="44"/>
      <c r="I97" s="44"/>
      <c r="J97" s="44"/>
      <c r="K97" s="44"/>
      <c r="L97" s="44"/>
      <c r="M97" s="44">
        <v>0</v>
      </c>
      <c r="N97" s="44">
        <v>6779379.8200000003</v>
      </c>
      <c r="O97" s="44">
        <v>0</v>
      </c>
      <c r="P97" s="44">
        <v>0</v>
      </c>
      <c r="Q97" s="44">
        <v>0</v>
      </c>
      <c r="R97" s="44">
        <v>216012.79999999999</v>
      </c>
      <c r="S97" s="68">
        <v>24000</v>
      </c>
      <c r="T97" s="136">
        <v>239482.48430904001</v>
      </c>
      <c r="U97" s="24">
        <f t="shared" si="10"/>
        <v>2</v>
      </c>
    </row>
    <row r="98" spans="1:22" x14ac:dyDescent="0.25">
      <c r="A98" s="135">
        <f t="shared" ref="A98:B113" si="12">+A97+1</f>
        <v>82</v>
      </c>
      <c r="B98" s="134">
        <f t="shared" si="12"/>
        <v>82</v>
      </c>
      <c r="C98" s="77" t="s">
        <v>72</v>
      </c>
      <c r="D98" s="77" t="s">
        <v>471</v>
      </c>
      <c r="E98" s="129">
        <f t="shared" si="11"/>
        <v>5379408.0875821002</v>
      </c>
      <c r="F98" s="44">
        <v>1643046.08</v>
      </c>
      <c r="G98" s="44"/>
      <c r="H98" s="44"/>
      <c r="I98" s="44"/>
      <c r="J98" s="44"/>
      <c r="K98" s="44"/>
      <c r="L98" s="44"/>
      <c r="M98" s="44">
        <v>0</v>
      </c>
      <c r="N98" s="44">
        <v>3461614.25</v>
      </c>
      <c r="O98" s="44">
        <v>0</v>
      </c>
      <c r="P98" s="44">
        <v>0</v>
      </c>
      <c r="Q98" s="44">
        <v>0</v>
      </c>
      <c r="R98" s="44">
        <v>156962.18</v>
      </c>
      <c r="S98" s="68">
        <v>24000</v>
      </c>
      <c r="T98" s="136">
        <v>93785.577582099999</v>
      </c>
      <c r="U98" s="24">
        <f t="shared" si="10"/>
        <v>2</v>
      </c>
    </row>
    <row r="99" spans="1:22" x14ac:dyDescent="0.25">
      <c r="A99" s="135">
        <f t="shared" si="12"/>
        <v>83</v>
      </c>
      <c r="B99" s="134">
        <f t="shared" si="12"/>
        <v>83</v>
      </c>
      <c r="C99" s="77" t="s">
        <v>72</v>
      </c>
      <c r="D99" s="77" t="s">
        <v>472</v>
      </c>
      <c r="E99" s="129">
        <f t="shared" si="11"/>
        <v>3305142.0224692803</v>
      </c>
      <c r="F99" s="44"/>
      <c r="G99" s="44"/>
      <c r="H99" s="44">
        <v>417598.24</v>
      </c>
      <c r="I99" s="44"/>
      <c r="J99" s="44"/>
      <c r="K99" s="44"/>
      <c r="L99" s="44"/>
      <c r="M99" s="44">
        <v>0</v>
      </c>
      <c r="N99" s="44">
        <v>2705657.8</v>
      </c>
      <c r="O99" s="44">
        <v>0</v>
      </c>
      <c r="P99" s="44">
        <v>0</v>
      </c>
      <c r="Q99" s="44">
        <v>0</v>
      </c>
      <c r="R99" s="44"/>
      <c r="S99" s="68"/>
      <c r="T99" s="136">
        <v>181885.98246928002</v>
      </c>
      <c r="U99" s="24">
        <f t="shared" si="10"/>
        <v>2</v>
      </c>
      <c r="V99" s="1" t="s">
        <v>711</v>
      </c>
    </row>
    <row r="100" spans="1:22" x14ac:dyDescent="0.25">
      <c r="A100" s="135">
        <f t="shared" si="12"/>
        <v>84</v>
      </c>
      <c r="B100" s="134">
        <f t="shared" si="12"/>
        <v>84</v>
      </c>
      <c r="C100" s="77" t="s">
        <v>72</v>
      </c>
      <c r="D100" s="77" t="s">
        <v>354</v>
      </c>
      <c r="E100" s="129">
        <f t="shared" si="11"/>
        <v>11237171.892672002</v>
      </c>
      <c r="F100" s="44">
        <v>6273586.1500000004</v>
      </c>
      <c r="G100" s="44"/>
      <c r="H100" s="44">
        <v>1824432.9</v>
      </c>
      <c r="I100" s="44">
        <v>2750949.97</v>
      </c>
      <c r="J100" s="44"/>
      <c r="K100" s="44"/>
      <c r="L100" s="44"/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75835.89</v>
      </c>
      <c r="S100" s="68">
        <v>18000</v>
      </c>
      <c r="T100" s="136">
        <v>294366.98267199995</v>
      </c>
      <c r="U100" s="24">
        <f t="shared" si="10"/>
        <v>3</v>
      </c>
      <c r="V100" s="1" t="s">
        <v>714</v>
      </c>
    </row>
    <row r="101" spans="1:22" x14ac:dyDescent="0.25">
      <c r="A101" s="135">
        <f t="shared" si="12"/>
        <v>85</v>
      </c>
      <c r="B101" s="134">
        <f t="shared" si="12"/>
        <v>85</v>
      </c>
      <c r="C101" s="77" t="s">
        <v>72</v>
      </c>
      <c r="D101" s="77" t="s">
        <v>355</v>
      </c>
      <c r="E101" s="129">
        <f t="shared" si="11"/>
        <v>11195845.836039999</v>
      </c>
      <c r="F101" s="44">
        <v>6230360.1900000004</v>
      </c>
      <c r="G101" s="44"/>
      <c r="H101" s="44">
        <v>1824432.9</v>
      </c>
      <c r="I101" s="44">
        <v>2756248.99</v>
      </c>
      <c r="J101" s="44"/>
      <c r="K101" s="44"/>
      <c r="L101" s="44"/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75653.789999999994</v>
      </c>
      <c r="S101" s="68">
        <v>18000</v>
      </c>
      <c r="T101" s="136">
        <v>291149.96604000009</v>
      </c>
      <c r="U101" s="24">
        <f t="shared" si="10"/>
        <v>3</v>
      </c>
      <c r="V101" s="1" t="s">
        <v>714</v>
      </c>
    </row>
    <row r="102" spans="1:22" x14ac:dyDescent="0.25">
      <c r="A102" s="135">
        <f t="shared" si="12"/>
        <v>86</v>
      </c>
      <c r="B102" s="134">
        <f t="shared" si="12"/>
        <v>86</v>
      </c>
      <c r="C102" s="77" t="s">
        <v>72</v>
      </c>
      <c r="D102" s="77" t="s">
        <v>356</v>
      </c>
      <c r="E102" s="129">
        <f t="shared" si="11"/>
        <v>9426184.9459980018</v>
      </c>
      <c r="F102" s="44">
        <v>6321167.0899999999</v>
      </c>
      <c r="G102" s="44"/>
      <c r="H102" s="44"/>
      <c r="I102" s="44">
        <v>2717347.73</v>
      </c>
      <c r="J102" s="44"/>
      <c r="K102" s="44"/>
      <c r="L102" s="44"/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75730.05</v>
      </c>
      <c r="S102" s="68">
        <v>18000</v>
      </c>
      <c r="T102" s="136">
        <v>293940.07599800004</v>
      </c>
      <c r="U102" s="24">
        <f t="shared" si="10"/>
        <v>2</v>
      </c>
      <c r="V102" s="1" t="s">
        <v>714</v>
      </c>
    </row>
    <row r="103" spans="1:22" x14ac:dyDescent="0.25">
      <c r="A103" s="135">
        <f t="shared" si="12"/>
        <v>87</v>
      </c>
      <c r="B103" s="134">
        <f t="shared" si="12"/>
        <v>87</v>
      </c>
      <c r="C103" s="77" t="s">
        <v>72</v>
      </c>
      <c r="D103" s="77" t="s">
        <v>473</v>
      </c>
      <c r="E103" s="129">
        <f t="shared" si="11"/>
        <v>1102560.24537608</v>
      </c>
      <c r="F103" s="44"/>
      <c r="G103" s="81"/>
      <c r="H103" s="44">
        <v>642270.27</v>
      </c>
      <c r="I103" s="44"/>
      <c r="J103" s="44"/>
      <c r="K103" s="44"/>
      <c r="L103" s="44"/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352588.91</v>
      </c>
      <c r="S103" s="68">
        <v>24000</v>
      </c>
      <c r="T103" s="136">
        <v>83701.06537608002</v>
      </c>
      <c r="U103" s="24">
        <f t="shared" si="10"/>
        <v>1</v>
      </c>
    </row>
    <row r="104" spans="1:22" x14ac:dyDescent="0.25">
      <c r="A104" s="135">
        <f t="shared" si="12"/>
        <v>88</v>
      </c>
      <c r="B104" s="134">
        <f t="shared" si="12"/>
        <v>88</v>
      </c>
      <c r="C104" s="77" t="s">
        <v>72</v>
      </c>
      <c r="D104" s="77" t="s">
        <v>474</v>
      </c>
      <c r="E104" s="129">
        <f t="shared" si="11"/>
        <v>2251928.7114039203</v>
      </c>
      <c r="F104" s="44"/>
      <c r="G104" s="44">
        <v>588065.09</v>
      </c>
      <c r="H104" s="44"/>
      <c r="I104" s="44">
        <v>500447.33</v>
      </c>
      <c r="J104" s="44">
        <v>469911.83</v>
      </c>
      <c r="K104" s="44"/>
      <c r="L104" s="44"/>
      <c r="M104" s="44">
        <v>0</v>
      </c>
      <c r="N104" s="44"/>
      <c r="O104" s="44">
        <v>0</v>
      </c>
      <c r="P104" s="44">
        <v>0</v>
      </c>
      <c r="Q104" s="44">
        <v>0</v>
      </c>
      <c r="R104" s="44">
        <v>513326.799</v>
      </c>
      <c r="S104" s="68">
        <v>73858.718200000003</v>
      </c>
      <c r="T104" s="136">
        <v>106318.94420392002</v>
      </c>
      <c r="U104" s="24">
        <f t="shared" si="10"/>
        <v>3</v>
      </c>
      <c r="V104" s="1" t="s">
        <v>711</v>
      </c>
    </row>
    <row r="105" spans="1:22" x14ac:dyDescent="0.25">
      <c r="A105" s="135">
        <f t="shared" si="12"/>
        <v>89</v>
      </c>
      <c r="B105" s="134">
        <f t="shared" si="12"/>
        <v>89</v>
      </c>
      <c r="C105" s="77" t="s">
        <v>72</v>
      </c>
      <c r="D105" s="77" t="s">
        <v>475</v>
      </c>
      <c r="E105" s="129">
        <f>SUBTOTAL(9,F105:T105)</f>
        <v>1618117.19564</v>
      </c>
      <c r="F105" s="44"/>
      <c r="G105" s="44"/>
      <c r="H105" s="44"/>
      <c r="I105" s="44"/>
      <c r="J105" s="44">
        <v>1092251.81</v>
      </c>
      <c r="K105" s="44"/>
      <c r="L105" s="44"/>
      <c r="M105" s="44"/>
      <c r="N105" s="44"/>
      <c r="O105" s="44">
        <v>0</v>
      </c>
      <c r="P105" s="44">
        <v>0</v>
      </c>
      <c r="Q105" s="44">
        <v>0</v>
      </c>
      <c r="R105" s="44">
        <v>501699.37999999995</v>
      </c>
      <c r="S105" s="68"/>
      <c r="T105" s="136">
        <v>24166.005639999999</v>
      </c>
      <c r="U105" s="24">
        <f>COUNTIF(F105:Q105,"&gt;0")</f>
        <v>1</v>
      </c>
      <c r="V105" s="1" t="s">
        <v>711</v>
      </c>
    </row>
    <row r="106" spans="1:22" x14ac:dyDescent="0.25">
      <c r="A106" s="135">
        <f t="shared" si="12"/>
        <v>90</v>
      </c>
      <c r="B106" s="134">
        <f t="shared" si="12"/>
        <v>90</v>
      </c>
      <c r="C106" s="77" t="s">
        <v>72</v>
      </c>
      <c r="D106" s="77" t="s">
        <v>359</v>
      </c>
      <c r="E106" s="129">
        <f t="shared" si="11"/>
        <v>24806931.352086637</v>
      </c>
      <c r="F106" s="44"/>
      <c r="G106" s="44"/>
      <c r="H106" s="44">
        <v>271883.74</v>
      </c>
      <c r="I106" s="44">
        <v>1073235.29</v>
      </c>
      <c r="J106" s="44"/>
      <c r="K106" s="44"/>
      <c r="L106" s="44"/>
      <c r="M106" s="44"/>
      <c r="N106" s="44">
        <v>8833594.1600000001</v>
      </c>
      <c r="O106" s="44">
        <v>0</v>
      </c>
      <c r="P106" s="44">
        <v>11280169.18</v>
      </c>
      <c r="Q106" s="81"/>
      <c r="R106" s="44">
        <v>2476576.1688999999</v>
      </c>
      <c r="S106" s="68">
        <v>256883.5135</v>
      </c>
      <c r="T106" s="136">
        <v>614589.29968664004</v>
      </c>
      <c r="U106" s="24">
        <f t="shared" si="10"/>
        <v>4</v>
      </c>
      <c r="V106" s="1" t="s">
        <v>714</v>
      </c>
    </row>
    <row r="107" spans="1:22" x14ac:dyDescent="0.25">
      <c r="A107" s="135">
        <f t="shared" si="12"/>
        <v>91</v>
      </c>
      <c r="B107" s="134">
        <f t="shared" si="12"/>
        <v>91</v>
      </c>
      <c r="C107" s="77" t="s">
        <v>72</v>
      </c>
      <c r="D107" s="77" t="s">
        <v>362</v>
      </c>
      <c r="E107" s="129">
        <f t="shared" si="11"/>
        <v>27716228.542847082</v>
      </c>
      <c r="F107" s="44"/>
      <c r="G107" s="81"/>
      <c r="H107" s="44">
        <v>3146864.52</v>
      </c>
      <c r="I107" s="44">
        <v>2898802.96</v>
      </c>
      <c r="J107" s="44">
        <v>0</v>
      </c>
      <c r="K107" s="44"/>
      <c r="L107" s="44"/>
      <c r="M107" s="44">
        <v>0</v>
      </c>
      <c r="N107" s="44">
        <v>9859124.0999999996</v>
      </c>
      <c r="O107" s="44">
        <v>0</v>
      </c>
      <c r="P107" s="44">
        <v>6508599.5899999999</v>
      </c>
      <c r="Q107" s="44">
        <v>3276300</v>
      </c>
      <c r="R107" s="44">
        <v>434057.50000000006</v>
      </c>
      <c r="S107" s="68">
        <v>24000</v>
      </c>
      <c r="T107" s="136">
        <v>1568479.8728470802</v>
      </c>
      <c r="U107" s="24">
        <f t="shared" si="10"/>
        <v>5</v>
      </c>
    </row>
    <row r="108" spans="1:22" x14ac:dyDescent="0.25">
      <c r="A108" s="135">
        <f t="shared" si="12"/>
        <v>92</v>
      </c>
      <c r="B108" s="134">
        <f t="shared" si="12"/>
        <v>92</v>
      </c>
      <c r="C108" s="77" t="s">
        <v>72</v>
      </c>
      <c r="D108" s="77" t="s">
        <v>364</v>
      </c>
      <c r="E108" s="129">
        <f>SUBTOTAL(9,F108:T108)</f>
        <v>14611197.90710892</v>
      </c>
      <c r="F108" s="44"/>
      <c r="G108" s="81"/>
      <c r="H108" s="44">
        <v>2731732.82</v>
      </c>
      <c r="I108" s="81"/>
      <c r="J108" s="44">
        <v>0</v>
      </c>
      <c r="K108" s="44"/>
      <c r="L108" s="44"/>
      <c r="M108" s="44">
        <v>0</v>
      </c>
      <c r="N108" s="44">
        <v>9356498.1500000004</v>
      </c>
      <c r="O108" s="44">
        <v>0</v>
      </c>
      <c r="P108" s="44"/>
      <c r="Q108" s="44">
        <v>1381241.93</v>
      </c>
      <c r="R108" s="44">
        <v>311041.28110000002</v>
      </c>
      <c r="S108" s="68">
        <v>45051.6011</v>
      </c>
      <c r="T108" s="136">
        <v>785632.12490892003</v>
      </c>
      <c r="U108" s="24">
        <f>COUNTIF(F108:Q108,"&gt;0")</f>
        <v>3</v>
      </c>
      <c r="V108" s="1" t="s">
        <v>714</v>
      </c>
    </row>
    <row r="109" spans="1:22" x14ac:dyDescent="0.25">
      <c r="A109" s="135">
        <f t="shared" si="12"/>
        <v>93</v>
      </c>
      <c r="B109" s="134">
        <f t="shared" si="12"/>
        <v>93</v>
      </c>
      <c r="C109" s="77" t="s">
        <v>72</v>
      </c>
      <c r="D109" s="77" t="s">
        <v>200</v>
      </c>
      <c r="E109" s="129">
        <f t="shared" si="11"/>
        <v>1092667.3</v>
      </c>
      <c r="F109" s="44">
        <v>0</v>
      </c>
      <c r="G109" s="44">
        <v>0</v>
      </c>
      <c r="H109" s="44">
        <v>0</v>
      </c>
      <c r="I109" s="44">
        <v>0</v>
      </c>
      <c r="J109" s="44">
        <v>1092667.3</v>
      </c>
      <c r="K109" s="44"/>
      <c r="L109" s="44"/>
      <c r="M109" s="44">
        <v>0</v>
      </c>
      <c r="N109" s="44">
        <v>0</v>
      </c>
      <c r="O109" s="44">
        <v>0</v>
      </c>
      <c r="P109" s="44"/>
      <c r="Q109" s="44">
        <v>0</v>
      </c>
      <c r="R109" s="44"/>
      <c r="S109" s="68"/>
      <c r="T109" s="136"/>
      <c r="U109" s="24">
        <f t="shared" si="10"/>
        <v>1</v>
      </c>
    </row>
    <row r="110" spans="1:22" x14ac:dyDescent="0.25">
      <c r="A110" s="135">
        <f t="shared" si="12"/>
        <v>94</v>
      </c>
      <c r="B110" s="134">
        <f t="shared" si="12"/>
        <v>94</v>
      </c>
      <c r="C110" s="77" t="s">
        <v>72</v>
      </c>
      <c r="D110" s="77" t="s">
        <v>202</v>
      </c>
      <c r="E110" s="129">
        <f t="shared" si="11"/>
        <v>1944736.54</v>
      </c>
      <c r="F110" s="44">
        <v>0</v>
      </c>
      <c r="G110" s="44">
        <v>0</v>
      </c>
      <c r="H110" s="44">
        <v>0</v>
      </c>
      <c r="I110" s="44">
        <v>0</v>
      </c>
      <c r="J110" s="44"/>
      <c r="K110" s="44"/>
      <c r="L110" s="44"/>
      <c r="M110" s="44">
        <v>0</v>
      </c>
      <c r="N110" s="44">
        <v>0</v>
      </c>
      <c r="O110" s="44">
        <v>0</v>
      </c>
      <c r="P110" s="44">
        <v>0</v>
      </c>
      <c r="Q110" s="44">
        <v>1937343.33</v>
      </c>
      <c r="R110" s="44"/>
      <c r="S110" s="68"/>
      <c r="T110" s="136">
        <v>7393.21</v>
      </c>
      <c r="U110" s="24">
        <f t="shared" si="10"/>
        <v>1</v>
      </c>
    </row>
    <row r="111" spans="1:22" x14ac:dyDescent="0.25">
      <c r="A111" s="135">
        <f t="shared" si="12"/>
        <v>95</v>
      </c>
      <c r="B111" s="134">
        <f t="shared" si="12"/>
        <v>95</v>
      </c>
      <c r="C111" s="77" t="s">
        <v>72</v>
      </c>
      <c r="D111" s="77" t="s">
        <v>541</v>
      </c>
      <c r="E111" s="129">
        <f>SUBTOTAL(9,F111:T111)</f>
        <v>3493023.9110059999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/>
      <c r="L111" s="44"/>
      <c r="M111" s="44">
        <v>0</v>
      </c>
      <c r="N111" s="44">
        <v>3264065.71</v>
      </c>
      <c r="O111" s="44">
        <v>0</v>
      </c>
      <c r="P111" s="44">
        <v>0</v>
      </c>
      <c r="Q111" s="44">
        <v>0</v>
      </c>
      <c r="R111" s="44">
        <v>122084.94</v>
      </c>
      <c r="S111" s="44">
        <v>24000</v>
      </c>
      <c r="T111" s="136">
        <v>82873.261006000001</v>
      </c>
      <c r="U111" s="24">
        <f>COUNTIF(F111:Q111,"&gt;0")</f>
        <v>1</v>
      </c>
    </row>
    <row r="112" spans="1:22" x14ac:dyDescent="0.25">
      <c r="A112" s="135">
        <f t="shared" si="12"/>
        <v>96</v>
      </c>
      <c r="B112" s="134">
        <f t="shared" si="12"/>
        <v>96</v>
      </c>
      <c r="C112" s="77" t="s">
        <v>72</v>
      </c>
      <c r="D112" s="77" t="s">
        <v>203</v>
      </c>
      <c r="E112" s="129">
        <f t="shared" si="11"/>
        <v>8609691.4240093995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/>
      <c r="L112" s="44"/>
      <c r="M112" s="44">
        <v>0</v>
      </c>
      <c r="N112" s="44">
        <v>7551202.7000000002</v>
      </c>
      <c r="O112" s="44">
        <v>0</v>
      </c>
      <c r="P112" s="44">
        <v>0</v>
      </c>
      <c r="Q112" s="44">
        <v>0</v>
      </c>
      <c r="R112" s="44">
        <v>852132.39209999994</v>
      </c>
      <c r="S112" s="68">
        <v>24000</v>
      </c>
      <c r="T112" s="136">
        <v>182356.33190939997</v>
      </c>
      <c r="U112" s="24">
        <f t="shared" si="10"/>
        <v>1</v>
      </c>
    </row>
    <row r="113" spans="1:22" x14ac:dyDescent="0.25">
      <c r="A113" s="135">
        <f t="shared" si="12"/>
        <v>97</v>
      </c>
      <c r="B113" s="134">
        <f t="shared" si="12"/>
        <v>97</v>
      </c>
      <c r="C113" s="77" t="s">
        <v>72</v>
      </c>
      <c r="D113" s="77" t="s">
        <v>366</v>
      </c>
      <c r="E113" s="129">
        <f t="shared" si="11"/>
        <v>26333526.466755163</v>
      </c>
      <c r="F113" s="154">
        <v>7864219.1399999997</v>
      </c>
      <c r="G113" s="44"/>
      <c r="H113" s="81"/>
      <c r="I113" s="81"/>
      <c r="J113" s="44"/>
      <c r="K113" s="44"/>
      <c r="L113" s="44"/>
      <c r="M113" s="44">
        <v>0</v>
      </c>
      <c r="N113" s="44">
        <v>12780973.57</v>
      </c>
      <c r="O113" s="44">
        <v>0</v>
      </c>
      <c r="P113" s="44"/>
      <c r="Q113" s="44"/>
      <c r="R113" s="44">
        <v>4341944.4309</v>
      </c>
      <c r="S113" s="68">
        <v>461523.41969999997</v>
      </c>
      <c r="T113" s="136">
        <v>884865.90615516005</v>
      </c>
      <c r="U113" s="24">
        <f t="shared" si="10"/>
        <v>2</v>
      </c>
      <c r="V113" s="1" t="s">
        <v>714</v>
      </c>
    </row>
    <row r="114" spans="1:22" x14ac:dyDescent="0.25">
      <c r="A114" s="135">
        <f t="shared" ref="A114:B129" si="13">+A113+1</f>
        <v>98</v>
      </c>
      <c r="B114" s="134">
        <f t="shared" si="13"/>
        <v>98</v>
      </c>
      <c r="C114" s="77" t="s">
        <v>72</v>
      </c>
      <c r="D114" s="77" t="s">
        <v>367</v>
      </c>
      <c r="E114" s="129">
        <f>SUBTOTAL(9,F114:T114)</f>
        <v>24274955.771498859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>
        <v>0</v>
      </c>
      <c r="P114" s="44">
        <v>22920438.079999998</v>
      </c>
      <c r="Q114" s="44"/>
      <c r="R114" s="44">
        <v>237586.77</v>
      </c>
      <c r="S114" s="68"/>
      <c r="T114" s="136">
        <v>1116930.9214988602</v>
      </c>
      <c r="U114" s="24">
        <f>COUNTIF(F114:Q114,"&gt;0")</f>
        <v>1</v>
      </c>
      <c r="V114" s="1" t="s">
        <v>714</v>
      </c>
    </row>
    <row r="115" spans="1:22" x14ac:dyDescent="0.25">
      <c r="A115" s="135">
        <f t="shared" si="13"/>
        <v>99</v>
      </c>
      <c r="B115" s="134">
        <f t="shared" si="13"/>
        <v>99</v>
      </c>
      <c r="C115" s="77" t="s">
        <v>72</v>
      </c>
      <c r="D115" s="77" t="s">
        <v>368</v>
      </c>
      <c r="E115" s="129">
        <f>SUBTOTAL(9,F115:T115)</f>
        <v>24384542.330598522</v>
      </c>
      <c r="F115" s="44"/>
      <c r="G115" s="44"/>
      <c r="H115" s="44"/>
      <c r="I115" s="44"/>
      <c r="J115" s="44"/>
      <c r="K115" s="44"/>
      <c r="L115" s="44"/>
      <c r="M115" s="44"/>
      <c r="N115" s="44"/>
      <c r="O115" s="44">
        <v>0</v>
      </c>
      <c r="P115" s="44">
        <v>23040371.91</v>
      </c>
      <c r="Q115" s="44"/>
      <c r="R115" s="44">
        <v>237124.23</v>
      </c>
      <c r="S115" s="68"/>
      <c r="T115" s="136">
        <v>1107046.1905985202</v>
      </c>
      <c r="U115" s="24">
        <f>COUNTIF(F115:Q115,"&gt;0")</f>
        <v>1</v>
      </c>
      <c r="V115" s="1" t="s">
        <v>714</v>
      </c>
    </row>
    <row r="116" spans="1:22" x14ac:dyDescent="0.25">
      <c r="A116" s="135">
        <f t="shared" si="13"/>
        <v>100</v>
      </c>
      <c r="B116" s="134">
        <f t="shared" si="13"/>
        <v>100</v>
      </c>
      <c r="C116" s="77" t="s">
        <v>72</v>
      </c>
      <c r="D116" s="77" t="s">
        <v>204</v>
      </c>
      <c r="E116" s="129">
        <f t="shared" si="11"/>
        <v>1151789.168633756</v>
      </c>
      <c r="F116" s="44"/>
      <c r="G116" s="44"/>
      <c r="H116" s="44">
        <v>655531.02</v>
      </c>
      <c r="I116" s="44"/>
      <c r="J116" s="44"/>
      <c r="K116" s="44"/>
      <c r="L116" s="44"/>
      <c r="M116" s="44"/>
      <c r="N116" s="44"/>
      <c r="O116" s="44"/>
      <c r="P116" s="44"/>
      <c r="Q116" s="81"/>
      <c r="R116" s="44"/>
      <c r="S116" s="68"/>
      <c r="T116" s="136">
        <v>496258.14863375603</v>
      </c>
      <c r="U116" s="24">
        <f t="shared" si="10"/>
        <v>1</v>
      </c>
    </row>
    <row r="117" spans="1:22" x14ac:dyDescent="0.25">
      <c r="A117" s="135">
        <f t="shared" si="13"/>
        <v>101</v>
      </c>
      <c r="B117" s="134">
        <f t="shared" si="13"/>
        <v>101</v>
      </c>
      <c r="C117" s="77" t="s">
        <v>72</v>
      </c>
      <c r="D117" s="77" t="s">
        <v>369</v>
      </c>
      <c r="E117" s="129">
        <f t="shared" si="11"/>
        <v>8825748.4216627013</v>
      </c>
      <c r="F117" s="44"/>
      <c r="G117" s="44">
        <v>1337737.05</v>
      </c>
      <c r="H117" s="44">
        <v>613148.77</v>
      </c>
      <c r="I117" s="44">
        <v>943239.55</v>
      </c>
      <c r="J117" s="44"/>
      <c r="K117" s="44"/>
      <c r="L117" s="44"/>
      <c r="M117" s="44">
        <v>0</v>
      </c>
      <c r="N117" s="44">
        <v>3170792.72</v>
      </c>
      <c r="O117" s="44">
        <v>0</v>
      </c>
      <c r="P117" s="44">
        <v>0</v>
      </c>
      <c r="Q117" s="44">
        <v>0</v>
      </c>
      <c r="R117" s="44">
        <v>2090379.2508999999</v>
      </c>
      <c r="S117" s="68">
        <v>229328.92859999998</v>
      </c>
      <c r="T117" s="136">
        <v>441122.15216270008</v>
      </c>
      <c r="U117" s="24">
        <f t="shared" si="10"/>
        <v>4</v>
      </c>
      <c r="V117" s="1" t="s">
        <v>711</v>
      </c>
    </row>
    <row r="118" spans="1:22" x14ac:dyDescent="0.25">
      <c r="A118" s="135">
        <f t="shared" si="13"/>
        <v>102</v>
      </c>
      <c r="B118" s="134">
        <f t="shared" si="13"/>
        <v>102</v>
      </c>
      <c r="C118" s="77" t="s">
        <v>72</v>
      </c>
      <c r="D118" s="77" t="s">
        <v>478</v>
      </c>
      <c r="E118" s="129">
        <f t="shared" si="11"/>
        <v>4462811.3410231601</v>
      </c>
      <c r="F118" s="44">
        <v>3489079.68</v>
      </c>
      <c r="G118" s="44"/>
      <c r="H118" s="44"/>
      <c r="I118" s="44"/>
      <c r="J118" s="44"/>
      <c r="K118" s="44">
        <v>0</v>
      </c>
      <c r="L118" s="44"/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788750.73</v>
      </c>
      <c r="S118" s="68"/>
      <c r="T118" s="136">
        <v>184980.93102316</v>
      </c>
      <c r="U118" s="24">
        <f t="shared" si="10"/>
        <v>1</v>
      </c>
      <c r="V118" s="1" t="s">
        <v>714</v>
      </c>
    </row>
    <row r="119" spans="1:22" x14ac:dyDescent="0.25">
      <c r="A119" s="135">
        <f t="shared" si="13"/>
        <v>103</v>
      </c>
      <c r="B119" s="134">
        <f t="shared" si="13"/>
        <v>103</v>
      </c>
      <c r="C119" s="77" t="s">
        <v>72</v>
      </c>
      <c r="D119" s="77" t="s">
        <v>208</v>
      </c>
      <c r="E119" s="129">
        <f t="shared" si="11"/>
        <v>1013056.9700000001</v>
      </c>
      <c r="F119" s="44">
        <v>0</v>
      </c>
      <c r="G119" s="44">
        <v>0</v>
      </c>
      <c r="H119" s="44">
        <v>0</v>
      </c>
      <c r="I119" s="44">
        <v>0</v>
      </c>
      <c r="J119" s="44">
        <v>1007223.29</v>
      </c>
      <c r="K119" s="44"/>
      <c r="L119" s="44"/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/>
      <c r="S119" s="68"/>
      <c r="T119" s="136">
        <v>5833.68</v>
      </c>
      <c r="U119" s="24">
        <f t="shared" si="10"/>
        <v>1</v>
      </c>
    </row>
    <row r="120" spans="1:22" x14ac:dyDescent="0.25">
      <c r="A120" s="135">
        <f t="shared" si="13"/>
        <v>104</v>
      </c>
      <c r="B120" s="134">
        <f t="shared" si="13"/>
        <v>104</v>
      </c>
      <c r="C120" s="77" t="s">
        <v>72</v>
      </c>
      <c r="D120" s="77" t="s">
        <v>372</v>
      </c>
      <c r="E120" s="129">
        <f>SUBTOTAL(9,F120:T120)</f>
        <v>12649312.870907839</v>
      </c>
      <c r="F120" s="44">
        <v>3644506.14</v>
      </c>
      <c r="G120" s="44"/>
      <c r="H120" s="44">
        <v>914465.47</v>
      </c>
      <c r="I120" s="44"/>
      <c r="J120" s="44">
        <v>0</v>
      </c>
      <c r="K120" s="44"/>
      <c r="L120" s="44"/>
      <c r="M120" s="44">
        <v>0</v>
      </c>
      <c r="N120" s="44">
        <v>3794408.23</v>
      </c>
      <c r="O120" s="44">
        <v>0</v>
      </c>
      <c r="P120" s="44">
        <v>0</v>
      </c>
      <c r="Q120" s="44">
        <v>3615223.51</v>
      </c>
      <c r="R120" s="44">
        <v>160007.0122</v>
      </c>
      <c r="S120" s="68">
        <v>37048.782200000001</v>
      </c>
      <c r="T120" s="136">
        <v>483653.72650783998</v>
      </c>
      <c r="U120" s="24">
        <f t="shared" si="10"/>
        <v>4</v>
      </c>
      <c r="V120" s="1" t="s">
        <v>711</v>
      </c>
    </row>
    <row r="121" spans="1:22" x14ac:dyDescent="0.25">
      <c r="A121" s="135">
        <f t="shared" si="13"/>
        <v>105</v>
      </c>
      <c r="B121" s="134">
        <f t="shared" si="13"/>
        <v>105</v>
      </c>
      <c r="C121" s="77"/>
      <c r="D121" s="77" t="s">
        <v>641</v>
      </c>
      <c r="E121" s="129">
        <f t="shared" ref="E121" si="14">SUBTOTAL(9,F121:T121)</f>
        <v>56109594.188878097</v>
      </c>
      <c r="F121" s="44"/>
      <c r="G121" s="44"/>
      <c r="H121" s="81"/>
      <c r="I121" s="44"/>
      <c r="J121" s="44"/>
      <c r="K121" s="44"/>
      <c r="L121" s="44"/>
      <c r="M121" s="44"/>
      <c r="N121" s="44">
        <v>14003938.84</v>
      </c>
      <c r="O121" s="44"/>
      <c r="P121" s="44">
        <v>32173395.460000001</v>
      </c>
      <c r="Q121" s="44">
        <v>8022917.0300000003</v>
      </c>
      <c r="R121" s="44">
        <v>228290.3</v>
      </c>
      <c r="S121" s="68"/>
      <c r="T121" s="136">
        <v>1681052.5588781</v>
      </c>
      <c r="U121" s="24">
        <f>COUNTIF(F121:Q121,"&gt;0")</f>
        <v>3</v>
      </c>
      <c r="V121" s="1" t="s">
        <v>715</v>
      </c>
    </row>
    <row r="122" spans="1:22" x14ac:dyDescent="0.25">
      <c r="A122" s="135">
        <f t="shared" si="13"/>
        <v>106</v>
      </c>
      <c r="B122" s="134">
        <f t="shared" si="13"/>
        <v>106</v>
      </c>
      <c r="C122" s="77" t="s">
        <v>72</v>
      </c>
      <c r="D122" s="77" t="s">
        <v>373</v>
      </c>
      <c r="E122" s="129">
        <f t="shared" si="11"/>
        <v>28210776.703030359</v>
      </c>
      <c r="F122" s="44">
        <v>6509238.7699999996</v>
      </c>
      <c r="G122" s="44">
        <v>2319400.21</v>
      </c>
      <c r="H122" s="44">
        <v>3775889.5</v>
      </c>
      <c r="I122" s="44">
        <v>1790627.54</v>
      </c>
      <c r="J122" s="44"/>
      <c r="K122" s="44"/>
      <c r="L122" s="44"/>
      <c r="M122" s="44">
        <v>0</v>
      </c>
      <c r="N122" s="44">
        <v>4646956.9000000004</v>
      </c>
      <c r="O122" s="44">
        <v>0</v>
      </c>
      <c r="P122" s="44">
        <v>5003516.4000000004</v>
      </c>
      <c r="Q122" s="44">
        <v>2513954.87</v>
      </c>
      <c r="R122" s="44"/>
      <c r="S122" s="68"/>
      <c r="T122" s="136">
        <v>1651192.5130303577</v>
      </c>
      <c r="U122" s="24">
        <f t="shared" si="10"/>
        <v>7</v>
      </c>
      <c r="V122" s="1" t="s">
        <v>711</v>
      </c>
    </row>
    <row r="123" spans="1:22" x14ac:dyDescent="0.25">
      <c r="A123" s="135">
        <f t="shared" si="13"/>
        <v>107</v>
      </c>
      <c r="B123" s="134">
        <f t="shared" si="13"/>
        <v>107</v>
      </c>
      <c r="C123" s="77" t="s">
        <v>72</v>
      </c>
      <c r="D123" s="77" t="s">
        <v>479</v>
      </c>
      <c r="E123" s="129">
        <f t="shared" si="11"/>
        <v>8373368.8852534005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/>
      <c r="L123" s="44"/>
      <c r="M123" s="44">
        <v>0</v>
      </c>
      <c r="N123" s="44">
        <v>6528558.9900000002</v>
      </c>
      <c r="O123" s="44">
        <v>0</v>
      </c>
      <c r="P123" s="44">
        <v>0</v>
      </c>
      <c r="Q123" s="44">
        <v>0</v>
      </c>
      <c r="R123" s="44">
        <v>1523817.8800000001</v>
      </c>
      <c r="S123" s="68"/>
      <c r="T123" s="136">
        <v>320992.01525340008</v>
      </c>
      <c r="U123" s="24">
        <f t="shared" si="10"/>
        <v>1</v>
      </c>
    </row>
    <row r="124" spans="1:22" x14ac:dyDescent="0.25">
      <c r="A124" s="135">
        <f t="shared" si="13"/>
        <v>108</v>
      </c>
      <c r="B124" s="134">
        <f t="shared" si="13"/>
        <v>108</v>
      </c>
      <c r="C124" s="77" t="s">
        <v>72</v>
      </c>
      <c r="D124" s="77" t="s">
        <v>480</v>
      </c>
      <c r="E124" s="129">
        <f t="shared" si="11"/>
        <v>8125441.1614079997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/>
      <c r="L124" s="44"/>
      <c r="M124" s="44">
        <v>0</v>
      </c>
      <c r="N124" s="44">
        <v>6264359.7599999998</v>
      </c>
      <c r="O124" s="44">
        <v>0</v>
      </c>
      <c r="P124" s="44">
        <v>0</v>
      </c>
      <c r="Q124" s="44">
        <v>0</v>
      </c>
      <c r="R124" s="44">
        <v>1547459.25</v>
      </c>
      <c r="S124" s="68"/>
      <c r="T124" s="136">
        <v>313622.15140800003</v>
      </c>
      <c r="U124" s="24">
        <f t="shared" si="10"/>
        <v>1</v>
      </c>
    </row>
    <row r="125" spans="1:22" x14ac:dyDescent="0.25">
      <c r="A125" s="135">
        <f t="shared" si="13"/>
        <v>109</v>
      </c>
      <c r="B125" s="134">
        <f t="shared" si="13"/>
        <v>109</v>
      </c>
      <c r="C125" s="77" t="s">
        <v>72</v>
      </c>
      <c r="D125" s="77" t="s">
        <v>212</v>
      </c>
      <c r="E125" s="129">
        <f t="shared" si="11"/>
        <v>435458</v>
      </c>
      <c r="F125" s="44">
        <v>0</v>
      </c>
      <c r="G125" s="44">
        <v>0</v>
      </c>
      <c r="H125" s="44">
        <v>0</v>
      </c>
      <c r="I125" s="44">
        <v>0</v>
      </c>
      <c r="J125" s="44">
        <v>435458</v>
      </c>
      <c r="K125" s="44"/>
      <c r="L125" s="44"/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/>
      <c r="S125" s="68"/>
      <c r="T125" s="136"/>
      <c r="U125" s="24">
        <f t="shared" si="10"/>
        <v>1</v>
      </c>
    </row>
    <row r="126" spans="1:22" x14ac:dyDescent="0.25">
      <c r="A126" s="135">
        <f t="shared" si="13"/>
        <v>110</v>
      </c>
      <c r="B126" s="134">
        <f t="shared" si="13"/>
        <v>110</v>
      </c>
      <c r="C126" s="77" t="s">
        <v>72</v>
      </c>
      <c r="D126" s="77" t="s">
        <v>726</v>
      </c>
      <c r="E126" s="129">
        <f>SUBTOTAL(9,F126:T126)</f>
        <v>1097504.5</v>
      </c>
      <c r="F126" s="44">
        <v>0</v>
      </c>
      <c r="G126" s="44"/>
      <c r="H126" s="44">
        <v>0</v>
      </c>
      <c r="I126" s="81"/>
      <c r="J126" s="44">
        <v>1097504.5</v>
      </c>
      <c r="K126" s="44"/>
      <c r="L126" s="44"/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/>
      <c r="S126" s="44"/>
      <c r="T126" s="136"/>
      <c r="U126" s="24">
        <f>COUNTIF(F126:Q126,"&gt;0")</f>
        <v>1</v>
      </c>
      <c r="V126" s="1" t="s">
        <v>727</v>
      </c>
    </row>
    <row r="127" spans="1:22" x14ac:dyDescent="0.25">
      <c r="A127" s="135">
        <f t="shared" si="13"/>
        <v>111</v>
      </c>
      <c r="B127" s="134">
        <f t="shared" si="13"/>
        <v>111</v>
      </c>
      <c r="C127" s="77" t="s">
        <v>72</v>
      </c>
      <c r="D127" s="77" t="s">
        <v>213</v>
      </c>
      <c r="E127" s="129">
        <f t="shared" si="11"/>
        <v>678959.93939557998</v>
      </c>
      <c r="F127" s="44"/>
      <c r="G127" s="44"/>
      <c r="H127" s="44"/>
      <c r="I127" s="44"/>
      <c r="J127" s="44">
        <v>500183.41</v>
      </c>
      <c r="K127" s="44"/>
      <c r="L127" s="44"/>
      <c r="M127" s="44">
        <v>0</v>
      </c>
      <c r="N127" s="44">
        <v>0</v>
      </c>
      <c r="O127" s="44">
        <v>0</v>
      </c>
      <c r="P127" s="44"/>
      <c r="Q127" s="44">
        <v>0</v>
      </c>
      <c r="R127" s="44"/>
      <c r="S127" s="68"/>
      <c r="T127" s="136">
        <v>178776.52939558003</v>
      </c>
      <c r="U127" s="24">
        <f t="shared" si="10"/>
        <v>1</v>
      </c>
    </row>
    <row r="128" spans="1:22" x14ac:dyDescent="0.25">
      <c r="A128" s="135">
        <f t="shared" si="13"/>
        <v>112</v>
      </c>
      <c r="B128" s="134">
        <f t="shared" si="13"/>
        <v>112</v>
      </c>
      <c r="C128" s="77" t="s">
        <v>72</v>
      </c>
      <c r="D128" s="77" t="s">
        <v>215</v>
      </c>
      <c r="E128" s="129">
        <f t="shared" si="11"/>
        <v>994811.65</v>
      </c>
      <c r="F128" s="44">
        <v>0</v>
      </c>
      <c r="G128" s="44">
        <v>0</v>
      </c>
      <c r="H128" s="44">
        <v>0</v>
      </c>
      <c r="I128" s="44">
        <v>0</v>
      </c>
      <c r="J128" s="44">
        <v>994811.65</v>
      </c>
      <c r="K128" s="44"/>
      <c r="L128" s="44"/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/>
      <c r="S128" s="68"/>
      <c r="T128" s="136"/>
      <c r="U128" s="24">
        <f t="shared" si="10"/>
        <v>1</v>
      </c>
    </row>
    <row r="129" spans="1:22" x14ac:dyDescent="0.25">
      <c r="A129" s="135">
        <f t="shared" si="13"/>
        <v>113</v>
      </c>
      <c r="B129" s="134">
        <f t="shared" si="13"/>
        <v>113</v>
      </c>
      <c r="C129" s="77" t="s">
        <v>72</v>
      </c>
      <c r="D129" s="77" t="s">
        <v>85</v>
      </c>
      <c r="E129" s="129">
        <f>SUBTOTAL(9,F129:T129)</f>
        <v>2196546.3422400001</v>
      </c>
      <c r="F129" s="44"/>
      <c r="G129" s="44"/>
      <c r="H129" s="44"/>
      <c r="I129" s="44"/>
      <c r="J129" s="44">
        <v>2104784.6800000002</v>
      </c>
      <c r="K129" s="44"/>
      <c r="L129" s="44"/>
      <c r="M129" s="44">
        <v>0</v>
      </c>
      <c r="N129" s="44">
        <v>0</v>
      </c>
      <c r="O129" s="44"/>
      <c r="P129" s="44"/>
      <c r="Q129" s="44"/>
      <c r="R129" s="44">
        <v>2857.14</v>
      </c>
      <c r="S129" s="68">
        <v>24000</v>
      </c>
      <c r="T129" s="136">
        <v>64904.522240000006</v>
      </c>
      <c r="U129" s="24">
        <f>COUNTIF(F129:Q129,"&gt;0")</f>
        <v>1</v>
      </c>
      <c r="V129" s="1" t="s">
        <v>714</v>
      </c>
    </row>
    <row r="130" spans="1:22" x14ac:dyDescent="0.25">
      <c r="A130" s="135">
        <f t="shared" ref="A130:B145" si="15">+A129+1</f>
        <v>114</v>
      </c>
      <c r="B130" s="134">
        <f t="shared" si="15"/>
        <v>114</v>
      </c>
      <c r="C130" s="77" t="s">
        <v>72</v>
      </c>
      <c r="D130" s="77" t="s">
        <v>377</v>
      </c>
      <c r="E130" s="129">
        <f>SUBTOTAL(9,F130:T130)</f>
        <v>22252018.226827998</v>
      </c>
      <c r="F130" s="44"/>
      <c r="G130" s="44"/>
      <c r="H130" s="44"/>
      <c r="I130" s="44"/>
      <c r="J130" s="44"/>
      <c r="K130" s="44"/>
      <c r="L130" s="44"/>
      <c r="M130" s="44">
        <v>0</v>
      </c>
      <c r="N130" s="44"/>
      <c r="O130" s="44">
        <v>0</v>
      </c>
      <c r="P130" s="44">
        <v>21575728.449999999</v>
      </c>
      <c r="Q130" s="44"/>
      <c r="R130" s="44"/>
      <c r="S130" s="68"/>
      <c r="T130" s="136">
        <v>676289.77682800009</v>
      </c>
      <c r="U130" s="24">
        <f>COUNTIF(F130:Q130,"&gt;0")</f>
        <v>1</v>
      </c>
    </row>
    <row r="131" spans="1:22" x14ac:dyDescent="0.25">
      <c r="A131" s="135">
        <f t="shared" si="15"/>
        <v>115</v>
      </c>
      <c r="B131" s="134">
        <f t="shared" si="15"/>
        <v>115</v>
      </c>
      <c r="C131" s="77" t="s">
        <v>72</v>
      </c>
      <c r="D131" s="77" t="s">
        <v>379</v>
      </c>
      <c r="E131" s="129">
        <f t="shared" si="11"/>
        <v>24178412.226240739</v>
      </c>
      <c r="F131" s="44">
        <v>5305996.59</v>
      </c>
      <c r="G131" s="81"/>
      <c r="H131" s="81"/>
      <c r="I131" s="81"/>
      <c r="J131" s="44"/>
      <c r="K131" s="44"/>
      <c r="L131" s="44"/>
      <c r="M131" s="44">
        <v>0</v>
      </c>
      <c r="N131" s="44">
        <v>4125438.85</v>
      </c>
      <c r="O131" s="44">
        <v>0</v>
      </c>
      <c r="P131" s="44">
        <v>13688562.5</v>
      </c>
      <c r="Q131" s="44"/>
      <c r="R131" s="44"/>
      <c r="S131" s="68"/>
      <c r="T131" s="136">
        <v>1058414.2862407397</v>
      </c>
      <c r="U131" s="24">
        <f t="shared" si="10"/>
        <v>3</v>
      </c>
      <c r="V131" s="1" t="s">
        <v>711</v>
      </c>
    </row>
    <row r="132" spans="1:22" x14ac:dyDescent="0.25">
      <c r="A132" s="135">
        <f t="shared" si="15"/>
        <v>116</v>
      </c>
      <c r="B132" s="134">
        <f t="shared" si="15"/>
        <v>116</v>
      </c>
      <c r="C132" s="77" t="s">
        <v>72</v>
      </c>
      <c r="D132" s="77" t="s">
        <v>216</v>
      </c>
      <c r="E132" s="129">
        <f t="shared" si="11"/>
        <v>1817380.4565099401</v>
      </c>
      <c r="F132" s="44"/>
      <c r="G132" s="44"/>
      <c r="H132" s="44">
        <v>707768.48</v>
      </c>
      <c r="I132" s="44">
        <v>953897.51</v>
      </c>
      <c r="J132" s="44"/>
      <c r="K132" s="44"/>
      <c r="L132" s="44"/>
      <c r="M132" s="44">
        <v>0</v>
      </c>
      <c r="N132" s="44">
        <v>0</v>
      </c>
      <c r="O132" s="44">
        <v>0</v>
      </c>
      <c r="P132" s="44"/>
      <c r="Q132" s="44">
        <v>0</v>
      </c>
      <c r="R132" s="44"/>
      <c r="S132" s="68"/>
      <c r="T132" s="136">
        <v>155714.46650994002</v>
      </c>
      <c r="U132" s="24">
        <f t="shared" si="10"/>
        <v>2</v>
      </c>
    </row>
    <row r="133" spans="1:22" x14ac:dyDescent="0.25">
      <c r="A133" s="135">
        <f t="shared" si="15"/>
        <v>117</v>
      </c>
      <c r="B133" s="134">
        <f t="shared" si="15"/>
        <v>117</v>
      </c>
      <c r="C133" s="77" t="s">
        <v>45</v>
      </c>
      <c r="D133" s="77" t="s">
        <v>380</v>
      </c>
      <c r="E133" s="129">
        <f t="shared" si="11"/>
        <v>9785218.7020976003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/>
      <c r="L133" s="44"/>
      <c r="M133" s="44">
        <v>0</v>
      </c>
      <c r="N133" s="44">
        <v>9447493.2200000007</v>
      </c>
      <c r="O133" s="44">
        <v>0</v>
      </c>
      <c r="P133" s="44"/>
      <c r="Q133" s="44"/>
      <c r="R133" s="44"/>
      <c r="S133" s="68"/>
      <c r="T133" s="136">
        <v>337725.48209760012</v>
      </c>
      <c r="U133" s="24">
        <f t="shared" si="10"/>
        <v>1</v>
      </c>
    </row>
    <row r="134" spans="1:22" x14ac:dyDescent="0.25">
      <c r="A134" s="135">
        <f t="shared" si="15"/>
        <v>118</v>
      </c>
      <c r="B134" s="134">
        <f t="shared" si="15"/>
        <v>118</v>
      </c>
      <c r="C134" s="77" t="s">
        <v>45</v>
      </c>
      <c r="D134" s="77" t="s">
        <v>218</v>
      </c>
      <c r="E134" s="129">
        <f t="shared" si="11"/>
        <v>459932.97</v>
      </c>
      <c r="F134" s="44">
        <v>0</v>
      </c>
      <c r="G134" s="44">
        <v>0</v>
      </c>
      <c r="H134" s="44">
        <v>0</v>
      </c>
      <c r="I134" s="44">
        <v>0</v>
      </c>
      <c r="J134" s="44">
        <v>459932.97</v>
      </c>
      <c r="K134" s="44"/>
      <c r="L134" s="44"/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/>
      <c r="S134" s="68"/>
      <c r="T134" s="136"/>
      <c r="U134" s="24">
        <f t="shared" si="10"/>
        <v>1</v>
      </c>
    </row>
    <row r="135" spans="1:22" x14ac:dyDescent="0.25">
      <c r="A135" s="135">
        <f t="shared" si="15"/>
        <v>119</v>
      </c>
      <c r="B135" s="134">
        <f t="shared" si="15"/>
        <v>119</v>
      </c>
      <c r="C135" s="77" t="s">
        <v>45</v>
      </c>
      <c r="D135" s="77" t="s">
        <v>381</v>
      </c>
      <c r="E135" s="129">
        <f>SUBTOTAL(9,F135:T135)</f>
        <v>7411233.7756144591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>
        <v>6404791.8899999997</v>
      </c>
      <c r="R135" s="44">
        <v>779909.40100000007</v>
      </c>
      <c r="S135" s="68">
        <v>77990.940099999993</v>
      </c>
      <c r="T135" s="136">
        <v>148541.54451445999</v>
      </c>
      <c r="U135" s="24">
        <f>COUNTIF(F135:Q135,"&gt;0")</f>
        <v>1</v>
      </c>
      <c r="V135" s="1" t="s">
        <v>711</v>
      </c>
    </row>
    <row r="136" spans="1:22" x14ac:dyDescent="0.25">
      <c r="A136" s="135">
        <f t="shared" si="15"/>
        <v>120</v>
      </c>
      <c r="B136" s="134">
        <f t="shared" si="15"/>
        <v>120</v>
      </c>
      <c r="C136" s="77" t="s">
        <v>45</v>
      </c>
      <c r="D136" s="77" t="s">
        <v>46</v>
      </c>
      <c r="E136" s="129">
        <f t="shared" si="11"/>
        <v>1318598.3729000001</v>
      </c>
      <c r="F136" s="44">
        <v>0</v>
      </c>
      <c r="G136" s="44"/>
      <c r="H136" s="44">
        <v>1005861.31</v>
      </c>
      <c r="I136" s="44">
        <v>0</v>
      </c>
      <c r="J136" s="44"/>
      <c r="K136" s="44"/>
      <c r="L136" s="44"/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268460.93900000001</v>
      </c>
      <c r="S136" s="68">
        <v>26846.093900000003</v>
      </c>
      <c r="T136" s="136">
        <v>17430.03</v>
      </c>
      <c r="U136" s="24">
        <f t="shared" si="10"/>
        <v>1</v>
      </c>
    </row>
    <row r="137" spans="1:22" x14ac:dyDescent="0.25">
      <c r="A137" s="135">
        <f t="shared" si="15"/>
        <v>121</v>
      </c>
      <c r="B137" s="134">
        <f t="shared" si="15"/>
        <v>121</v>
      </c>
      <c r="C137" s="77" t="s">
        <v>45</v>
      </c>
      <c r="D137" s="77" t="s">
        <v>86</v>
      </c>
      <c r="E137" s="129">
        <f>SUBTOTAL(9,F137:T137)</f>
        <v>2497571.4777621999</v>
      </c>
      <c r="F137" s="44">
        <v>0</v>
      </c>
      <c r="G137" s="44"/>
      <c r="H137" s="44"/>
      <c r="I137" s="44"/>
      <c r="J137" s="44">
        <v>0</v>
      </c>
      <c r="K137" s="44"/>
      <c r="L137" s="44"/>
      <c r="M137" s="44">
        <v>0</v>
      </c>
      <c r="N137" s="44">
        <v>2408460.1</v>
      </c>
      <c r="O137" s="44">
        <v>0</v>
      </c>
      <c r="P137" s="44">
        <v>0</v>
      </c>
      <c r="Q137" s="44">
        <v>0</v>
      </c>
      <c r="R137" s="44"/>
      <c r="S137" s="68"/>
      <c r="T137" s="136">
        <v>89111.377762199991</v>
      </c>
      <c r="U137" s="24">
        <f>COUNTIF(F137:Q137,"&gt;0")</f>
        <v>1</v>
      </c>
      <c r="V137" s="1" t="s">
        <v>711</v>
      </c>
    </row>
    <row r="138" spans="1:22" x14ac:dyDescent="0.25">
      <c r="A138" s="135">
        <f t="shared" si="15"/>
        <v>122</v>
      </c>
      <c r="B138" s="134">
        <f t="shared" si="15"/>
        <v>122</v>
      </c>
      <c r="C138" s="77" t="s">
        <v>220</v>
      </c>
      <c r="D138" s="77" t="s">
        <v>222</v>
      </c>
      <c r="E138" s="129">
        <f t="shared" si="11"/>
        <v>1175462.0518470199</v>
      </c>
      <c r="F138" s="44">
        <v>1115776.76</v>
      </c>
      <c r="G138" s="44"/>
      <c r="H138" s="44"/>
      <c r="I138" s="44"/>
      <c r="J138" s="44">
        <v>0</v>
      </c>
      <c r="K138" s="44"/>
      <c r="L138" s="44"/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/>
      <c r="S138" s="68"/>
      <c r="T138" s="136">
        <v>59685.291847020017</v>
      </c>
      <c r="U138" s="24">
        <f t="shared" si="10"/>
        <v>1</v>
      </c>
    </row>
    <row r="139" spans="1:22" x14ac:dyDescent="0.25">
      <c r="A139" s="135">
        <f t="shared" si="15"/>
        <v>123</v>
      </c>
      <c r="B139" s="134">
        <f t="shared" si="15"/>
        <v>123</v>
      </c>
      <c r="C139" s="77" t="s">
        <v>89</v>
      </c>
      <c r="D139" s="77" t="s">
        <v>227</v>
      </c>
      <c r="E139" s="129">
        <f t="shared" ref="E139" si="16">SUBTOTAL(9,F139:T139)</f>
        <v>5475068.96438374</v>
      </c>
      <c r="F139" s="44"/>
      <c r="G139" s="44"/>
      <c r="H139" s="44">
        <v>0</v>
      </c>
      <c r="I139" s="44"/>
      <c r="J139" s="44"/>
      <c r="K139" s="44"/>
      <c r="L139" s="44"/>
      <c r="M139" s="44">
        <v>0</v>
      </c>
      <c r="N139" s="44">
        <v>0</v>
      </c>
      <c r="O139" s="81"/>
      <c r="P139" s="44">
        <v>0</v>
      </c>
      <c r="Q139" s="44">
        <v>3924912.66</v>
      </c>
      <c r="R139" s="44">
        <v>1200305.659</v>
      </c>
      <c r="S139" s="68">
        <v>108232.6369</v>
      </c>
      <c r="T139" s="136">
        <v>241618.00848373998</v>
      </c>
      <c r="U139" s="24">
        <f t="shared" ref="U139" si="17">COUNTIF(F139:Q139,"&gt;0")</f>
        <v>1</v>
      </c>
      <c r="V139" s="1" t="s">
        <v>714</v>
      </c>
    </row>
    <row r="140" spans="1:22" x14ac:dyDescent="0.25">
      <c r="A140" s="135">
        <f t="shared" si="15"/>
        <v>124</v>
      </c>
      <c r="B140" s="134">
        <f t="shared" si="15"/>
        <v>124</v>
      </c>
      <c r="C140" s="77" t="s">
        <v>89</v>
      </c>
      <c r="D140" s="77" t="s">
        <v>228</v>
      </c>
      <c r="E140" s="129">
        <f t="shared" ref="E140:E143" si="18">SUBTOTAL(9,F140:T140)</f>
        <v>5269327.2909560008</v>
      </c>
      <c r="F140" s="44">
        <v>0</v>
      </c>
      <c r="G140" s="44"/>
      <c r="H140" s="44"/>
      <c r="I140" s="44"/>
      <c r="J140" s="44">
        <v>0</v>
      </c>
      <c r="K140" s="44"/>
      <c r="L140" s="44"/>
      <c r="M140" s="44">
        <v>0</v>
      </c>
      <c r="N140" s="44">
        <v>4903240.6500000004</v>
      </c>
      <c r="O140" s="44">
        <v>0</v>
      </c>
      <c r="P140" s="44">
        <v>0</v>
      </c>
      <c r="Q140" s="44">
        <v>0</v>
      </c>
      <c r="R140" s="44">
        <v>229623.16999999998</v>
      </c>
      <c r="S140" s="68">
        <v>6666.66</v>
      </c>
      <c r="T140" s="136">
        <v>129796.81095600002</v>
      </c>
      <c r="U140" s="24">
        <f t="shared" ref="U140:U143" si="19">COUNTIF(F140:Q140,"&gt;0")</f>
        <v>1</v>
      </c>
      <c r="V140" s="1" t="s">
        <v>714</v>
      </c>
    </row>
    <row r="141" spans="1:22" x14ac:dyDescent="0.25">
      <c r="A141" s="135">
        <f t="shared" si="15"/>
        <v>125</v>
      </c>
      <c r="B141" s="134">
        <f t="shared" si="15"/>
        <v>125</v>
      </c>
      <c r="C141" s="77" t="s">
        <v>89</v>
      </c>
      <c r="D141" s="77" t="s">
        <v>229</v>
      </c>
      <c r="E141" s="129">
        <f t="shared" si="18"/>
        <v>5224437.8286898192</v>
      </c>
      <c r="F141" s="44"/>
      <c r="G141" s="44"/>
      <c r="H141" s="44"/>
      <c r="I141" s="44"/>
      <c r="J141" s="44"/>
      <c r="K141" s="44"/>
      <c r="L141" s="44"/>
      <c r="M141" s="44">
        <v>0</v>
      </c>
      <c r="N141" s="44">
        <v>0</v>
      </c>
      <c r="O141" s="81"/>
      <c r="P141" s="44">
        <v>0</v>
      </c>
      <c r="Q141" s="44">
        <v>3209479.43</v>
      </c>
      <c r="R141" s="44">
        <v>1575434.3365000002</v>
      </c>
      <c r="S141" s="68">
        <v>151747.05220000001</v>
      </c>
      <c r="T141" s="136">
        <v>287777.00998981996</v>
      </c>
      <c r="U141" s="24">
        <f t="shared" si="19"/>
        <v>1</v>
      </c>
      <c r="V141" s="1" t="s">
        <v>714</v>
      </c>
    </row>
    <row r="142" spans="1:22" x14ac:dyDescent="0.25">
      <c r="A142" s="135">
        <f t="shared" si="15"/>
        <v>126</v>
      </c>
      <c r="B142" s="134">
        <f t="shared" si="15"/>
        <v>126</v>
      </c>
      <c r="C142" s="77" t="s">
        <v>89</v>
      </c>
      <c r="D142" s="77" t="s">
        <v>230</v>
      </c>
      <c r="E142" s="129">
        <f t="shared" si="18"/>
        <v>5699865.1681458</v>
      </c>
      <c r="F142" s="44"/>
      <c r="G142" s="44"/>
      <c r="H142" s="44"/>
      <c r="I142" s="44"/>
      <c r="J142" s="44"/>
      <c r="K142" s="44"/>
      <c r="L142" s="44"/>
      <c r="M142" s="44">
        <v>0</v>
      </c>
      <c r="N142" s="44">
        <v>0</v>
      </c>
      <c r="O142" s="81"/>
      <c r="P142" s="44">
        <v>0</v>
      </c>
      <c r="Q142" s="44">
        <v>4230200.7</v>
      </c>
      <c r="R142" s="44">
        <v>1151371.1732999999</v>
      </c>
      <c r="S142" s="68">
        <v>109963.64969999999</v>
      </c>
      <c r="T142" s="136">
        <v>208329.64514579996</v>
      </c>
      <c r="U142" s="24">
        <f t="shared" si="19"/>
        <v>1</v>
      </c>
      <c r="V142" s="1" t="s">
        <v>714</v>
      </c>
    </row>
    <row r="143" spans="1:22" x14ac:dyDescent="0.25">
      <c r="A143" s="135">
        <f t="shared" si="15"/>
        <v>127</v>
      </c>
      <c r="B143" s="134">
        <f t="shared" si="15"/>
        <v>127</v>
      </c>
      <c r="C143" s="77" t="s">
        <v>89</v>
      </c>
      <c r="D143" s="77" t="s">
        <v>231</v>
      </c>
      <c r="E143" s="129">
        <f t="shared" si="18"/>
        <v>5854211.9964419995</v>
      </c>
      <c r="F143" s="44">
        <v>0</v>
      </c>
      <c r="G143" s="44"/>
      <c r="H143" s="44"/>
      <c r="I143" s="44"/>
      <c r="J143" s="44">
        <v>0</v>
      </c>
      <c r="K143" s="44"/>
      <c r="L143" s="44"/>
      <c r="M143" s="44">
        <v>0</v>
      </c>
      <c r="N143" s="44">
        <v>5484086.3899999997</v>
      </c>
      <c r="O143" s="44">
        <v>0</v>
      </c>
      <c r="P143" s="44">
        <v>0</v>
      </c>
      <c r="Q143" s="44">
        <v>0</v>
      </c>
      <c r="R143" s="44">
        <v>229304.55</v>
      </c>
      <c r="S143" s="68">
        <v>6666.66</v>
      </c>
      <c r="T143" s="136">
        <v>134154.396442</v>
      </c>
      <c r="U143" s="24">
        <f t="shared" si="19"/>
        <v>1</v>
      </c>
      <c r="V143" s="1" t="s">
        <v>714</v>
      </c>
    </row>
    <row r="144" spans="1:22" x14ac:dyDescent="0.25">
      <c r="A144" s="135">
        <f t="shared" si="15"/>
        <v>128</v>
      </c>
      <c r="B144" s="134">
        <f t="shared" si="15"/>
        <v>128</v>
      </c>
      <c r="C144" s="77" t="s">
        <v>95</v>
      </c>
      <c r="D144" s="77" t="s">
        <v>240</v>
      </c>
      <c r="E144" s="129">
        <f t="shared" si="11"/>
        <v>7339250.7175320005</v>
      </c>
      <c r="F144" s="81"/>
      <c r="G144" s="81"/>
      <c r="H144" s="81"/>
      <c r="I144" s="81"/>
      <c r="J144" s="44">
        <v>0</v>
      </c>
      <c r="K144" s="44"/>
      <c r="L144" s="44"/>
      <c r="M144" s="44">
        <v>0</v>
      </c>
      <c r="N144" s="44">
        <v>6665001.5300000003</v>
      </c>
      <c r="O144" s="44">
        <v>0</v>
      </c>
      <c r="P144" s="44"/>
      <c r="Q144" s="44"/>
      <c r="R144" s="44"/>
      <c r="S144" s="68"/>
      <c r="T144" s="136">
        <v>674249.18753199989</v>
      </c>
      <c r="U144" s="24">
        <f t="shared" si="10"/>
        <v>1</v>
      </c>
      <c r="V144" s="1" t="s">
        <v>711</v>
      </c>
    </row>
    <row r="145" spans="1:22" x14ac:dyDescent="0.25">
      <c r="A145" s="135">
        <f t="shared" si="15"/>
        <v>129</v>
      </c>
      <c r="B145" s="134">
        <f t="shared" si="15"/>
        <v>129</v>
      </c>
      <c r="C145" s="77" t="s">
        <v>241</v>
      </c>
      <c r="D145" s="77" t="s">
        <v>400</v>
      </c>
      <c r="E145" s="129">
        <f t="shared" si="11"/>
        <v>7581577</v>
      </c>
      <c r="F145" s="44">
        <v>5331233.07</v>
      </c>
      <c r="G145" s="44"/>
      <c r="H145" s="44"/>
      <c r="I145" s="44">
        <v>2162679.08</v>
      </c>
      <c r="J145" s="44">
        <v>0</v>
      </c>
      <c r="K145" s="44"/>
      <c r="L145" s="44"/>
      <c r="M145" s="44">
        <v>0</v>
      </c>
      <c r="N145" s="44"/>
      <c r="O145" s="44">
        <v>0</v>
      </c>
      <c r="P145" s="44"/>
      <c r="Q145" s="81"/>
      <c r="R145" s="44"/>
      <c r="S145" s="44"/>
      <c r="T145" s="136">
        <v>87664.849999999991</v>
      </c>
      <c r="U145" s="24">
        <f>COUNTIF(F145:Q145,"&gt;0")</f>
        <v>2</v>
      </c>
      <c r="V145" s="1" t="s">
        <v>711</v>
      </c>
    </row>
    <row r="146" spans="1:22" x14ac:dyDescent="0.25">
      <c r="A146" s="135">
        <f t="shared" ref="A146:B161" si="20">+A145+1</f>
        <v>130</v>
      </c>
      <c r="B146" s="134">
        <f t="shared" si="20"/>
        <v>130</v>
      </c>
      <c r="C146" s="77" t="s">
        <v>241</v>
      </c>
      <c r="D146" s="77" t="s">
        <v>242</v>
      </c>
      <c r="E146" s="129">
        <f t="shared" si="11"/>
        <v>13485796.644782159</v>
      </c>
      <c r="F146" s="44">
        <v>0</v>
      </c>
      <c r="G146" s="44">
        <v>0</v>
      </c>
      <c r="H146" s="44"/>
      <c r="I146" s="44">
        <v>0</v>
      </c>
      <c r="J146" s="44">
        <v>0</v>
      </c>
      <c r="K146" s="44"/>
      <c r="L146" s="44"/>
      <c r="M146" s="44">
        <v>0</v>
      </c>
      <c r="N146" s="44">
        <v>0</v>
      </c>
      <c r="O146" s="44">
        <v>0</v>
      </c>
      <c r="P146" s="44">
        <v>13313168.82</v>
      </c>
      <c r="Q146" s="44">
        <v>0</v>
      </c>
      <c r="R146" s="44"/>
      <c r="S146" s="68"/>
      <c r="T146" s="136">
        <v>172627.82478215999</v>
      </c>
      <c r="U146" s="24">
        <f t="shared" si="10"/>
        <v>1</v>
      </c>
    </row>
    <row r="147" spans="1:22" x14ac:dyDescent="0.25">
      <c r="A147" s="135">
        <f t="shared" si="20"/>
        <v>131</v>
      </c>
      <c r="B147" s="134">
        <f t="shared" si="20"/>
        <v>131</v>
      </c>
      <c r="C147" s="77" t="s">
        <v>47</v>
      </c>
      <c r="D147" s="77" t="s">
        <v>48</v>
      </c>
      <c r="E147" s="129">
        <f t="shared" si="11"/>
        <v>275546.21000000002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/>
      <c r="L147" s="44"/>
      <c r="M147" s="44">
        <v>0</v>
      </c>
      <c r="N147" s="44">
        <v>0</v>
      </c>
      <c r="O147" s="44">
        <v>0</v>
      </c>
      <c r="P147" s="44">
        <v>0</v>
      </c>
      <c r="Q147" s="44">
        <v>275546.21000000002</v>
      </c>
      <c r="R147" s="44"/>
      <c r="S147" s="68"/>
      <c r="T147" s="136"/>
      <c r="U147" s="24">
        <f t="shared" si="10"/>
        <v>1</v>
      </c>
    </row>
    <row r="148" spans="1:22" x14ac:dyDescent="0.25">
      <c r="A148" s="135">
        <f t="shared" si="20"/>
        <v>132</v>
      </c>
      <c r="B148" s="134">
        <f t="shared" si="20"/>
        <v>132</v>
      </c>
      <c r="C148" s="77" t="s">
        <v>47</v>
      </c>
      <c r="D148" s="77" t="s">
        <v>49</v>
      </c>
      <c r="E148" s="129">
        <f t="shared" si="11"/>
        <v>2485206.7500000005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/>
      <c r="L148" s="44"/>
      <c r="M148" s="44">
        <v>0</v>
      </c>
      <c r="N148" s="44">
        <v>1968122.3400000003</v>
      </c>
      <c r="O148" s="44">
        <v>0</v>
      </c>
      <c r="P148" s="44">
        <v>0</v>
      </c>
      <c r="Q148" s="44">
        <v>517084.41000000003</v>
      </c>
      <c r="R148" s="44"/>
      <c r="S148" s="68"/>
      <c r="T148" s="136"/>
      <c r="U148" s="24">
        <f t="shared" si="10"/>
        <v>2</v>
      </c>
    </row>
    <row r="149" spans="1:22" x14ac:dyDescent="0.25">
      <c r="A149" s="135">
        <f t="shared" si="20"/>
        <v>133</v>
      </c>
      <c r="B149" s="134">
        <f t="shared" si="20"/>
        <v>133</v>
      </c>
      <c r="C149" s="77" t="s">
        <v>47</v>
      </c>
      <c r="D149" s="77" t="s">
        <v>404</v>
      </c>
      <c r="E149" s="129">
        <f t="shared" si="11"/>
        <v>1052989.615364</v>
      </c>
      <c r="F149" s="44"/>
      <c r="G149" s="44">
        <v>624846.18000000005</v>
      </c>
      <c r="H149" s="44"/>
      <c r="I149" s="44">
        <v>317481.74</v>
      </c>
      <c r="J149" s="44">
        <v>0</v>
      </c>
      <c r="K149" s="44"/>
      <c r="L149" s="44"/>
      <c r="M149" s="44">
        <v>0</v>
      </c>
      <c r="N149" s="44"/>
      <c r="O149" s="44">
        <v>0</v>
      </c>
      <c r="P149" s="44"/>
      <c r="Q149" s="44"/>
      <c r="R149" s="44"/>
      <c r="S149" s="68"/>
      <c r="T149" s="136">
        <v>110661.69536400001</v>
      </c>
      <c r="U149" s="24">
        <f t="shared" si="10"/>
        <v>2</v>
      </c>
      <c r="V149" s="1" t="s">
        <v>711</v>
      </c>
    </row>
    <row r="150" spans="1:22" x14ac:dyDescent="0.25">
      <c r="A150" s="135">
        <f t="shared" si="20"/>
        <v>134</v>
      </c>
      <c r="B150" s="134">
        <f t="shared" si="20"/>
        <v>134</v>
      </c>
      <c r="C150" s="77" t="s">
        <v>47</v>
      </c>
      <c r="D150" s="77" t="s">
        <v>410</v>
      </c>
      <c r="E150" s="129">
        <f t="shared" si="11"/>
        <v>1332134.6908183601</v>
      </c>
      <c r="F150" s="44"/>
      <c r="G150" s="44">
        <v>691727.99</v>
      </c>
      <c r="H150" s="44"/>
      <c r="I150" s="44">
        <v>374090.08</v>
      </c>
      <c r="J150" s="44">
        <v>0</v>
      </c>
      <c r="K150" s="44"/>
      <c r="L150" s="44"/>
      <c r="M150" s="44">
        <v>0</v>
      </c>
      <c r="N150" s="44"/>
      <c r="O150" s="44"/>
      <c r="P150" s="44"/>
      <c r="Q150" s="81"/>
      <c r="R150" s="44"/>
      <c r="S150" s="68"/>
      <c r="T150" s="136">
        <v>266316.62081835995</v>
      </c>
      <c r="U150" s="24">
        <f t="shared" si="10"/>
        <v>2</v>
      </c>
      <c r="V150" s="1" t="s">
        <v>711</v>
      </c>
    </row>
    <row r="151" spans="1:22" x14ac:dyDescent="0.25">
      <c r="A151" s="135">
        <f t="shared" si="20"/>
        <v>135</v>
      </c>
      <c r="B151" s="134">
        <f t="shared" si="20"/>
        <v>135</v>
      </c>
      <c r="C151" s="77" t="s">
        <v>47</v>
      </c>
      <c r="D151" s="77" t="s">
        <v>411</v>
      </c>
      <c r="E151" s="129">
        <f t="shared" si="11"/>
        <v>1168589.4982480002</v>
      </c>
      <c r="F151" s="44"/>
      <c r="G151" s="44">
        <v>552436.80000000005</v>
      </c>
      <c r="H151" s="44"/>
      <c r="I151" s="44">
        <v>297229.53999999998</v>
      </c>
      <c r="J151" s="44">
        <v>0</v>
      </c>
      <c r="K151" s="44"/>
      <c r="L151" s="44"/>
      <c r="M151" s="44">
        <v>0</v>
      </c>
      <c r="N151" s="44"/>
      <c r="O151" s="44">
        <v>0</v>
      </c>
      <c r="P151" s="44"/>
      <c r="Q151" s="81"/>
      <c r="R151" s="44"/>
      <c r="S151" s="68"/>
      <c r="T151" s="136">
        <v>318923.15824800002</v>
      </c>
      <c r="U151" s="24">
        <f t="shared" si="10"/>
        <v>2</v>
      </c>
      <c r="V151" s="1" t="s">
        <v>711</v>
      </c>
    </row>
    <row r="152" spans="1:22" x14ac:dyDescent="0.25">
      <c r="A152" s="135">
        <f t="shared" si="20"/>
        <v>136</v>
      </c>
      <c r="B152" s="134">
        <f t="shared" si="20"/>
        <v>136</v>
      </c>
      <c r="C152" s="77" t="s">
        <v>50</v>
      </c>
      <c r="D152" s="77" t="s">
        <v>243</v>
      </c>
      <c r="E152" s="129">
        <f t="shared" si="11"/>
        <v>2468575.5752603062</v>
      </c>
      <c r="F152" s="44">
        <v>2316165.3841716261</v>
      </c>
      <c r="G152" s="44">
        <v>0</v>
      </c>
      <c r="H152" s="44"/>
      <c r="I152" s="44">
        <v>0</v>
      </c>
      <c r="J152" s="44">
        <v>0</v>
      </c>
      <c r="K152" s="44"/>
      <c r="L152" s="44"/>
      <c r="M152" s="44">
        <v>0</v>
      </c>
      <c r="N152" s="44">
        <v>0</v>
      </c>
      <c r="O152" s="44">
        <v>0</v>
      </c>
      <c r="P152" s="44"/>
      <c r="Q152" s="44">
        <v>0</v>
      </c>
      <c r="R152" s="44"/>
      <c r="S152" s="68"/>
      <c r="T152" s="136">
        <v>152410.19108868</v>
      </c>
      <c r="U152" s="24">
        <f t="shared" si="10"/>
        <v>1</v>
      </c>
    </row>
    <row r="153" spans="1:22" x14ac:dyDescent="0.25">
      <c r="A153" s="135">
        <f t="shared" si="20"/>
        <v>137</v>
      </c>
      <c r="B153" s="134">
        <f t="shared" si="20"/>
        <v>137</v>
      </c>
      <c r="C153" s="77" t="s">
        <v>50</v>
      </c>
      <c r="D153" s="77" t="s">
        <v>414</v>
      </c>
      <c r="E153" s="129">
        <f t="shared" si="11"/>
        <v>49829681.060927205</v>
      </c>
      <c r="F153" s="44"/>
      <c r="G153" s="44">
        <v>8054732.7000000002</v>
      </c>
      <c r="H153" s="44">
        <v>3326392.27</v>
      </c>
      <c r="I153" s="44"/>
      <c r="J153" s="44"/>
      <c r="K153" s="44"/>
      <c r="L153" s="44"/>
      <c r="M153" s="44"/>
      <c r="N153" s="44">
        <v>6383560.5599999996</v>
      </c>
      <c r="O153" s="44">
        <v>0</v>
      </c>
      <c r="P153" s="44">
        <v>14384597.800000001</v>
      </c>
      <c r="Q153" s="44">
        <v>14838033.07</v>
      </c>
      <c r="R153" s="44"/>
      <c r="S153" s="68"/>
      <c r="T153" s="136">
        <v>2842364.6609271998</v>
      </c>
      <c r="U153" s="24">
        <f t="shared" ref="U153" si="21">COUNTIF(F153:Q153,"&gt;0")</f>
        <v>5</v>
      </c>
    </row>
    <row r="154" spans="1:22" x14ac:dyDescent="0.25">
      <c r="A154" s="135">
        <f t="shared" si="20"/>
        <v>138</v>
      </c>
      <c r="B154" s="134">
        <f t="shared" si="20"/>
        <v>138</v>
      </c>
      <c r="C154" s="77"/>
      <c r="D154" s="77" t="s">
        <v>557</v>
      </c>
      <c r="E154" s="129">
        <f t="shared" si="11"/>
        <v>3072511.9939301223</v>
      </c>
      <c r="F154" s="44"/>
      <c r="G154" s="44"/>
      <c r="H154" s="44"/>
      <c r="I154" s="44"/>
      <c r="J154" s="44"/>
      <c r="K154" s="44"/>
      <c r="L154" s="44"/>
      <c r="M154" s="44">
        <v>2869496.64</v>
      </c>
      <c r="N154" s="44"/>
      <c r="O154" s="44"/>
      <c r="P154" s="44"/>
      <c r="Q154" s="44"/>
      <c r="R154" s="44">
        <v>104919.11907839999</v>
      </c>
      <c r="S154" s="68">
        <v>24000</v>
      </c>
      <c r="T154" s="136">
        <v>74096.234851722242</v>
      </c>
      <c r="U154" s="24">
        <f t="shared" ref="U154:U214" si="22">COUNTIF(F154:Q154,"&gt;0")</f>
        <v>1</v>
      </c>
    </row>
    <row r="155" spans="1:22" x14ac:dyDescent="0.25">
      <c r="A155" s="135">
        <f t="shared" si="20"/>
        <v>139</v>
      </c>
      <c r="B155" s="134">
        <f t="shared" si="20"/>
        <v>139</v>
      </c>
      <c r="C155" s="77"/>
      <c r="D155" s="77" t="s">
        <v>558</v>
      </c>
      <c r="E155" s="129">
        <f t="shared" ref="E155:E204" si="23">SUBTOTAL(9,F155:T155)</f>
        <v>3072474.8799129105</v>
      </c>
      <c r="F155" s="44"/>
      <c r="G155" s="44"/>
      <c r="H155" s="44"/>
      <c r="I155" s="44"/>
      <c r="J155" s="44"/>
      <c r="K155" s="44"/>
      <c r="L155" s="44"/>
      <c r="M155" s="44">
        <v>2869496.64</v>
      </c>
      <c r="N155" s="44"/>
      <c r="O155" s="44"/>
      <c r="P155" s="44"/>
      <c r="Q155" s="44"/>
      <c r="R155" s="44">
        <v>104881.19345280001</v>
      </c>
      <c r="S155" s="68">
        <v>24000</v>
      </c>
      <c r="T155" s="136">
        <v>74097.046460110083</v>
      </c>
      <c r="U155" s="24">
        <f t="shared" si="22"/>
        <v>1</v>
      </c>
    </row>
    <row r="156" spans="1:22" x14ac:dyDescent="0.25">
      <c r="A156" s="135">
        <f t="shared" si="20"/>
        <v>140</v>
      </c>
      <c r="B156" s="134">
        <f t="shared" si="20"/>
        <v>140</v>
      </c>
      <c r="C156" s="77"/>
      <c r="D156" s="77" t="s">
        <v>559</v>
      </c>
      <c r="E156" s="129">
        <f t="shared" si="23"/>
        <v>3072835.2361071859</v>
      </c>
      <c r="F156" s="44"/>
      <c r="G156" s="44"/>
      <c r="H156" s="44"/>
      <c r="I156" s="44"/>
      <c r="J156" s="44"/>
      <c r="K156" s="44"/>
      <c r="L156" s="44"/>
      <c r="M156" s="44">
        <v>2869496.64</v>
      </c>
      <c r="N156" s="44"/>
      <c r="O156" s="44"/>
      <c r="P156" s="44"/>
      <c r="Q156" s="44"/>
      <c r="R156" s="44">
        <v>105249.4299072</v>
      </c>
      <c r="S156" s="68">
        <v>24000</v>
      </c>
      <c r="T156" s="136">
        <v>74089.166199985935</v>
      </c>
      <c r="U156" s="24">
        <f t="shared" si="22"/>
        <v>1</v>
      </c>
    </row>
    <row r="157" spans="1:22" x14ac:dyDescent="0.25">
      <c r="A157" s="135">
        <f t="shared" si="20"/>
        <v>141</v>
      </c>
      <c r="B157" s="134">
        <f t="shared" si="20"/>
        <v>141</v>
      </c>
      <c r="C157" s="77" t="s">
        <v>50</v>
      </c>
      <c r="D157" s="77" t="s">
        <v>415</v>
      </c>
      <c r="E157" s="129">
        <f>SUBTOTAL(9,F157:T157)</f>
        <v>6284189.3513380401</v>
      </c>
      <c r="F157" s="44">
        <v>3826027.56</v>
      </c>
      <c r="G157" s="44">
        <v>0</v>
      </c>
      <c r="H157" s="44">
        <v>0</v>
      </c>
      <c r="I157" s="44">
        <v>2180636.06</v>
      </c>
      <c r="J157" s="44">
        <v>0</v>
      </c>
      <c r="K157" s="44"/>
      <c r="L157" s="44"/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/>
      <c r="S157" s="68"/>
      <c r="T157" s="136">
        <v>277525.73133804003</v>
      </c>
      <c r="U157" s="24">
        <f>COUNTIF(F157:Q157,"&gt;0")</f>
        <v>2</v>
      </c>
      <c r="V157" s="1" t="s">
        <v>714</v>
      </c>
    </row>
    <row r="158" spans="1:22" x14ac:dyDescent="0.25">
      <c r="A158" s="135">
        <f t="shared" si="20"/>
        <v>142</v>
      </c>
      <c r="B158" s="134">
        <f t="shared" si="20"/>
        <v>142</v>
      </c>
      <c r="C158" s="77" t="s">
        <v>50</v>
      </c>
      <c r="D158" s="77" t="s">
        <v>97</v>
      </c>
      <c r="E158" s="129">
        <f t="shared" si="23"/>
        <v>863296.86591239995</v>
      </c>
      <c r="F158" s="44">
        <v>0</v>
      </c>
      <c r="G158" s="44">
        <v>0</v>
      </c>
      <c r="H158" s="44">
        <v>782900.97</v>
      </c>
      <c r="I158" s="44"/>
      <c r="J158" s="44">
        <v>0</v>
      </c>
      <c r="K158" s="44"/>
      <c r="L158" s="44"/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/>
      <c r="S158" s="68"/>
      <c r="T158" s="136">
        <v>80395.895912399996</v>
      </c>
      <c r="U158" s="24">
        <f t="shared" si="22"/>
        <v>1</v>
      </c>
    </row>
    <row r="159" spans="1:22" x14ac:dyDescent="0.25">
      <c r="A159" s="135">
        <f t="shared" si="20"/>
        <v>143</v>
      </c>
      <c r="B159" s="134">
        <f t="shared" si="20"/>
        <v>143</v>
      </c>
      <c r="C159" s="77" t="s">
        <v>50</v>
      </c>
      <c r="D159" s="77" t="s">
        <v>417</v>
      </c>
      <c r="E159" s="129">
        <f t="shared" si="23"/>
        <v>11321051.292631399</v>
      </c>
      <c r="F159" s="44">
        <v>3735913.84</v>
      </c>
      <c r="G159" s="44">
        <v>627030.85</v>
      </c>
      <c r="H159" s="44">
        <v>1443652.49</v>
      </c>
      <c r="I159" s="44">
        <v>1126366.8799999999</v>
      </c>
      <c r="J159" s="44">
        <v>0</v>
      </c>
      <c r="K159" s="44"/>
      <c r="L159" s="44"/>
      <c r="M159" s="44">
        <v>0</v>
      </c>
      <c r="N159" s="44">
        <v>0</v>
      </c>
      <c r="O159" s="44">
        <v>0</v>
      </c>
      <c r="P159" s="44">
        <v>0</v>
      </c>
      <c r="Q159" s="44">
        <v>4237247.8099999996</v>
      </c>
      <c r="R159" s="44"/>
      <c r="S159" s="68"/>
      <c r="T159" s="136">
        <v>150839.4226314</v>
      </c>
      <c r="U159" s="24">
        <f t="shared" si="22"/>
        <v>5</v>
      </c>
      <c r="V159" s="1" t="s">
        <v>714</v>
      </c>
    </row>
    <row r="160" spans="1:22" x14ac:dyDescent="0.25">
      <c r="A160" s="135">
        <f t="shared" si="20"/>
        <v>144</v>
      </c>
      <c r="B160" s="134">
        <f t="shared" si="20"/>
        <v>144</v>
      </c>
      <c r="C160" s="77" t="s">
        <v>50</v>
      </c>
      <c r="D160" s="77" t="s">
        <v>98</v>
      </c>
      <c r="E160" s="129">
        <f t="shared" si="23"/>
        <v>498098.01</v>
      </c>
      <c r="F160" s="44">
        <v>0</v>
      </c>
      <c r="G160" s="44"/>
      <c r="H160" s="44">
        <v>498098.01</v>
      </c>
      <c r="I160" s="44">
        <v>0</v>
      </c>
      <c r="J160" s="44">
        <v>0</v>
      </c>
      <c r="K160" s="44"/>
      <c r="L160" s="44"/>
      <c r="M160" s="44">
        <v>0</v>
      </c>
      <c r="N160" s="44"/>
      <c r="O160" s="44">
        <v>0</v>
      </c>
      <c r="P160" s="44"/>
      <c r="Q160" s="44"/>
      <c r="R160" s="44"/>
      <c r="S160" s="68"/>
      <c r="T160" s="136"/>
      <c r="U160" s="24">
        <f t="shared" si="22"/>
        <v>1</v>
      </c>
    </row>
    <row r="161" spans="1:22" x14ac:dyDescent="0.25">
      <c r="A161" s="135">
        <f t="shared" si="20"/>
        <v>145</v>
      </c>
      <c r="B161" s="134">
        <f t="shared" si="20"/>
        <v>145</v>
      </c>
      <c r="C161" s="77" t="s">
        <v>50</v>
      </c>
      <c r="D161" s="77" t="s">
        <v>100</v>
      </c>
      <c r="E161" s="129">
        <f t="shared" si="23"/>
        <v>2689617.46</v>
      </c>
      <c r="F161" s="44">
        <v>0</v>
      </c>
      <c r="G161" s="44">
        <v>0</v>
      </c>
      <c r="H161" s="44">
        <v>2689617.46</v>
      </c>
      <c r="I161" s="44">
        <v>0</v>
      </c>
      <c r="J161" s="44">
        <v>0</v>
      </c>
      <c r="K161" s="44"/>
      <c r="L161" s="44"/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/>
      <c r="S161" s="68"/>
      <c r="T161" s="136"/>
      <c r="U161" s="24">
        <f t="shared" si="22"/>
        <v>1</v>
      </c>
    </row>
    <row r="162" spans="1:22" s="89" customFormat="1" x14ac:dyDescent="0.25">
      <c r="A162" s="135">
        <f t="shared" ref="A162:B162" si="24">+A161+1</f>
        <v>146</v>
      </c>
      <c r="B162" s="134">
        <f t="shared" si="24"/>
        <v>146</v>
      </c>
      <c r="C162" s="77" t="s">
        <v>50</v>
      </c>
      <c r="D162" s="77" t="s">
        <v>422</v>
      </c>
      <c r="E162" s="129">
        <f t="shared" si="23"/>
        <v>25727773.27</v>
      </c>
      <c r="F162" s="44"/>
      <c r="G162" s="44">
        <v>3182426.63</v>
      </c>
      <c r="H162" s="44"/>
      <c r="I162" s="44"/>
      <c r="J162" s="44">
        <v>0</v>
      </c>
      <c r="K162" s="44"/>
      <c r="L162" s="44"/>
      <c r="M162" s="44">
        <v>0</v>
      </c>
      <c r="N162" s="44">
        <v>0</v>
      </c>
      <c r="O162" s="44">
        <v>0</v>
      </c>
      <c r="P162" s="44">
        <v>0</v>
      </c>
      <c r="Q162" s="44">
        <v>22545346.640000001</v>
      </c>
      <c r="R162" s="44"/>
      <c r="S162" s="68"/>
      <c r="T162" s="136"/>
      <c r="U162" s="92">
        <f t="shared" si="22"/>
        <v>2</v>
      </c>
    </row>
    <row r="163" spans="1:22" x14ac:dyDescent="0.25">
      <c r="A163" s="135">
        <f t="shared" ref="A163:B163" si="25">+A162+1</f>
        <v>147</v>
      </c>
      <c r="B163" s="134">
        <f t="shared" si="25"/>
        <v>147</v>
      </c>
      <c r="C163" s="77" t="s">
        <v>50</v>
      </c>
      <c r="D163" s="77" t="s">
        <v>248</v>
      </c>
      <c r="E163" s="129">
        <f t="shared" si="23"/>
        <v>9962928.3052925188</v>
      </c>
      <c r="F163" s="44"/>
      <c r="G163" s="44">
        <v>7323917.46</v>
      </c>
      <c r="H163" s="44"/>
      <c r="I163" s="44">
        <v>2315022.9</v>
      </c>
      <c r="J163" s="44">
        <v>0</v>
      </c>
      <c r="K163" s="44"/>
      <c r="L163" s="44"/>
      <c r="M163" s="44">
        <v>0</v>
      </c>
      <c r="N163" s="44">
        <v>0</v>
      </c>
      <c r="O163" s="44">
        <v>0</v>
      </c>
      <c r="P163" s="44">
        <v>0</v>
      </c>
      <c r="Q163" s="44"/>
      <c r="R163" s="44"/>
      <c r="S163" s="68"/>
      <c r="T163" s="136">
        <v>323987.94529252005</v>
      </c>
      <c r="U163" s="24">
        <f t="shared" si="22"/>
        <v>2</v>
      </c>
    </row>
    <row r="164" spans="1:22" x14ac:dyDescent="0.25">
      <c r="A164" s="135">
        <f t="shared" ref="A164:B164" si="26">+A163+1</f>
        <v>148</v>
      </c>
      <c r="B164" s="134">
        <f t="shared" si="26"/>
        <v>148</v>
      </c>
      <c r="C164" s="77" t="s">
        <v>50</v>
      </c>
      <c r="D164" s="77" t="s">
        <v>250</v>
      </c>
      <c r="E164" s="129">
        <f t="shared" si="23"/>
        <v>53790180.38000001</v>
      </c>
      <c r="F164" s="44">
        <v>5141989.9000000004</v>
      </c>
      <c r="G164" s="44"/>
      <c r="H164" s="44">
        <v>2714177.72</v>
      </c>
      <c r="I164" s="44"/>
      <c r="J164" s="44">
        <v>0</v>
      </c>
      <c r="K164" s="44"/>
      <c r="L164" s="44"/>
      <c r="M164" s="44">
        <v>0</v>
      </c>
      <c r="N164" s="44">
        <v>0</v>
      </c>
      <c r="O164" s="44">
        <v>0</v>
      </c>
      <c r="P164" s="44">
        <f>37030869.74+5977035.1</f>
        <v>43007904.840000004</v>
      </c>
      <c r="Q164" s="44"/>
      <c r="R164" s="44"/>
      <c r="S164" s="68"/>
      <c r="T164" s="136">
        <v>2926107.92</v>
      </c>
      <c r="U164" s="24">
        <f t="shared" si="22"/>
        <v>3</v>
      </c>
      <c r="V164" s="1" t="s">
        <v>711</v>
      </c>
    </row>
    <row r="165" spans="1:22" x14ac:dyDescent="0.25">
      <c r="A165" s="135">
        <f t="shared" ref="A165:B165" si="27">+A164+1</f>
        <v>149</v>
      </c>
      <c r="B165" s="134">
        <f t="shared" si="27"/>
        <v>149</v>
      </c>
      <c r="C165" s="77" t="s">
        <v>50</v>
      </c>
      <c r="D165" s="77" t="s">
        <v>425</v>
      </c>
      <c r="E165" s="129">
        <f t="shared" si="23"/>
        <v>17169391.084560137</v>
      </c>
      <c r="F165" s="44">
        <v>3172690.78</v>
      </c>
      <c r="G165" s="44">
        <v>0</v>
      </c>
      <c r="H165" s="44">
        <v>0</v>
      </c>
      <c r="I165" s="44"/>
      <c r="J165" s="44">
        <v>0</v>
      </c>
      <c r="K165" s="44"/>
      <c r="L165" s="44"/>
      <c r="M165" s="44">
        <v>0</v>
      </c>
      <c r="N165" s="44">
        <v>5090700.49</v>
      </c>
      <c r="O165" s="44">
        <v>0</v>
      </c>
      <c r="P165" s="44">
        <v>7382703.5599999996</v>
      </c>
      <c r="Q165" s="44"/>
      <c r="R165" s="44"/>
      <c r="S165" s="68"/>
      <c r="T165" s="136">
        <v>1523296.25456014</v>
      </c>
      <c r="U165" s="24">
        <f t="shared" si="22"/>
        <v>3</v>
      </c>
      <c r="V165" s="1" t="s">
        <v>711</v>
      </c>
    </row>
    <row r="166" spans="1:22" x14ac:dyDescent="0.25">
      <c r="A166" s="135">
        <f t="shared" ref="A166:B166" si="28">+A165+1</f>
        <v>150</v>
      </c>
      <c r="B166" s="134">
        <f t="shared" si="28"/>
        <v>150</v>
      </c>
      <c r="C166" s="77" t="s">
        <v>50</v>
      </c>
      <c r="D166" s="77" t="s">
        <v>252</v>
      </c>
      <c r="E166" s="129">
        <f t="shared" si="23"/>
        <v>1160745.41417932</v>
      </c>
      <c r="F166" s="44"/>
      <c r="G166" s="44"/>
      <c r="H166" s="44"/>
      <c r="I166" s="44"/>
      <c r="J166" s="44"/>
      <c r="K166" s="44"/>
      <c r="L166" s="44"/>
      <c r="M166" s="44">
        <v>0</v>
      </c>
      <c r="N166" s="44">
        <v>0</v>
      </c>
      <c r="O166" s="44">
        <v>0</v>
      </c>
      <c r="P166" s="44"/>
      <c r="Q166" s="44">
        <v>585673.72</v>
      </c>
      <c r="R166" s="44"/>
      <c r="S166" s="68"/>
      <c r="T166" s="136">
        <v>575071.69417932001</v>
      </c>
      <c r="U166" s="24">
        <f t="shared" si="22"/>
        <v>1</v>
      </c>
      <c r="V166" s="1" t="s">
        <v>711</v>
      </c>
    </row>
    <row r="167" spans="1:22" x14ac:dyDescent="0.25">
      <c r="A167" s="135">
        <f t="shared" ref="A167:B167" si="29">+A166+1</f>
        <v>151</v>
      </c>
      <c r="B167" s="134">
        <f t="shared" si="29"/>
        <v>151</v>
      </c>
      <c r="C167" s="77" t="s">
        <v>50</v>
      </c>
      <c r="D167" s="77" t="s">
        <v>426</v>
      </c>
      <c r="E167" s="129">
        <f t="shared" si="23"/>
        <v>8066054.8088218002</v>
      </c>
      <c r="F167" s="44"/>
      <c r="G167" s="44"/>
      <c r="H167" s="44">
        <v>3648621.62</v>
      </c>
      <c r="I167" s="44">
        <v>3268542.62</v>
      </c>
      <c r="J167" s="44">
        <v>0</v>
      </c>
      <c r="K167" s="44"/>
      <c r="L167" s="44"/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630230.47770000005</v>
      </c>
      <c r="S167" s="68">
        <v>85014.565300000002</v>
      </c>
      <c r="T167" s="136">
        <v>433645.52582179999</v>
      </c>
      <c r="U167" s="24">
        <f t="shared" si="22"/>
        <v>2</v>
      </c>
      <c r="V167" s="1" t="s">
        <v>714</v>
      </c>
    </row>
    <row r="168" spans="1:22" x14ac:dyDescent="0.25">
      <c r="A168" s="135">
        <f t="shared" ref="A168:B168" si="30">+A167+1</f>
        <v>152</v>
      </c>
      <c r="B168" s="134">
        <f t="shared" si="30"/>
        <v>152</v>
      </c>
      <c r="C168" s="77" t="s">
        <v>103</v>
      </c>
      <c r="D168" s="77" t="s">
        <v>428</v>
      </c>
      <c r="E168" s="129">
        <f t="shared" si="23"/>
        <v>10316811.362920118</v>
      </c>
      <c r="F168" s="44"/>
      <c r="G168" s="44"/>
      <c r="H168" s="44">
        <v>0</v>
      </c>
      <c r="I168" s="44">
        <v>0</v>
      </c>
      <c r="J168" s="44">
        <v>0</v>
      </c>
      <c r="K168" s="44"/>
      <c r="L168" s="44"/>
      <c r="M168" s="44">
        <v>0</v>
      </c>
      <c r="N168" s="44">
        <v>9398785.4499999993</v>
      </c>
      <c r="O168" s="44">
        <v>0</v>
      </c>
      <c r="P168" s="44">
        <v>0</v>
      </c>
      <c r="Q168" s="44">
        <v>0</v>
      </c>
      <c r="R168" s="44"/>
      <c r="S168" s="68"/>
      <c r="T168" s="136">
        <v>918025.91292012006</v>
      </c>
      <c r="U168" s="24">
        <f t="shared" si="22"/>
        <v>1</v>
      </c>
      <c r="V168" s="1" t="s">
        <v>714</v>
      </c>
    </row>
    <row r="169" spans="1:22" x14ac:dyDescent="0.25">
      <c r="A169" s="135">
        <f t="shared" ref="A169:B169" si="31">+A168+1</f>
        <v>153</v>
      </c>
      <c r="B169" s="134">
        <f t="shared" si="31"/>
        <v>153</v>
      </c>
      <c r="C169" s="77" t="s">
        <v>103</v>
      </c>
      <c r="D169" s="77" t="s">
        <v>429</v>
      </c>
      <c r="E169" s="129">
        <f t="shared" si="23"/>
        <v>10050452.1841392</v>
      </c>
      <c r="F169" s="44"/>
      <c r="G169" s="44"/>
      <c r="H169" s="44"/>
      <c r="I169" s="44">
        <v>0</v>
      </c>
      <c r="J169" s="44">
        <v>0</v>
      </c>
      <c r="K169" s="44"/>
      <c r="L169" s="44"/>
      <c r="M169" s="44">
        <v>0</v>
      </c>
      <c r="N169" s="44">
        <v>9546866.3969999999</v>
      </c>
      <c r="O169" s="44">
        <v>0</v>
      </c>
      <c r="P169" s="44">
        <v>0</v>
      </c>
      <c r="Q169" s="44">
        <v>0</v>
      </c>
      <c r="R169" s="44"/>
      <c r="S169" s="68"/>
      <c r="T169" s="136">
        <v>503585.78713919997</v>
      </c>
      <c r="U169" s="24">
        <f t="shared" si="22"/>
        <v>1</v>
      </c>
    </row>
    <row r="170" spans="1:22" x14ac:dyDescent="0.25">
      <c r="A170" s="135">
        <f t="shared" ref="A170:B170" si="32">+A169+1</f>
        <v>154</v>
      </c>
      <c r="B170" s="134">
        <f t="shared" si="32"/>
        <v>154</v>
      </c>
      <c r="C170" s="77" t="s">
        <v>103</v>
      </c>
      <c r="D170" s="77" t="s">
        <v>434</v>
      </c>
      <c r="E170" s="129">
        <f t="shared" si="23"/>
        <v>17029022.68593052</v>
      </c>
      <c r="F170" s="44"/>
      <c r="G170" s="44"/>
      <c r="H170" s="44">
        <v>0</v>
      </c>
      <c r="I170" s="44">
        <v>0</v>
      </c>
      <c r="J170" s="44">
        <v>0</v>
      </c>
      <c r="K170" s="44"/>
      <c r="L170" s="44"/>
      <c r="M170" s="44">
        <v>0</v>
      </c>
      <c r="N170" s="44">
        <v>16106664.949999999</v>
      </c>
      <c r="O170" s="44">
        <v>0</v>
      </c>
      <c r="P170" s="44">
        <v>0</v>
      </c>
      <c r="Q170" s="44">
        <v>0</v>
      </c>
      <c r="R170" s="44"/>
      <c r="S170" s="68"/>
      <c r="T170" s="136">
        <v>922357.73593051999</v>
      </c>
      <c r="U170" s="24">
        <f t="shared" si="22"/>
        <v>1</v>
      </c>
      <c r="V170" s="1" t="s">
        <v>709</v>
      </c>
    </row>
    <row r="171" spans="1:22" x14ac:dyDescent="0.25">
      <c r="A171" s="135">
        <f t="shared" ref="A171:B171" si="33">+A170+1</f>
        <v>155</v>
      </c>
      <c r="B171" s="134">
        <f t="shared" si="33"/>
        <v>155</v>
      </c>
      <c r="C171" s="77" t="s">
        <v>520</v>
      </c>
      <c r="D171" s="77" t="s">
        <v>521</v>
      </c>
      <c r="E171" s="129">
        <f t="shared" si="23"/>
        <v>650224.41704400012</v>
      </c>
      <c r="F171" s="44">
        <v>0</v>
      </c>
      <c r="G171" s="44">
        <v>0</v>
      </c>
      <c r="H171" s="44">
        <v>0</v>
      </c>
      <c r="I171" s="44">
        <v>0</v>
      </c>
      <c r="J171" s="44">
        <v>579887.30000000005</v>
      </c>
      <c r="K171" s="44"/>
      <c r="L171" s="44"/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58462.29</v>
      </c>
      <c r="S171" s="44"/>
      <c r="T171" s="136">
        <v>11874.827044000001</v>
      </c>
      <c r="U171" s="24">
        <f t="shared" si="22"/>
        <v>1</v>
      </c>
    </row>
    <row r="172" spans="1:22" x14ac:dyDescent="0.25">
      <c r="A172" s="135">
        <f t="shared" ref="A172:B172" si="34">+A171+1</f>
        <v>156</v>
      </c>
      <c r="B172" s="134">
        <f t="shared" si="34"/>
        <v>156</v>
      </c>
      <c r="C172" s="77" t="s">
        <v>253</v>
      </c>
      <c r="D172" s="77" t="s">
        <v>522</v>
      </c>
      <c r="E172" s="129">
        <f t="shared" si="23"/>
        <v>3842006.1097638123</v>
      </c>
      <c r="F172" s="44"/>
      <c r="G172" s="44"/>
      <c r="H172" s="44"/>
      <c r="I172" s="44"/>
      <c r="J172" s="44"/>
      <c r="K172" s="44"/>
      <c r="L172" s="44"/>
      <c r="M172" s="44"/>
      <c r="N172" s="44">
        <v>1229943.21</v>
      </c>
      <c r="O172" s="44"/>
      <c r="P172" s="44"/>
      <c r="Q172" s="44">
        <v>2522771.4</v>
      </c>
      <c r="R172" s="44"/>
      <c r="S172" s="68"/>
      <c r="T172" s="136">
        <v>89291.499763812477</v>
      </c>
      <c r="U172" s="24">
        <f t="shared" si="22"/>
        <v>2</v>
      </c>
    </row>
    <row r="173" spans="1:22" x14ac:dyDescent="0.25">
      <c r="A173" s="135">
        <f t="shared" ref="A173:B173" si="35">+A172+1</f>
        <v>157</v>
      </c>
      <c r="B173" s="134">
        <f t="shared" si="35"/>
        <v>157</v>
      </c>
      <c r="C173" s="77" t="s">
        <v>253</v>
      </c>
      <c r="D173" s="77" t="s">
        <v>437</v>
      </c>
      <c r="E173" s="129">
        <f t="shared" si="23"/>
        <v>2326131.7975841798</v>
      </c>
      <c r="F173" s="44">
        <v>0</v>
      </c>
      <c r="G173" s="44">
        <v>0</v>
      </c>
      <c r="H173" s="44"/>
      <c r="I173" s="44"/>
      <c r="J173" s="44"/>
      <c r="K173" s="44"/>
      <c r="L173" s="44"/>
      <c r="M173" s="44"/>
      <c r="N173" s="44">
        <v>2093523.54</v>
      </c>
      <c r="O173" s="44"/>
      <c r="P173" s="44"/>
      <c r="Q173" s="44"/>
      <c r="R173" s="44"/>
      <c r="S173" s="68"/>
      <c r="T173" s="136">
        <v>232608.25758417978</v>
      </c>
      <c r="U173" s="24">
        <f t="shared" si="22"/>
        <v>1</v>
      </c>
    </row>
    <row r="174" spans="1:22" x14ac:dyDescent="0.25">
      <c r="A174" s="135">
        <f t="shared" ref="A174:B174" si="36">+A173+1</f>
        <v>158</v>
      </c>
      <c r="B174" s="134">
        <f t="shared" si="36"/>
        <v>158</v>
      </c>
      <c r="C174" s="77" t="s">
        <v>253</v>
      </c>
      <c r="D174" s="77" t="s">
        <v>436</v>
      </c>
      <c r="E174" s="129">
        <f t="shared" si="23"/>
        <v>1546028.3117803601</v>
      </c>
      <c r="F174" s="44">
        <v>0</v>
      </c>
      <c r="G174" s="44">
        <v>0</v>
      </c>
      <c r="H174" s="44"/>
      <c r="I174" s="44"/>
      <c r="J174" s="44"/>
      <c r="K174" s="44"/>
      <c r="L174" s="44"/>
      <c r="M174" s="44"/>
      <c r="N174" s="44"/>
      <c r="O174" s="44"/>
      <c r="P174" s="44">
        <v>0</v>
      </c>
      <c r="Q174" s="44">
        <v>539462.39</v>
      </c>
      <c r="R174" s="44"/>
      <c r="S174" s="68"/>
      <c r="T174" s="136">
        <v>1006565.9217803602</v>
      </c>
      <c r="U174" s="24">
        <f t="shared" si="22"/>
        <v>1</v>
      </c>
      <c r="V174" s="1" t="s">
        <v>711</v>
      </c>
    </row>
    <row r="175" spans="1:22" x14ac:dyDescent="0.25">
      <c r="A175" s="135">
        <f t="shared" ref="A175:B175" si="37">+A174+1</f>
        <v>159</v>
      </c>
      <c r="B175" s="134">
        <f t="shared" si="37"/>
        <v>159</v>
      </c>
      <c r="C175" s="77" t="s">
        <v>259</v>
      </c>
      <c r="D175" s="77" t="s">
        <v>442</v>
      </c>
      <c r="E175" s="129">
        <f t="shared" si="23"/>
        <v>15304875.67834428</v>
      </c>
      <c r="F175" s="44">
        <v>3480915.8199999994</v>
      </c>
      <c r="G175" s="44">
        <v>959623.11</v>
      </c>
      <c r="H175" s="44">
        <v>739091.37</v>
      </c>
      <c r="I175" s="44"/>
      <c r="J175" s="44">
        <v>0</v>
      </c>
      <c r="K175" s="44"/>
      <c r="L175" s="44"/>
      <c r="M175" s="44">
        <v>0</v>
      </c>
      <c r="N175" s="44">
        <v>5126751.9400000004</v>
      </c>
      <c r="O175" s="44">
        <v>0</v>
      </c>
      <c r="P175" s="44"/>
      <c r="Q175" s="44">
        <v>4617339.53</v>
      </c>
      <c r="R175" s="44"/>
      <c r="S175" s="68"/>
      <c r="T175" s="136">
        <v>381153.90834427997</v>
      </c>
      <c r="U175" s="24">
        <f t="shared" si="22"/>
        <v>5</v>
      </c>
    </row>
    <row r="176" spans="1:22" x14ac:dyDescent="0.25">
      <c r="A176" s="135">
        <f t="shared" ref="A176:B176" si="38">+A175+1</f>
        <v>160</v>
      </c>
      <c r="B176" s="134">
        <f t="shared" si="38"/>
        <v>160</v>
      </c>
      <c r="C176" s="77" t="s">
        <v>260</v>
      </c>
      <c r="D176" s="77" t="s">
        <v>261</v>
      </c>
      <c r="E176" s="129">
        <f>SUBTOTAL(9,F176:T176)</f>
        <v>4147111.6458220002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/>
      <c r="L176" s="44"/>
      <c r="M176" s="44">
        <v>0</v>
      </c>
      <c r="N176" s="44">
        <v>0</v>
      </c>
      <c r="O176" s="44">
        <v>0</v>
      </c>
      <c r="P176" s="44">
        <v>0</v>
      </c>
      <c r="Q176" s="44">
        <v>3880712.95</v>
      </c>
      <c r="R176" s="44">
        <v>63874.52</v>
      </c>
      <c r="S176" s="68">
        <v>52548.83</v>
      </c>
      <c r="T176" s="136">
        <v>149975.34582200003</v>
      </c>
      <c r="U176" s="24">
        <f>COUNTIF(F176:Q176,"&gt;0")</f>
        <v>1</v>
      </c>
      <c r="V176" s="1" t="s">
        <v>714</v>
      </c>
    </row>
    <row r="177" spans="1:22" x14ac:dyDescent="0.25">
      <c r="A177" s="135">
        <f t="shared" ref="A177:B177" si="39">+A176+1</f>
        <v>161</v>
      </c>
      <c r="B177" s="134">
        <f t="shared" si="39"/>
        <v>161</v>
      </c>
      <c r="C177" s="77" t="s">
        <v>260</v>
      </c>
      <c r="D177" s="77" t="s">
        <v>444</v>
      </c>
      <c r="E177" s="129">
        <f t="shared" ref="E177" si="40">SUBTOTAL(9,F177:T177)</f>
        <v>7160735.1737979995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/>
      <c r="L177" s="44"/>
      <c r="M177" s="44">
        <v>0</v>
      </c>
      <c r="N177" s="44">
        <v>6406790.6799999997</v>
      </c>
      <c r="O177" s="44">
        <v>0</v>
      </c>
      <c r="P177" s="44">
        <v>0</v>
      </c>
      <c r="Q177" s="44"/>
      <c r="R177" s="44">
        <v>228114.94</v>
      </c>
      <c r="S177" s="68">
        <v>61903.35</v>
      </c>
      <c r="T177" s="136">
        <v>463926.20379799994</v>
      </c>
      <c r="U177" s="24">
        <f t="shared" ref="U177" si="41">COUNTIF(F177:Q177,"&gt;0")</f>
        <v>1</v>
      </c>
      <c r="V177" s="1" t="s">
        <v>714</v>
      </c>
    </row>
    <row r="178" spans="1:22" x14ac:dyDescent="0.25">
      <c r="A178" s="135">
        <f t="shared" ref="A178:B178" si="42">+A177+1</f>
        <v>162</v>
      </c>
      <c r="B178" s="134">
        <f t="shared" si="42"/>
        <v>162</v>
      </c>
      <c r="C178" s="77" t="s">
        <v>260</v>
      </c>
      <c r="D178" s="77" t="s">
        <v>445</v>
      </c>
      <c r="E178" s="129">
        <f>SUBTOTAL(9,F178:T178)</f>
        <v>5095856.215392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/>
      <c r="L178" s="44"/>
      <c r="M178" s="44">
        <v>0</v>
      </c>
      <c r="N178" s="44">
        <v>4786076.9400000004</v>
      </c>
      <c r="O178" s="44">
        <v>0</v>
      </c>
      <c r="P178" s="44">
        <v>0</v>
      </c>
      <c r="Q178" s="44">
        <v>0</v>
      </c>
      <c r="R178" s="44">
        <v>92267.42</v>
      </c>
      <c r="S178" s="68">
        <v>15260</v>
      </c>
      <c r="T178" s="136">
        <v>202251.855392</v>
      </c>
      <c r="U178" s="24">
        <f>COUNTIF(F178:Q178,"&gt;0")</f>
        <v>1</v>
      </c>
      <c r="V178" s="1" t="s">
        <v>714</v>
      </c>
    </row>
    <row r="179" spans="1:22" x14ac:dyDescent="0.25">
      <c r="A179" s="135">
        <f t="shared" ref="A179:B179" si="43">+A178+1</f>
        <v>163</v>
      </c>
      <c r="B179" s="134">
        <f t="shared" si="43"/>
        <v>163</v>
      </c>
      <c r="C179" s="77" t="s">
        <v>542</v>
      </c>
      <c r="D179" s="77" t="s">
        <v>687</v>
      </c>
      <c r="E179" s="129">
        <f t="shared" si="23"/>
        <v>5878693.8685020199</v>
      </c>
      <c r="F179" s="44">
        <v>5464157.29</v>
      </c>
      <c r="G179" s="44">
        <v>0</v>
      </c>
      <c r="H179" s="44"/>
      <c r="I179" s="44"/>
      <c r="J179" s="44">
        <v>0</v>
      </c>
      <c r="K179" s="44"/>
      <c r="L179" s="44"/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/>
      <c r="S179" s="68"/>
      <c r="T179" s="136">
        <v>414536.57850202004</v>
      </c>
      <c r="U179" s="24">
        <f t="shared" si="22"/>
        <v>1</v>
      </c>
    </row>
    <row r="180" spans="1:22" x14ac:dyDescent="0.25">
      <c r="A180" s="135">
        <f t="shared" ref="A180:B180" si="44">+A179+1</f>
        <v>164</v>
      </c>
      <c r="B180" s="134">
        <f t="shared" si="44"/>
        <v>164</v>
      </c>
      <c r="C180" s="77"/>
      <c r="D180" s="77" t="s">
        <v>679</v>
      </c>
      <c r="E180" s="129">
        <f t="shared" si="23"/>
        <v>29029624.603229266</v>
      </c>
      <c r="F180" s="44">
        <v>8079212.4000000004</v>
      </c>
      <c r="G180" s="44"/>
      <c r="H180" s="44">
        <v>3039831.6</v>
      </c>
      <c r="I180" s="44">
        <v>2344507</v>
      </c>
      <c r="J180" s="44"/>
      <c r="K180" s="44"/>
      <c r="L180" s="44"/>
      <c r="M180" s="44"/>
      <c r="N180" s="44">
        <v>14009282.4</v>
      </c>
      <c r="O180" s="44"/>
      <c r="P180" s="44"/>
      <c r="Q180" s="44"/>
      <c r="R180" s="44">
        <v>700984.03</v>
      </c>
      <c r="S180" s="68">
        <v>24000</v>
      </c>
      <c r="T180" s="136">
        <v>831807.17322926596</v>
      </c>
      <c r="U180" s="24">
        <f t="shared" si="22"/>
        <v>4</v>
      </c>
    </row>
    <row r="181" spans="1:22" x14ac:dyDescent="0.25">
      <c r="A181" s="135">
        <f t="shared" ref="A181:B181" si="45">+A180+1</f>
        <v>165</v>
      </c>
      <c r="B181" s="134">
        <f t="shared" si="45"/>
        <v>165</v>
      </c>
      <c r="C181" s="77"/>
      <c r="D181" s="77" t="s">
        <v>680</v>
      </c>
      <c r="E181" s="129">
        <f t="shared" si="23"/>
        <v>20395305.887644947</v>
      </c>
      <c r="F181" s="44"/>
      <c r="G181" s="44"/>
      <c r="H181" s="44">
        <v>3153436.8</v>
      </c>
      <c r="I181" s="44">
        <v>2158646.4</v>
      </c>
      <c r="J181" s="44"/>
      <c r="K181" s="44"/>
      <c r="L181" s="44"/>
      <c r="M181" s="44"/>
      <c r="N181" s="44">
        <v>13939516.800000001</v>
      </c>
      <c r="O181" s="44"/>
      <c r="P181" s="44"/>
      <c r="Q181" s="44"/>
      <c r="R181" s="44">
        <v>495096.03</v>
      </c>
      <c r="S181" s="68">
        <v>24000</v>
      </c>
      <c r="T181" s="136">
        <v>624609.8576449441</v>
      </c>
      <c r="U181" s="24">
        <f t="shared" si="22"/>
        <v>3</v>
      </c>
    </row>
    <row r="182" spans="1:22" x14ac:dyDescent="0.25">
      <c r="A182" s="135">
        <f t="shared" ref="A182:B182" si="46">+A181+1</f>
        <v>166</v>
      </c>
      <c r="B182" s="134">
        <f t="shared" si="46"/>
        <v>166</v>
      </c>
      <c r="C182" s="77" t="s">
        <v>542</v>
      </c>
      <c r="D182" s="77" t="s">
        <v>683</v>
      </c>
      <c r="E182" s="129">
        <f t="shared" si="23"/>
        <v>10151683.942115799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/>
      <c r="L182" s="44"/>
      <c r="M182" s="44">
        <v>0</v>
      </c>
      <c r="N182" s="44">
        <v>9802331.1099999994</v>
      </c>
      <c r="O182" s="44">
        <v>0</v>
      </c>
      <c r="P182" s="44">
        <v>0</v>
      </c>
      <c r="Q182" s="44">
        <v>0</v>
      </c>
      <c r="R182" s="44"/>
      <c r="S182" s="68"/>
      <c r="T182" s="136">
        <v>349352.8321158</v>
      </c>
      <c r="U182" s="24">
        <f t="shared" si="22"/>
        <v>1</v>
      </c>
    </row>
    <row r="183" spans="1:22" x14ac:dyDescent="0.25">
      <c r="A183" s="135">
        <f t="shared" ref="A183:B183" si="47">+A182+1</f>
        <v>167</v>
      </c>
      <c r="B183" s="134">
        <f t="shared" si="47"/>
        <v>167</v>
      </c>
      <c r="C183" s="77"/>
      <c r="D183" s="77" t="s">
        <v>681</v>
      </c>
      <c r="E183" s="129">
        <f t="shared" si="23"/>
        <v>17671817.467479024</v>
      </c>
      <c r="F183" s="44">
        <v>7939864.5</v>
      </c>
      <c r="G183" s="44"/>
      <c r="H183" s="44">
        <v>4681160.4000000004</v>
      </c>
      <c r="I183" s="44">
        <v>3537004.8</v>
      </c>
      <c r="J183" s="44"/>
      <c r="K183" s="44"/>
      <c r="L183" s="44"/>
      <c r="M183" s="44"/>
      <c r="N183" s="44"/>
      <c r="O183" s="44"/>
      <c r="P183" s="44"/>
      <c r="Q183" s="44"/>
      <c r="R183" s="44">
        <v>634398.13</v>
      </c>
      <c r="S183" s="68">
        <v>24000</v>
      </c>
      <c r="T183" s="136">
        <v>855389.63747902657</v>
      </c>
      <c r="U183" s="24">
        <f t="shared" si="22"/>
        <v>3</v>
      </c>
    </row>
    <row r="184" spans="1:22" x14ac:dyDescent="0.25">
      <c r="A184" s="135">
        <f t="shared" ref="A184:B184" si="48">+A183+1</f>
        <v>168</v>
      </c>
      <c r="B184" s="134">
        <f t="shared" si="48"/>
        <v>168</v>
      </c>
      <c r="C184" s="77"/>
      <c r="D184" s="77" t="s">
        <v>682</v>
      </c>
      <c r="E184" s="129">
        <f t="shared" si="23"/>
        <v>11775966.67212354</v>
      </c>
      <c r="F184" s="44">
        <v>5903245.2000000002</v>
      </c>
      <c r="G184" s="44"/>
      <c r="H184" s="44">
        <v>3002210.4</v>
      </c>
      <c r="I184" s="44">
        <v>1923324</v>
      </c>
      <c r="J184" s="44"/>
      <c r="K184" s="44"/>
      <c r="L184" s="44"/>
      <c r="M184" s="44"/>
      <c r="N184" s="44"/>
      <c r="O184" s="44"/>
      <c r="P184" s="44"/>
      <c r="Q184" s="44"/>
      <c r="R184" s="44">
        <v>516618.54</v>
      </c>
      <c r="S184" s="68">
        <v>24000</v>
      </c>
      <c r="T184" s="136">
        <v>406568.53212354059</v>
      </c>
      <c r="U184" s="24">
        <f t="shared" si="22"/>
        <v>3</v>
      </c>
    </row>
    <row r="185" spans="1:22" x14ac:dyDescent="0.25">
      <c r="A185" s="135">
        <f t="shared" ref="A185:B185" si="49">+A184+1</f>
        <v>169</v>
      </c>
      <c r="B185" s="134">
        <f t="shared" si="49"/>
        <v>169</v>
      </c>
      <c r="C185" s="77"/>
      <c r="D185" s="77" t="s">
        <v>684</v>
      </c>
      <c r="E185" s="129">
        <f t="shared" si="23"/>
        <v>22244636.410089906</v>
      </c>
      <c r="F185" s="44">
        <v>11356723.199999999</v>
      </c>
      <c r="G185" s="44"/>
      <c r="H185" s="44">
        <v>5611190.4000000004</v>
      </c>
      <c r="I185" s="44">
        <v>3761995.2</v>
      </c>
      <c r="J185" s="44"/>
      <c r="K185" s="44"/>
      <c r="L185" s="44"/>
      <c r="M185" s="44"/>
      <c r="N185" s="44"/>
      <c r="O185" s="44"/>
      <c r="P185" s="44"/>
      <c r="Q185" s="44"/>
      <c r="R185" s="44">
        <v>634436.54</v>
      </c>
      <c r="S185" s="68">
        <v>24000</v>
      </c>
      <c r="T185" s="136">
        <v>856291.07008990657</v>
      </c>
      <c r="U185" s="24">
        <f t="shared" si="22"/>
        <v>3</v>
      </c>
    </row>
    <row r="186" spans="1:22" x14ac:dyDescent="0.25">
      <c r="A186" s="135">
        <f t="shared" ref="A186:B186" si="50">+A185+1</f>
        <v>170</v>
      </c>
      <c r="B186" s="134">
        <f t="shared" si="50"/>
        <v>170</v>
      </c>
      <c r="C186" s="77"/>
      <c r="D186" s="77" t="s">
        <v>685</v>
      </c>
      <c r="E186" s="129">
        <f t="shared" si="23"/>
        <v>22243618.238094788</v>
      </c>
      <c r="F186" s="44">
        <v>11356723.199999999</v>
      </c>
      <c r="G186" s="44"/>
      <c r="H186" s="44">
        <v>5611190.4000000004</v>
      </c>
      <c r="I186" s="44">
        <v>3761995.2</v>
      </c>
      <c r="J186" s="44"/>
      <c r="K186" s="44"/>
      <c r="L186" s="44"/>
      <c r="M186" s="44"/>
      <c r="N186" s="44"/>
      <c r="O186" s="44"/>
      <c r="P186" s="44"/>
      <c r="Q186" s="44"/>
      <c r="R186" s="44">
        <v>634394.92000000004</v>
      </c>
      <c r="S186" s="68">
        <v>24000</v>
      </c>
      <c r="T186" s="136">
        <v>855314.51809478668</v>
      </c>
      <c r="U186" s="24">
        <f t="shared" si="22"/>
        <v>3</v>
      </c>
    </row>
    <row r="187" spans="1:22" x14ac:dyDescent="0.25">
      <c r="A187" s="135">
        <f t="shared" ref="A187:B187" si="51">+A186+1</f>
        <v>171</v>
      </c>
      <c r="B187" s="134">
        <f t="shared" si="51"/>
        <v>171</v>
      </c>
      <c r="C187" s="77" t="s">
        <v>542</v>
      </c>
      <c r="D187" s="77" t="s">
        <v>686</v>
      </c>
      <c r="E187" s="129">
        <f t="shared" si="23"/>
        <v>3910954.3912454001</v>
      </c>
      <c r="F187" s="44">
        <v>3733979.02</v>
      </c>
      <c r="G187" s="44">
        <v>0</v>
      </c>
      <c r="H187" s="44">
        <v>0</v>
      </c>
      <c r="I187" s="44">
        <v>0</v>
      </c>
      <c r="J187" s="44">
        <v>0</v>
      </c>
      <c r="K187" s="44"/>
      <c r="L187" s="44"/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/>
      <c r="S187" s="68"/>
      <c r="T187" s="136">
        <v>176975.37124540002</v>
      </c>
      <c r="U187" s="24">
        <f t="shared" si="22"/>
        <v>1</v>
      </c>
    </row>
    <row r="188" spans="1:22" x14ac:dyDescent="0.25">
      <c r="A188" s="135">
        <f t="shared" ref="A188:B188" si="52">+A187+1</f>
        <v>172</v>
      </c>
      <c r="B188" s="134">
        <f t="shared" si="52"/>
        <v>172</v>
      </c>
      <c r="C188" s="77" t="s">
        <v>542</v>
      </c>
      <c r="D188" s="77" t="s">
        <v>688</v>
      </c>
      <c r="E188" s="129">
        <f t="shared" si="23"/>
        <v>5217261.4636666002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/>
      <c r="L188" s="44"/>
      <c r="M188" s="44">
        <v>0</v>
      </c>
      <c r="N188" s="44">
        <v>5044368.49</v>
      </c>
      <c r="O188" s="44">
        <v>0</v>
      </c>
      <c r="P188" s="44">
        <v>0</v>
      </c>
      <c r="Q188" s="44">
        <v>0</v>
      </c>
      <c r="R188" s="44"/>
      <c r="S188" s="68"/>
      <c r="T188" s="136">
        <v>172892.97366659998</v>
      </c>
      <c r="U188" s="24">
        <f t="shared" si="22"/>
        <v>1</v>
      </c>
    </row>
    <row r="189" spans="1:22" x14ac:dyDescent="0.25">
      <c r="A189" s="135">
        <f t="shared" ref="A189:B189" si="53">+A188+1</f>
        <v>173</v>
      </c>
      <c r="B189" s="134">
        <f t="shared" si="53"/>
        <v>173</v>
      </c>
      <c r="C189" s="77" t="s">
        <v>109</v>
      </c>
      <c r="D189" s="77" t="s">
        <v>449</v>
      </c>
      <c r="E189" s="129">
        <f t="shared" si="23"/>
        <v>8755162.1893241201</v>
      </c>
      <c r="F189" s="44">
        <v>0</v>
      </c>
      <c r="G189" s="44">
        <v>0</v>
      </c>
      <c r="H189" s="44">
        <v>1011024.23</v>
      </c>
      <c r="I189" s="44">
        <v>0</v>
      </c>
      <c r="J189" s="44"/>
      <c r="K189" s="44"/>
      <c r="L189" s="44"/>
      <c r="M189" s="44">
        <v>0</v>
      </c>
      <c r="N189" s="44">
        <v>0</v>
      </c>
      <c r="O189" s="44">
        <v>0</v>
      </c>
      <c r="P189" s="44">
        <v>4376437.43</v>
      </c>
      <c r="Q189" s="44">
        <v>3141303.98</v>
      </c>
      <c r="R189" s="44"/>
      <c r="S189" s="68"/>
      <c r="T189" s="136">
        <v>226396.54932411999</v>
      </c>
      <c r="U189" s="24">
        <f t="shared" si="22"/>
        <v>3</v>
      </c>
    </row>
    <row r="190" spans="1:22" x14ac:dyDescent="0.25">
      <c r="A190" s="135">
        <f t="shared" ref="A190:B190" si="54">+A189+1</f>
        <v>174</v>
      </c>
      <c r="B190" s="134">
        <f t="shared" si="54"/>
        <v>174</v>
      </c>
      <c r="C190" s="77" t="s">
        <v>109</v>
      </c>
      <c r="D190" s="77" t="s">
        <v>264</v>
      </c>
      <c r="E190" s="129">
        <f t="shared" si="23"/>
        <v>1521216.82339412</v>
      </c>
      <c r="F190" s="44">
        <v>0</v>
      </c>
      <c r="G190" s="44">
        <v>0</v>
      </c>
      <c r="H190" s="44">
        <v>256799.44</v>
      </c>
      <c r="I190" s="44">
        <v>0</v>
      </c>
      <c r="J190" s="44">
        <v>0</v>
      </c>
      <c r="K190" s="44"/>
      <c r="L190" s="44"/>
      <c r="M190" s="44">
        <v>0</v>
      </c>
      <c r="N190" s="44">
        <v>0</v>
      </c>
      <c r="O190" s="44">
        <v>0</v>
      </c>
      <c r="P190" s="44">
        <v>0</v>
      </c>
      <c r="Q190" s="44">
        <v>1206681.83</v>
      </c>
      <c r="R190" s="44"/>
      <c r="S190" s="68"/>
      <c r="T190" s="136">
        <v>57735.553394120012</v>
      </c>
      <c r="U190" s="24">
        <f t="shared" si="22"/>
        <v>2</v>
      </c>
    </row>
    <row r="191" spans="1:22" x14ac:dyDescent="0.25">
      <c r="A191" s="135">
        <f t="shared" ref="A191:B191" si="55">+A190+1</f>
        <v>175</v>
      </c>
      <c r="B191" s="134">
        <f t="shared" si="55"/>
        <v>175</v>
      </c>
      <c r="C191" s="77" t="s">
        <v>110</v>
      </c>
      <c r="D191" s="77" t="s">
        <v>268</v>
      </c>
      <c r="E191" s="129">
        <f>SUBTOTAL(9,F191:T191)</f>
        <v>764368.75019825995</v>
      </c>
      <c r="F191" s="44">
        <v>0</v>
      </c>
      <c r="G191" s="44">
        <v>0</v>
      </c>
      <c r="H191" s="44">
        <v>664753.06999999995</v>
      </c>
      <c r="I191" s="44"/>
      <c r="J191" s="44">
        <v>0</v>
      </c>
      <c r="K191" s="44"/>
      <c r="L191" s="44"/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77193.931000000011</v>
      </c>
      <c r="S191" s="68">
        <v>7719.3931000000011</v>
      </c>
      <c r="T191" s="136">
        <v>14702.356098260001</v>
      </c>
      <c r="U191" s="24">
        <f>COUNTIF(F191:Q191,"&gt;0")</f>
        <v>1</v>
      </c>
      <c r="V191" s="1" t="s">
        <v>714</v>
      </c>
    </row>
    <row r="192" spans="1:22" x14ac:dyDescent="0.25">
      <c r="A192" s="135">
        <f t="shared" ref="A192:B192" si="56">+A191+1</f>
        <v>176</v>
      </c>
      <c r="B192" s="134">
        <f t="shared" si="56"/>
        <v>176</v>
      </c>
      <c r="C192" s="77" t="s">
        <v>110</v>
      </c>
      <c r="D192" s="77" t="s">
        <v>450</v>
      </c>
      <c r="E192" s="129">
        <f t="shared" si="23"/>
        <v>365088.24984040001</v>
      </c>
      <c r="F192" s="44">
        <v>0</v>
      </c>
      <c r="G192" s="44">
        <v>0</v>
      </c>
      <c r="H192" s="44">
        <v>0</v>
      </c>
      <c r="I192" s="44">
        <v>346555.42</v>
      </c>
      <c r="J192" s="44"/>
      <c r="K192" s="44"/>
      <c r="L192" s="44"/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/>
      <c r="S192" s="68"/>
      <c r="T192" s="136">
        <v>18532.829840399998</v>
      </c>
      <c r="U192" s="24">
        <f t="shared" si="22"/>
        <v>1</v>
      </c>
    </row>
    <row r="193" spans="1:22" x14ac:dyDescent="0.25">
      <c r="A193" s="135">
        <f t="shared" ref="A193:B193" si="57">+A192+1</f>
        <v>177</v>
      </c>
      <c r="B193" s="134">
        <f t="shared" si="57"/>
        <v>177</v>
      </c>
      <c r="C193" s="77" t="s">
        <v>110</v>
      </c>
      <c r="D193" s="77" t="s">
        <v>114</v>
      </c>
      <c r="E193" s="129">
        <f t="shared" si="23"/>
        <v>8606121.4599104002</v>
      </c>
      <c r="F193" s="44">
        <v>0</v>
      </c>
      <c r="G193" s="44">
        <v>0</v>
      </c>
      <c r="H193" s="44">
        <v>0</v>
      </c>
      <c r="I193" s="44"/>
      <c r="J193" s="44">
        <v>0</v>
      </c>
      <c r="K193" s="44"/>
      <c r="L193" s="44"/>
      <c r="M193" s="44">
        <v>0</v>
      </c>
      <c r="N193" s="44">
        <v>8345806.3999999994</v>
      </c>
      <c r="O193" s="44">
        <v>0</v>
      </c>
      <c r="P193" s="44">
        <v>0</v>
      </c>
      <c r="Q193" s="44">
        <v>0</v>
      </c>
      <c r="R193" s="44"/>
      <c r="S193" s="68"/>
      <c r="T193" s="136">
        <v>260315.05991040001</v>
      </c>
      <c r="U193" s="24">
        <f t="shared" si="22"/>
        <v>1</v>
      </c>
    </row>
    <row r="194" spans="1:22" x14ac:dyDescent="0.25">
      <c r="A194" s="135">
        <f t="shared" ref="A194:B194" si="58">+A193+1</f>
        <v>178</v>
      </c>
      <c r="B194" s="134">
        <f t="shared" si="58"/>
        <v>178</v>
      </c>
      <c r="C194" s="77" t="s">
        <v>110</v>
      </c>
      <c r="D194" s="77" t="s">
        <v>530</v>
      </c>
      <c r="E194" s="129">
        <f t="shared" si="23"/>
        <v>481793.98029292002</v>
      </c>
      <c r="F194" s="44"/>
      <c r="G194" s="44">
        <v>0</v>
      </c>
      <c r="H194" s="44"/>
      <c r="I194" s="44">
        <v>363946.04</v>
      </c>
      <c r="J194" s="44">
        <v>0</v>
      </c>
      <c r="K194" s="44"/>
      <c r="L194" s="44"/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/>
      <c r="S194" s="68"/>
      <c r="T194" s="136">
        <v>117847.94029292003</v>
      </c>
      <c r="U194" s="24">
        <f t="shared" si="22"/>
        <v>1</v>
      </c>
    </row>
    <row r="195" spans="1:22" x14ac:dyDescent="0.25">
      <c r="A195" s="135">
        <f t="shared" ref="A195:B195" si="59">+A194+1</f>
        <v>179</v>
      </c>
      <c r="B195" s="134">
        <f t="shared" si="59"/>
        <v>179</v>
      </c>
      <c r="C195" s="77" t="s">
        <v>110</v>
      </c>
      <c r="D195" s="77" t="s">
        <v>117</v>
      </c>
      <c r="E195" s="129">
        <f t="shared" si="23"/>
        <v>1379849.7611506002</v>
      </c>
      <c r="F195" s="44">
        <v>0</v>
      </c>
      <c r="G195" s="44">
        <v>0</v>
      </c>
      <c r="H195" s="44">
        <v>0</v>
      </c>
      <c r="I195" s="44">
        <v>1321350.8500000001</v>
      </c>
      <c r="J195" s="44"/>
      <c r="K195" s="44"/>
      <c r="L195" s="44"/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/>
      <c r="S195" s="68"/>
      <c r="T195" s="136">
        <v>58498.911150600004</v>
      </c>
      <c r="U195" s="24">
        <f t="shared" si="22"/>
        <v>1</v>
      </c>
    </row>
    <row r="196" spans="1:22" x14ac:dyDescent="0.25">
      <c r="A196" s="135">
        <f t="shared" ref="A196:B196" si="60">+A195+1</f>
        <v>180</v>
      </c>
      <c r="B196" s="134">
        <f t="shared" si="60"/>
        <v>180</v>
      </c>
      <c r="C196" s="77" t="s">
        <v>110</v>
      </c>
      <c r="D196" s="77" t="s">
        <v>118</v>
      </c>
      <c r="E196" s="129">
        <f t="shared" si="23"/>
        <v>3552408.6974952403</v>
      </c>
      <c r="F196" s="44"/>
      <c r="G196" s="44">
        <v>0</v>
      </c>
      <c r="H196" s="44">
        <v>0</v>
      </c>
      <c r="I196" s="44">
        <v>0</v>
      </c>
      <c r="J196" s="44"/>
      <c r="K196" s="44"/>
      <c r="L196" s="44"/>
      <c r="M196" s="44">
        <v>0</v>
      </c>
      <c r="N196" s="44">
        <v>0</v>
      </c>
      <c r="O196" s="44">
        <v>0</v>
      </c>
      <c r="P196" s="44"/>
      <c r="Q196" s="44">
        <v>3253286.45</v>
      </c>
      <c r="R196" s="44"/>
      <c r="S196" s="68"/>
      <c r="T196" s="136">
        <v>299122.24749524001</v>
      </c>
      <c r="U196" s="24">
        <f t="shared" si="22"/>
        <v>1</v>
      </c>
      <c r="V196" s="1" t="s">
        <v>711</v>
      </c>
    </row>
    <row r="197" spans="1:22" x14ac:dyDescent="0.25">
      <c r="A197" s="135">
        <f t="shared" ref="A197:B197" si="61">+A196+1</f>
        <v>181</v>
      </c>
      <c r="B197" s="134">
        <f t="shared" si="61"/>
        <v>181</v>
      </c>
      <c r="C197" s="77" t="s">
        <v>110</v>
      </c>
      <c r="D197" s="77" t="s">
        <v>274</v>
      </c>
      <c r="E197" s="129">
        <f t="shared" si="23"/>
        <v>1178970.48751072</v>
      </c>
      <c r="F197" s="44"/>
      <c r="G197" s="44"/>
      <c r="H197" s="44">
        <v>667653.5</v>
      </c>
      <c r="I197" s="44">
        <v>491754.09</v>
      </c>
      <c r="J197" s="44"/>
      <c r="K197" s="44"/>
      <c r="L197" s="44"/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/>
      <c r="S197" s="68"/>
      <c r="T197" s="136">
        <v>19562.897510720002</v>
      </c>
      <c r="U197" s="24">
        <f t="shared" si="22"/>
        <v>2</v>
      </c>
      <c r="V197" s="1" t="s">
        <v>714</v>
      </c>
    </row>
    <row r="198" spans="1:22" x14ac:dyDescent="0.25">
      <c r="A198" s="135">
        <f t="shared" ref="A198:B198" si="62">+A197+1</f>
        <v>182</v>
      </c>
      <c r="B198" s="134">
        <f t="shared" si="62"/>
        <v>182</v>
      </c>
      <c r="C198" s="77" t="s">
        <v>110</v>
      </c>
      <c r="D198" s="77" t="s">
        <v>531</v>
      </c>
      <c r="E198" s="129">
        <f t="shared" si="23"/>
        <v>2049515.5313292001</v>
      </c>
      <c r="F198" s="44">
        <v>0</v>
      </c>
      <c r="G198" s="44">
        <v>0</v>
      </c>
      <c r="H198" s="44"/>
      <c r="I198" s="44">
        <v>1990765.32</v>
      </c>
      <c r="J198" s="44"/>
      <c r="K198" s="44"/>
      <c r="L198" s="44"/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/>
      <c r="S198" s="68"/>
      <c r="T198" s="136">
        <v>58750.211329199999</v>
      </c>
      <c r="U198" s="24">
        <f t="shared" si="22"/>
        <v>1</v>
      </c>
    </row>
    <row r="199" spans="1:22" x14ac:dyDescent="0.25">
      <c r="A199" s="135">
        <f t="shared" ref="A199:B199" si="63">+A198+1</f>
        <v>183</v>
      </c>
      <c r="B199" s="134">
        <f t="shared" si="63"/>
        <v>183</v>
      </c>
      <c r="C199" s="77" t="s">
        <v>110</v>
      </c>
      <c r="D199" s="77" t="s">
        <v>532</v>
      </c>
      <c r="E199" s="129">
        <f t="shared" si="23"/>
        <v>6265968.0113439998</v>
      </c>
      <c r="F199" s="44">
        <v>0</v>
      </c>
      <c r="G199" s="44">
        <v>0</v>
      </c>
      <c r="H199" s="44">
        <v>0</v>
      </c>
      <c r="I199" s="44">
        <v>0</v>
      </c>
      <c r="J199" s="44"/>
      <c r="K199" s="44"/>
      <c r="L199" s="44"/>
      <c r="M199" s="44">
        <v>0</v>
      </c>
      <c r="N199" s="44">
        <v>0</v>
      </c>
      <c r="O199" s="44">
        <v>0</v>
      </c>
      <c r="P199" s="44">
        <v>6113601.8799999999</v>
      </c>
      <c r="Q199" s="44"/>
      <c r="R199" s="44"/>
      <c r="S199" s="68"/>
      <c r="T199" s="136">
        <v>152366.13134399999</v>
      </c>
      <c r="U199" s="24">
        <f t="shared" si="22"/>
        <v>1</v>
      </c>
    </row>
    <row r="200" spans="1:22" x14ac:dyDescent="0.25">
      <c r="A200" s="135">
        <f t="shared" ref="A200:B200" si="64">+A199+1</f>
        <v>184</v>
      </c>
      <c r="B200" s="134">
        <f t="shared" si="64"/>
        <v>184</v>
      </c>
      <c r="C200" s="77" t="s">
        <v>110</v>
      </c>
      <c r="D200" s="77" t="s">
        <v>452</v>
      </c>
      <c r="E200" s="129">
        <f t="shared" si="23"/>
        <v>18257138.112024002</v>
      </c>
      <c r="F200" s="44">
        <v>4878537.09</v>
      </c>
      <c r="G200" s="44">
        <v>0</v>
      </c>
      <c r="H200" s="44">
        <v>0</v>
      </c>
      <c r="I200" s="44">
        <v>0</v>
      </c>
      <c r="J200" s="44"/>
      <c r="K200" s="44"/>
      <c r="L200" s="44"/>
      <c r="M200" s="44">
        <v>0</v>
      </c>
      <c r="N200" s="44">
        <v>0</v>
      </c>
      <c r="O200" s="44">
        <v>0</v>
      </c>
      <c r="P200" s="44">
        <v>5994057.4199999999</v>
      </c>
      <c r="Q200" s="44">
        <v>7172099.8799999999</v>
      </c>
      <c r="R200" s="44"/>
      <c r="S200" s="68"/>
      <c r="T200" s="136">
        <v>212443.72202400002</v>
      </c>
      <c r="U200" s="24">
        <f t="shared" si="22"/>
        <v>3</v>
      </c>
    </row>
    <row r="201" spans="1:22" x14ac:dyDescent="0.25">
      <c r="A201" s="135">
        <f t="shared" ref="A201:B201" si="65">+A200+1</f>
        <v>185</v>
      </c>
      <c r="B201" s="134">
        <f t="shared" si="65"/>
        <v>185</v>
      </c>
      <c r="C201" s="77" t="s">
        <v>110</v>
      </c>
      <c r="D201" s="213" t="s">
        <v>533</v>
      </c>
      <c r="E201" s="216">
        <f>SUBTOTAL(9,F201:T201)</f>
        <v>1244942.4749406199</v>
      </c>
      <c r="F201" s="161">
        <v>0</v>
      </c>
      <c r="G201" s="161">
        <v>0</v>
      </c>
      <c r="H201" s="161">
        <v>1207654.75</v>
      </c>
      <c r="I201" s="44">
        <v>0</v>
      </c>
      <c r="J201" s="44">
        <v>0</v>
      </c>
      <c r="K201" s="44"/>
      <c r="L201" s="44"/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/>
      <c r="S201" s="68"/>
      <c r="T201" s="136">
        <v>37287.724940620006</v>
      </c>
      <c r="U201" s="24">
        <f>COUNTIF(F201:Q201,"&gt;0")</f>
        <v>1</v>
      </c>
    </row>
    <row r="202" spans="1:22" x14ac:dyDescent="0.25">
      <c r="A202" s="135">
        <f t="shared" ref="A202:B202" si="66">+A201+1</f>
        <v>186</v>
      </c>
      <c r="B202" s="134">
        <f t="shared" si="66"/>
        <v>186</v>
      </c>
      <c r="C202" s="77" t="s">
        <v>72</v>
      </c>
      <c r="D202" s="77" t="s">
        <v>721</v>
      </c>
      <c r="E202" s="129">
        <f t="shared" si="23"/>
        <v>4254086.16</v>
      </c>
      <c r="F202" s="44"/>
      <c r="G202" s="44"/>
      <c r="H202" s="44"/>
      <c r="I202" s="44"/>
      <c r="J202" s="44"/>
      <c r="K202" s="44"/>
      <c r="L202" s="44"/>
      <c r="M202" s="44"/>
      <c r="N202" s="44">
        <v>4254086.16</v>
      </c>
      <c r="O202" s="44"/>
      <c r="P202" s="44"/>
      <c r="Q202" s="44"/>
      <c r="R202" s="44"/>
      <c r="S202" s="44"/>
      <c r="T202" s="44"/>
      <c r="U202" s="24">
        <f t="shared" si="22"/>
        <v>1</v>
      </c>
    </row>
    <row r="203" spans="1:22" x14ac:dyDescent="0.25">
      <c r="A203" s="135">
        <f t="shared" ref="A203:B204" si="67">+A202+1</f>
        <v>187</v>
      </c>
      <c r="B203" s="134">
        <f t="shared" si="67"/>
        <v>187</v>
      </c>
      <c r="C203" s="81"/>
      <c r="D203" s="77" t="s">
        <v>1149</v>
      </c>
      <c r="E203" s="129">
        <f t="shared" si="23"/>
        <v>566057.97</v>
      </c>
      <c r="F203" s="44"/>
      <c r="G203" s="44"/>
      <c r="H203" s="44"/>
      <c r="I203" s="44"/>
      <c r="J203" s="44"/>
      <c r="K203" s="44"/>
      <c r="L203" s="44"/>
      <c r="M203" s="44"/>
      <c r="N203" s="44">
        <v>194953.44</v>
      </c>
      <c r="O203" s="44"/>
      <c r="P203" s="44">
        <v>371104.53</v>
      </c>
      <c r="Q203" s="44"/>
      <c r="R203" s="44"/>
      <c r="S203" s="44"/>
      <c r="T203" s="44"/>
      <c r="U203" s="24">
        <f t="shared" si="22"/>
        <v>2</v>
      </c>
    </row>
    <row r="204" spans="1:22" x14ac:dyDescent="0.25">
      <c r="A204" s="135">
        <f t="shared" si="67"/>
        <v>188</v>
      </c>
      <c r="B204" s="134">
        <f t="shared" si="67"/>
        <v>188</v>
      </c>
      <c r="C204" s="81"/>
      <c r="D204" s="77" t="s">
        <v>1150</v>
      </c>
      <c r="E204" s="129">
        <f t="shared" si="23"/>
        <v>10770762.300000001</v>
      </c>
      <c r="F204" s="44"/>
      <c r="G204" s="44"/>
      <c r="H204" s="44"/>
      <c r="I204" s="44"/>
      <c r="J204" s="44"/>
      <c r="K204" s="44"/>
      <c r="L204" s="44"/>
      <c r="M204" s="44"/>
      <c r="N204" s="44">
        <v>5195058.41</v>
      </c>
      <c r="O204" s="44"/>
      <c r="P204" s="44">
        <v>5575703.8899999997</v>
      </c>
      <c r="Q204" s="44"/>
      <c r="R204" s="44"/>
      <c r="S204" s="44"/>
      <c r="T204" s="44"/>
      <c r="U204" s="24">
        <f t="shared" si="22"/>
        <v>2</v>
      </c>
    </row>
    <row r="205" spans="1:22" s="55" customFormat="1" x14ac:dyDescent="0.25">
      <c r="A205" s="54"/>
      <c r="B205" s="54"/>
      <c r="D205" s="56">
        <v>2023</v>
      </c>
      <c r="E205" s="57">
        <f>SUM(F205:T205)</f>
        <v>2718078353.2890849</v>
      </c>
      <c r="F205" s="58">
        <f t="shared" ref="F205:T205" si="68">SUM(F206:F479)</f>
        <v>633455104.11774015</v>
      </c>
      <c r="G205" s="58">
        <f t="shared" si="68"/>
        <v>174262956.2281718</v>
      </c>
      <c r="H205" s="58">
        <f t="shared" si="68"/>
        <v>284879151.30691838</v>
      </c>
      <c r="I205" s="58">
        <f t="shared" si="68"/>
        <v>134728157.75780669</v>
      </c>
      <c r="J205" s="58">
        <f t="shared" si="68"/>
        <v>51539050.487963185</v>
      </c>
      <c r="K205" s="58">
        <f t="shared" si="68"/>
        <v>0</v>
      </c>
      <c r="L205" s="58">
        <f t="shared" si="68"/>
        <v>18161236.494967163</v>
      </c>
      <c r="M205" s="58">
        <f t="shared" si="68"/>
        <v>6868490.3575085625</v>
      </c>
      <c r="N205" s="58">
        <f t="shared" si="68"/>
        <v>555510852.05152571</v>
      </c>
      <c r="O205" s="58">
        <f t="shared" si="68"/>
        <v>57069992.273017496</v>
      </c>
      <c r="P205" s="58">
        <f t="shared" si="68"/>
        <v>379673917.56422722</v>
      </c>
      <c r="Q205" s="58">
        <f t="shared" si="68"/>
        <v>288293690.99544507</v>
      </c>
      <c r="R205" s="58">
        <f t="shared" si="68"/>
        <v>47035386.223922595</v>
      </c>
      <c r="S205" s="58">
        <f t="shared" si="68"/>
        <v>3765379.8594205738</v>
      </c>
      <c r="T205" s="58">
        <f t="shared" si="68"/>
        <v>82834987.57044965</v>
      </c>
      <c r="U205" s="58">
        <f>SUM(U207:U477)</f>
        <v>567</v>
      </c>
    </row>
    <row r="206" spans="1:22" x14ac:dyDescent="0.25">
      <c r="A206" s="140">
        <f>+A204+1</f>
        <v>189</v>
      </c>
      <c r="B206" s="141">
        <v>1</v>
      </c>
      <c r="C206" s="142" t="s">
        <v>54</v>
      </c>
      <c r="D206" s="142" t="s">
        <v>453</v>
      </c>
      <c r="E206" s="143">
        <f>SUBTOTAL(9,F206:T206)</f>
        <v>20790092.609999999</v>
      </c>
      <c r="F206" s="144">
        <v>2320624.2799999998</v>
      </c>
      <c r="G206" s="144">
        <v>1208886.8700000001</v>
      </c>
      <c r="H206" s="144">
        <v>647925.87</v>
      </c>
      <c r="I206" s="144">
        <v>480187.06</v>
      </c>
      <c r="J206" s="144">
        <v>0</v>
      </c>
      <c r="K206" s="144"/>
      <c r="L206" s="144"/>
      <c r="M206" s="144">
        <v>0</v>
      </c>
      <c r="N206" s="144">
        <v>4272787.71</v>
      </c>
      <c r="O206" s="144">
        <v>4924704.8499999996</v>
      </c>
      <c r="P206" s="144">
        <v>5939807.0499999998</v>
      </c>
      <c r="Q206" s="144"/>
      <c r="R206" s="144"/>
      <c r="S206" s="145"/>
      <c r="T206" s="146">
        <v>995168.92</v>
      </c>
      <c r="U206" s="24">
        <f>COUNTIF(F206:Q206,"&gt;0")</f>
        <v>7</v>
      </c>
      <c r="V206" s="1" t="s">
        <v>711</v>
      </c>
    </row>
    <row r="207" spans="1:22" x14ac:dyDescent="0.25">
      <c r="A207" s="135">
        <f>+A206+1</f>
        <v>190</v>
      </c>
      <c r="B207" s="134">
        <f>+B206+1</f>
        <v>2</v>
      </c>
      <c r="C207" s="77"/>
      <c r="D207" s="77" t="s">
        <v>1148</v>
      </c>
      <c r="E207" s="129">
        <f t="shared" ref="E207:E214" si="69">SUBTOTAL(9,F207:T207)</f>
        <v>5736141.376241859</v>
      </c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>
        <v>5170939</v>
      </c>
      <c r="Q207" s="44"/>
      <c r="R207" s="44">
        <v>409917.87</v>
      </c>
      <c r="S207" s="68"/>
      <c r="T207" s="136">
        <v>155284.50624185865</v>
      </c>
      <c r="U207" s="24">
        <f t="shared" si="22"/>
        <v>1</v>
      </c>
    </row>
    <row r="208" spans="1:22" x14ac:dyDescent="0.25">
      <c r="A208" s="135">
        <f t="shared" ref="A208:A270" si="70">+A207+1</f>
        <v>191</v>
      </c>
      <c r="B208" s="134">
        <f t="shared" ref="B208:B270" si="71">+B207+1</f>
        <v>3</v>
      </c>
      <c r="C208" s="77"/>
      <c r="D208" s="77" t="s">
        <v>120</v>
      </c>
      <c r="E208" s="129">
        <f t="shared" si="69"/>
        <v>11407565.540871266</v>
      </c>
      <c r="F208" s="44"/>
      <c r="G208" s="44"/>
      <c r="H208" s="44">
        <v>3249291.36</v>
      </c>
      <c r="I208" s="44"/>
      <c r="J208" s="44"/>
      <c r="K208" s="44"/>
      <c r="L208" s="44"/>
      <c r="M208" s="44"/>
      <c r="N208" s="44"/>
      <c r="O208" s="44"/>
      <c r="P208" s="44">
        <v>7019342</v>
      </c>
      <c r="Q208" s="44"/>
      <c r="R208" s="44">
        <v>840138.45000000007</v>
      </c>
      <c r="S208" s="68"/>
      <c r="T208" s="136">
        <v>298793.73087126703</v>
      </c>
      <c r="U208" s="24">
        <f t="shared" si="22"/>
        <v>2</v>
      </c>
    </row>
    <row r="209" spans="1:22" x14ac:dyDescent="0.25">
      <c r="A209" s="135">
        <f t="shared" si="70"/>
        <v>192</v>
      </c>
      <c r="B209" s="134">
        <f t="shared" si="71"/>
        <v>4</v>
      </c>
      <c r="C209" s="77"/>
      <c r="D209" s="77" t="s">
        <v>121</v>
      </c>
      <c r="E209" s="129">
        <f t="shared" si="69"/>
        <v>11490103.106160862</v>
      </c>
      <c r="F209" s="44"/>
      <c r="G209" s="44"/>
      <c r="H209" s="44">
        <v>3226858.7</v>
      </c>
      <c r="I209" s="44"/>
      <c r="J209" s="44"/>
      <c r="K209" s="44"/>
      <c r="L209" s="44"/>
      <c r="M209" s="44"/>
      <c r="N209" s="44"/>
      <c r="O209" s="44"/>
      <c r="P209" s="44">
        <v>7111916</v>
      </c>
      <c r="Q209" s="44"/>
      <c r="R209" s="44">
        <v>852470.5</v>
      </c>
      <c r="S209" s="68"/>
      <c r="T209" s="136">
        <v>298857.90616086364</v>
      </c>
      <c r="U209" s="24">
        <f t="shared" si="22"/>
        <v>2</v>
      </c>
    </row>
    <row r="210" spans="1:22" x14ac:dyDescent="0.25">
      <c r="A210" s="135">
        <f t="shared" si="70"/>
        <v>193</v>
      </c>
      <c r="B210" s="134">
        <f t="shared" si="71"/>
        <v>5</v>
      </c>
      <c r="C210" s="77"/>
      <c r="D210" s="77" t="s">
        <v>122</v>
      </c>
      <c r="E210" s="129">
        <f t="shared" si="69"/>
        <v>8312375.0256017661</v>
      </c>
      <c r="F210" s="44"/>
      <c r="G210" s="81"/>
      <c r="H210" s="44">
        <v>2078408.78</v>
      </c>
      <c r="I210" s="81"/>
      <c r="J210" s="44"/>
      <c r="K210" s="44"/>
      <c r="L210" s="44"/>
      <c r="M210" s="44"/>
      <c r="N210" s="81"/>
      <c r="O210" s="81"/>
      <c r="P210" s="44">
        <v>4938522</v>
      </c>
      <c r="Q210" s="44"/>
      <c r="R210" s="44">
        <v>693290.04</v>
      </c>
      <c r="S210" s="68"/>
      <c r="T210" s="136">
        <v>602154.20560176542</v>
      </c>
      <c r="U210" s="24">
        <f t="shared" si="22"/>
        <v>2</v>
      </c>
    </row>
    <row r="211" spans="1:22" x14ac:dyDescent="0.25">
      <c r="A211" s="135">
        <f t="shared" si="70"/>
        <v>194</v>
      </c>
      <c r="B211" s="134">
        <f t="shared" si="71"/>
        <v>6</v>
      </c>
      <c r="C211" s="77" t="s">
        <v>60</v>
      </c>
      <c r="D211" s="77" t="s">
        <v>125</v>
      </c>
      <c r="E211" s="129">
        <f t="shared" si="69"/>
        <v>3192771.5425127186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/>
      <c r="L211" s="44"/>
      <c r="M211" s="44">
        <v>0</v>
      </c>
      <c r="N211" s="44">
        <v>0</v>
      </c>
      <c r="O211" s="44"/>
      <c r="P211" s="44">
        <v>3110879.85</v>
      </c>
      <c r="Q211" s="44"/>
      <c r="R211" s="44"/>
      <c r="S211" s="68"/>
      <c r="T211" s="136">
        <v>81891.69251271851</v>
      </c>
      <c r="U211" s="24">
        <f t="shared" si="22"/>
        <v>1</v>
      </c>
    </row>
    <row r="212" spans="1:22" x14ac:dyDescent="0.25">
      <c r="A212" s="135">
        <f t="shared" si="70"/>
        <v>195</v>
      </c>
      <c r="B212" s="134">
        <f t="shared" si="71"/>
        <v>7</v>
      </c>
      <c r="C212" s="77" t="s">
        <v>60</v>
      </c>
      <c r="D212" s="77" t="s">
        <v>280</v>
      </c>
      <c r="E212" s="129">
        <f t="shared" si="69"/>
        <v>7061196.7887973767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/>
      <c r="L212" s="44"/>
      <c r="M212" s="44">
        <v>0</v>
      </c>
      <c r="N212" s="44">
        <v>0</v>
      </c>
      <c r="O212" s="44">
        <v>6881364.6500000004</v>
      </c>
      <c r="P212" s="44"/>
      <c r="Q212" s="44"/>
      <c r="R212" s="44"/>
      <c r="S212" s="68"/>
      <c r="T212" s="136">
        <v>179832.13879737601</v>
      </c>
      <c r="U212" s="24">
        <f t="shared" si="22"/>
        <v>1</v>
      </c>
      <c r="V212" s="1" t="s">
        <v>711</v>
      </c>
    </row>
    <row r="213" spans="1:22" x14ac:dyDescent="0.25">
      <c r="A213" s="135">
        <f t="shared" si="70"/>
        <v>196</v>
      </c>
      <c r="B213" s="134">
        <f t="shared" si="71"/>
        <v>8</v>
      </c>
      <c r="C213" s="77"/>
      <c r="D213" s="77" t="s">
        <v>596</v>
      </c>
      <c r="E213" s="129">
        <f t="shared" si="69"/>
        <v>21778467.133572862</v>
      </c>
      <c r="F213" s="44"/>
      <c r="G213" s="44"/>
      <c r="H213" s="44"/>
      <c r="I213" s="44"/>
      <c r="J213" s="44"/>
      <c r="K213" s="44"/>
      <c r="L213" s="44"/>
      <c r="M213" s="44"/>
      <c r="N213" s="44">
        <v>12577506.747122848</v>
      </c>
      <c r="O213" s="44"/>
      <c r="P213" s="44">
        <v>6530286.391699004</v>
      </c>
      <c r="Q213" s="44">
        <v>0</v>
      </c>
      <c r="R213" s="44">
        <v>2035040.5872914458</v>
      </c>
      <c r="S213" s="68">
        <v>217784.67133572866</v>
      </c>
      <c r="T213" s="136">
        <v>417848.73612383782</v>
      </c>
      <c r="U213" s="24">
        <f t="shared" si="22"/>
        <v>2</v>
      </c>
    </row>
    <row r="214" spans="1:22" x14ac:dyDescent="0.25">
      <c r="A214" s="135">
        <f t="shared" si="70"/>
        <v>197</v>
      </c>
      <c r="B214" s="134">
        <f t="shared" si="71"/>
        <v>9</v>
      </c>
      <c r="C214" s="77"/>
      <c r="D214" s="77" t="s">
        <v>598</v>
      </c>
      <c r="E214" s="129">
        <f t="shared" si="69"/>
        <v>24576346.384432133</v>
      </c>
      <c r="F214" s="44"/>
      <c r="G214" s="44"/>
      <c r="H214" s="44"/>
      <c r="I214" s="44"/>
      <c r="J214" s="44"/>
      <c r="K214" s="44"/>
      <c r="L214" s="44"/>
      <c r="M214" s="44"/>
      <c r="N214" s="44">
        <v>14193338.795332951</v>
      </c>
      <c r="O214" s="44"/>
      <c r="P214" s="44">
        <v>7369232.1579663381</v>
      </c>
      <c r="Q214" s="44">
        <v>0</v>
      </c>
      <c r="R214" s="44">
        <v>2296482.2121274676</v>
      </c>
      <c r="S214" s="68">
        <v>245763.46384432129</v>
      </c>
      <c r="T214" s="136">
        <v>471529.75516105129</v>
      </c>
      <c r="U214" s="24">
        <f t="shared" si="22"/>
        <v>2</v>
      </c>
    </row>
    <row r="215" spans="1:22" x14ac:dyDescent="0.25">
      <c r="A215" s="135">
        <f t="shared" si="70"/>
        <v>198</v>
      </c>
      <c r="B215" s="134">
        <f t="shared" si="71"/>
        <v>10</v>
      </c>
      <c r="C215" s="77"/>
      <c r="D215" s="77" t="s">
        <v>600</v>
      </c>
      <c r="E215" s="129">
        <f t="shared" ref="E215:E296" si="72">SUBTOTAL(9,F215:T215)</f>
        <v>22966511.338083457</v>
      </c>
      <c r="F215" s="44"/>
      <c r="G215" s="44"/>
      <c r="H215" s="44"/>
      <c r="I215" s="44"/>
      <c r="J215" s="44"/>
      <c r="K215" s="44"/>
      <c r="L215" s="44"/>
      <c r="M215" s="44"/>
      <c r="N215" s="44">
        <v>13263626.385684425</v>
      </c>
      <c r="O215" s="44"/>
      <c r="P215" s="44">
        <v>6886522.1567723183</v>
      </c>
      <c r="Q215" s="44">
        <v>0</v>
      </c>
      <c r="R215" s="44">
        <v>2146054.7445710632</v>
      </c>
      <c r="S215" s="68">
        <v>229665.11338083458</v>
      </c>
      <c r="T215" s="136">
        <v>440642.93767481536</v>
      </c>
      <c r="U215" s="24">
        <f t="shared" ref="U215:U296" si="73">COUNTIF(F215:Q215,"&gt;0")</f>
        <v>2</v>
      </c>
    </row>
    <row r="216" spans="1:22" x14ac:dyDescent="0.25">
      <c r="A216" s="135">
        <f t="shared" si="70"/>
        <v>199</v>
      </c>
      <c r="B216" s="134">
        <f t="shared" si="71"/>
        <v>11</v>
      </c>
      <c r="C216" s="77"/>
      <c r="D216" s="77" t="s">
        <v>602</v>
      </c>
      <c r="E216" s="129">
        <f t="shared" si="72"/>
        <v>22903242.711807746</v>
      </c>
      <c r="F216" s="44"/>
      <c r="G216" s="44"/>
      <c r="H216" s="44"/>
      <c r="I216" s="44"/>
      <c r="J216" s="44"/>
      <c r="K216" s="44"/>
      <c r="L216" s="44"/>
      <c r="M216" s="44"/>
      <c r="N216" s="44">
        <v>13227087.470021382</v>
      </c>
      <c r="O216" s="44"/>
      <c r="P216" s="44">
        <v>6867551.0213542134</v>
      </c>
      <c r="Q216" s="44">
        <v>0</v>
      </c>
      <c r="R216" s="44">
        <v>2140142.7480295449</v>
      </c>
      <c r="S216" s="68">
        <v>229032.42711807747</v>
      </c>
      <c r="T216" s="136">
        <v>439429.04528452666</v>
      </c>
      <c r="U216" s="24">
        <f t="shared" si="73"/>
        <v>2</v>
      </c>
    </row>
    <row r="217" spans="1:22" x14ac:dyDescent="0.25">
      <c r="A217" s="135">
        <f t="shared" si="70"/>
        <v>200</v>
      </c>
      <c r="B217" s="134">
        <f t="shared" si="71"/>
        <v>12</v>
      </c>
      <c r="C217" s="77"/>
      <c r="D217" s="77" t="s">
        <v>603</v>
      </c>
      <c r="E217" s="129">
        <f t="shared" si="72"/>
        <v>22818884.54344013</v>
      </c>
      <c r="F217" s="44"/>
      <c r="G217" s="44"/>
      <c r="H217" s="44"/>
      <c r="I217" s="44"/>
      <c r="J217" s="44"/>
      <c r="K217" s="44"/>
      <c r="L217" s="44"/>
      <c r="M217" s="44"/>
      <c r="N217" s="44">
        <v>13178368.915803995</v>
      </c>
      <c r="O217" s="44"/>
      <c r="P217" s="44">
        <v>6842256.1741300728</v>
      </c>
      <c r="Q217" s="44">
        <v>0</v>
      </c>
      <c r="R217" s="44">
        <v>2132260.0859741876</v>
      </c>
      <c r="S217" s="68">
        <v>228188.8454344013</v>
      </c>
      <c r="T217" s="136">
        <v>437810.52209747501</v>
      </c>
      <c r="U217" s="24">
        <f t="shared" si="73"/>
        <v>2</v>
      </c>
    </row>
    <row r="218" spans="1:22" x14ac:dyDescent="0.25">
      <c r="A218" s="135">
        <f t="shared" si="70"/>
        <v>201</v>
      </c>
      <c r="B218" s="134">
        <f t="shared" si="71"/>
        <v>13</v>
      </c>
      <c r="C218" s="77"/>
      <c r="D218" s="77" t="s">
        <v>604</v>
      </c>
      <c r="E218" s="129">
        <f t="shared" si="72"/>
        <v>15360216.49027008</v>
      </c>
      <c r="F218" s="44"/>
      <c r="G218" s="44"/>
      <c r="H218" s="44"/>
      <c r="I218" s="44"/>
      <c r="J218" s="44"/>
      <c r="K218" s="44"/>
      <c r="L218" s="44"/>
      <c r="M218" s="44"/>
      <c r="N218" s="44">
        <v>8870836.747083094</v>
      </c>
      <c r="O218" s="44"/>
      <c r="P218" s="44">
        <v>4605770.0987289613</v>
      </c>
      <c r="Q218" s="44">
        <v>0</v>
      </c>
      <c r="R218" s="44">
        <v>1435301.3825796675</v>
      </c>
      <c r="S218" s="68">
        <v>153602.16490270081</v>
      </c>
      <c r="T218" s="136">
        <v>294706.0969756571</v>
      </c>
      <c r="U218" s="24">
        <f t="shared" si="73"/>
        <v>2</v>
      </c>
    </row>
    <row r="219" spans="1:22" x14ac:dyDescent="0.25">
      <c r="A219" s="135">
        <f t="shared" si="70"/>
        <v>202</v>
      </c>
      <c r="B219" s="134">
        <f t="shared" si="71"/>
        <v>14</v>
      </c>
      <c r="C219" s="77" t="s">
        <v>545</v>
      </c>
      <c r="D219" s="77" t="s">
        <v>127</v>
      </c>
      <c r="E219" s="129">
        <f t="shared" si="72"/>
        <v>2774182.8301903871</v>
      </c>
      <c r="F219" s="44">
        <v>0</v>
      </c>
      <c r="G219" s="44">
        <v>0</v>
      </c>
      <c r="H219" s="44">
        <v>2714815.3176243128</v>
      </c>
      <c r="I219" s="44">
        <v>0</v>
      </c>
      <c r="J219" s="44">
        <v>0</v>
      </c>
      <c r="K219" s="44"/>
      <c r="L219" s="44"/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/>
      <c r="S219" s="68"/>
      <c r="T219" s="136">
        <v>59367.512566074292</v>
      </c>
      <c r="U219" s="24">
        <f t="shared" si="73"/>
        <v>1</v>
      </c>
    </row>
    <row r="220" spans="1:22" x14ac:dyDescent="0.25">
      <c r="A220" s="135">
        <f t="shared" si="70"/>
        <v>203</v>
      </c>
      <c r="B220" s="134">
        <f t="shared" si="71"/>
        <v>15</v>
      </c>
      <c r="C220" s="77" t="s">
        <v>545</v>
      </c>
      <c r="D220" s="77" t="s">
        <v>128</v>
      </c>
      <c r="E220" s="129">
        <f t="shared" si="72"/>
        <v>1941089.6798392318</v>
      </c>
      <c r="F220" s="44"/>
      <c r="G220" s="44">
        <v>0</v>
      </c>
      <c r="H220" s="44">
        <v>1899550.3606906722</v>
      </c>
      <c r="I220" s="44">
        <v>0</v>
      </c>
      <c r="J220" s="44">
        <v>0</v>
      </c>
      <c r="K220" s="44"/>
      <c r="L220" s="44"/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/>
      <c r="S220" s="68"/>
      <c r="T220" s="136">
        <v>41539.31914855956</v>
      </c>
      <c r="U220" s="24">
        <f t="shared" si="73"/>
        <v>1</v>
      </c>
    </row>
    <row r="221" spans="1:22" x14ac:dyDescent="0.25">
      <c r="A221" s="135">
        <f t="shared" si="70"/>
        <v>204</v>
      </c>
      <c r="B221" s="134">
        <f t="shared" si="71"/>
        <v>16</v>
      </c>
      <c r="C221" s="77" t="s">
        <v>545</v>
      </c>
      <c r="D221" s="77" t="s">
        <v>131</v>
      </c>
      <c r="E221" s="129">
        <f t="shared" si="72"/>
        <v>3942804.3934862674</v>
      </c>
      <c r="F221" s="44"/>
      <c r="G221" s="44"/>
      <c r="H221" s="44">
        <v>3492077.6109207738</v>
      </c>
      <c r="I221" s="44"/>
      <c r="J221" s="44">
        <v>0</v>
      </c>
      <c r="K221" s="44"/>
      <c r="L221" s="44"/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/>
      <c r="S221" s="68"/>
      <c r="T221" s="136">
        <v>450726.78256549343</v>
      </c>
      <c r="U221" s="24">
        <f t="shared" si="73"/>
        <v>1</v>
      </c>
    </row>
    <row r="222" spans="1:22" x14ac:dyDescent="0.25">
      <c r="A222" s="135">
        <f t="shared" si="70"/>
        <v>205</v>
      </c>
      <c r="B222" s="134">
        <f t="shared" si="71"/>
        <v>17</v>
      </c>
      <c r="C222" s="77" t="s">
        <v>545</v>
      </c>
      <c r="D222" s="77" t="s">
        <v>129</v>
      </c>
      <c r="E222" s="129">
        <f t="shared" si="72"/>
        <v>2933317.4926648322</v>
      </c>
      <c r="F222" s="44">
        <v>0</v>
      </c>
      <c r="G222" s="44">
        <v>0</v>
      </c>
      <c r="H222" s="44">
        <v>2870544.4983218047</v>
      </c>
      <c r="I222" s="44">
        <v>0</v>
      </c>
      <c r="J222" s="44">
        <v>0</v>
      </c>
      <c r="K222" s="44"/>
      <c r="L222" s="44"/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/>
      <c r="S222" s="68"/>
      <c r="T222" s="136">
        <v>62772.994343027407</v>
      </c>
      <c r="U222" s="24">
        <f t="shared" si="73"/>
        <v>1</v>
      </c>
    </row>
    <row r="223" spans="1:22" x14ac:dyDescent="0.25">
      <c r="A223" s="135">
        <f t="shared" si="70"/>
        <v>206</v>
      </c>
      <c r="B223" s="134">
        <f t="shared" si="71"/>
        <v>18</v>
      </c>
      <c r="C223" s="77" t="s">
        <v>545</v>
      </c>
      <c r="D223" s="77" t="s">
        <v>281</v>
      </c>
      <c r="E223" s="129">
        <f t="shared" si="72"/>
        <v>6651991.1786065921</v>
      </c>
      <c r="F223" s="44"/>
      <c r="G223" s="44"/>
      <c r="H223" s="44">
        <v>6509638.5673844106</v>
      </c>
      <c r="I223" s="44"/>
      <c r="J223" s="44"/>
      <c r="K223" s="44"/>
      <c r="L223" s="44"/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/>
      <c r="S223" s="68"/>
      <c r="T223" s="136">
        <v>142352.61122218109</v>
      </c>
      <c r="U223" s="24">
        <f t="shared" si="73"/>
        <v>1</v>
      </c>
    </row>
    <row r="224" spans="1:22" x14ac:dyDescent="0.25">
      <c r="A224" s="135">
        <f t="shared" si="70"/>
        <v>207</v>
      </c>
      <c r="B224" s="134">
        <f t="shared" si="71"/>
        <v>19</v>
      </c>
      <c r="C224" s="77" t="s">
        <v>545</v>
      </c>
      <c r="D224" s="77" t="s">
        <v>133</v>
      </c>
      <c r="E224" s="129">
        <f t="shared" si="72"/>
        <v>2815397.6870522881</v>
      </c>
      <c r="F224" s="44"/>
      <c r="G224" s="44"/>
      <c r="H224" s="44">
        <v>2755148.176549369</v>
      </c>
      <c r="I224" s="44"/>
      <c r="J224" s="44"/>
      <c r="K224" s="44"/>
      <c r="L224" s="44"/>
      <c r="M224" s="44">
        <v>0</v>
      </c>
      <c r="N224" s="44">
        <v>0</v>
      </c>
      <c r="O224" s="44"/>
      <c r="P224" s="44">
        <v>0</v>
      </c>
      <c r="Q224" s="44">
        <v>0</v>
      </c>
      <c r="R224" s="44"/>
      <c r="S224" s="68"/>
      <c r="T224" s="136">
        <v>60249.510502918965</v>
      </c>
      <c r="U224" s="24">
        <f t="shared" si="73"/>
        <v>1</v>
      </c>
    </row>
    <row r="225" spans="1:22" x14ac:dyDescent="0.25">
      <c r="A225" s="135">
        <f t="shared" si="70"/>
        <v>208</v>
      </c>
      <c r="B225" s="134">
        <f t="shared" si="71"/>
        <v>20</v>
      </c>
      <c r="C225" s="77" t="s">
        <v>545</v>
      </c>
      <c r="D225" s="77" t="s">
        <v>282</v>
      </c>
      <c r="E225" s="129">
        <f t="shared" si="72"/>
        <v>5085565.8713689661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/>
      <c r="L225" s="44"/>
      <c r="M225" s="44">
        <v>0</v>
      </c>
      <c r="N225" s="44">
        <v>0</v>
      </c>
      <c r="O225" s="44">
        <v>0</v>
      </c>
      <c r="P225" s="44">
        <v>4644971.0999999996</v>
      </c>
      <c r="Q225" s="44">
        <v>0</v>
      </c>
      <c r="R225" s="81"/>
      <c r="S225" s="81"/>
      <c r="T225" s="136">
        <v>440594.77136896638</v>
      </c>
      <c r="U225" s="24">
        <f t="shared" si="73"/>
        <v>1</v>
      </c>
      <c r="V225" s="1" t="s">
        <v>711</v>
      </c>
    </row>
    <row r="226" spans="1:22" x14ac:dyDescent="0.25">
      <c r="A226" s="135">
        <f t="shared" si="70"/>
        <v>209</v>
      </c>
      <c r="B226" s="134">
        <f t="shared" si="71"/>
        <v>21</v>
      </c>
      <c r="C226" s="77"/>
      <c r="D226" s="77" t="s">
        <v>746</v>
      </c>
      <c r="E226" s="129">
        <f t="shared" si="72"/>
        <v>29033939.039601605</v>
      </c>
      <c r="F226" s="44"/>
      <c r="G226" s="44"/>
      <c r="H226" s="44"/>
      <c r="I226" s="44"/>
      <c r="J226" s="44"/>
      <c r="K226" s="44"/>
      <c r="L226" s="44"/>
      <c r="M226" s="44"/>
      <c r="N226" s="44">
        <v>25571351.469738718</v>
      </c>
      <c r="O226" s="44">
        <v>0</v>
      </c>
      <c r="P226" s="44"/>
      <c r="Q226" s="44"/>
      <c r="R226" s="81">
        <v>2613054.5135641443</v>
      </c>
      <c r="S226" s="81">
        <v>290339.39039601607</v>
      </c>
      <c r="T226" s="136">
        <v>559193.66590272693</v>
      </c>
      <c r="U226" s="24"/>
    </row>
    <row r="227" spans="1:22" x14ac:dyDescent="0.25">
      <c r="A227" s="135">
        <f t="shared" si="70"/>
        <v>210</v>
      </c>
      <c r="B227" s="134">
        <f t="shared" si="71"/>
        <v>22</v>
      </c>
      <c r="C227" s="77" t="s">
        <v>545</v>
      </c>
      <c r="D227" s="77" t="s">
        <v>43</v>
      </c>
      <c r="E227" s="129">
        <f t="shared" si="72"/>
        <v>3925263.292793856</v>
      </c>
      <c r="F227" s="44">
        <v>0</v>
      </c>
      <c r="G227" s="44">
        <v>0</v>
      </c>
      <c r="H227" s="44">
        <v>3841262.6583280675</v>
      </c>
      <c r="I227" s="44">
        <v>0</v>
      </c>
      <c r="J227" s="44">
        <v>0</v>
      </c>
      <c r="K227" s="44"/>
      <c r="L227" s="44"/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/>
      <c r="S227" s="68"/>
      <c r="T227" s="136">
        <v>84000.634465788535</v>
      </c>
      <c r="U227" s="24">
        <f t="shared" si="73"/>
        <v>1</v>
      </c>
    </row>
    <row r="228" spans="1:22" x14ac:dyDescent="0.25">
      <c r="A228" s="135">
        <f t="shared" si="70"/>
        <v>211</v>
      </c>
      <c r="B228" s="134">
        <f t="shared" si="71"/>
        <v>23</v>
      </c>
      <c r="C228" s="77" t="s">
        <v>545</v>
      </c>
      <c r="D228" s="77" t="s">
        <v>136</v>
      </c>
      <c r="E228" s="129">
        <f t="shared" si="72"/>
        <v>34187098.075670823</v>
      </c>
      <c r="F228" s="44">
        <v>24967938.10343796</v>
      </c>
      <c r="G228" s="44">
        <v>0</v>
      </c>
      <c r="H228" s="44">
        <v>7378265.4321645685</v>
      </c>
      <c r="I228" s="44">
        <v>0</v>
      </c>
      <c r="J228" s="44">
        <v>0</v>
      </c>
      <c r="K228" s="44"/>
      <c r="L228" s="44">
        <v>1109290.6412489424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/>
      <c r="S228" s="68"/>
      <c r="T228" s="136">
        <v>731603.89881935576</v>
      </c>
      <c r="U228" s="24">
        <f t="shared" si="73"/>
        <v>3</v>
      </c>
    </row>
    <row r="229" spans="1:22" x14ac:dyDescent="0.25">
      <c r="A229" s="135">
        <f t="shared" si="70"/>
        <v>212</v>
      </c>
      <c r="B229" s="134">
        <f t="shared" si="71"/>
        <v>24</v>
      </c>
      <c r="C229" s="77" t="s">
        <v>545</v>
      </c>
      <c r="D229" s="77" t="s">
        <v>141</v>
      </c>
      <c r="E229" s="129">
        <f t="shared" si="72"/>
        <v>4356885.5964561403</v>
      </c>
      <c r="F229" s="44">
        <v>3825570</v>
      </c>
      <c r="G229" s="44"/>
      <c r="H229" s="44"/>
      <c r="I229" s="44">
        <v>0</v>
      </c>
      <c r="J229" s="44">
        <v>0</v>
      </c>
      <c r="K229" s="44"/>
      <c r="L229" s="44"/>
      <c r="M229" s="44"/>
      <c r="N229" s="44"/>
      <c r="O229" s="44">
        <v>0</v>
      </c>
      <c r="P229" s="44">
        <v>0</v>
      </c>
      <c r="Q229" s="44">
        <v>0</v>
      </c>
      <c r="R229" s="44"/>
      <c r="S229" s="68"/>
      <c r="T229" s="136">
        <v>531315.59645614028</v>
      </c>
      <c r="U229" s="24">
        <f t="shared" si="73"/>
        <v>1</v>
      </c>
      <c r="V229" s="1" t="s">
        <v>711</v>
      </c>
    </row>
    <row r="230" spans="1:22" x14ac:dyDescent="0.25">
      <c r="A230" s="135">
        <f t="shared" si="70"/>
        <v>213</v>
      </c>
      <c r="B230" s="134">
        <f t="shared" si="71"/>
        <v>25</v>
      </c>
      <c r="C230" s="77" t="s">
        <v>545</v>
      </c>
      <c r="D230" s="77" t="s">
        <v>286</v>
      </c>
      <c r="E230" s="129">
        <f t="shared" si="72"/>
        <v>5964947.0233067526</v>
      </c>
      <c r="F230" s="44"/>
      <c r="G230" s="44"/>
      <c r="H230" s="44">
        <v>5837297.1570079876</v>
      </c>
      <c r="I230" s="44"/>
      <c r="J230" s="44"/>
      <c r="K230" s="44"/>
      <c r="L230" s="44"/>
      <c r="M230" s="44"/>
      <c r="N230" s="44"/>
      <c r="O230" s="44"/>
      <c r="P230" s="44">
        <v>0</v>
      </c>
      <c r="Q230" s="44">
        <v>0</v>
      </c>
      <c r="R230" s="44"/>
      <c r="S230" s="68"/>
      <c r="T230" s="136">
        <v>127649.86629876452</v>
      </c>
      <c r="U230" s="24">
        <f t="shared" si="73"/>
        <v>1</v>
      </c>
    </row>
    <row r="231" spans="1:22" x14ac:dyDescent="0.25">
      <c r="A231" s="135">
        <f t="shared" si="70"/>
        <v>214</v>
      </c>
      <c r="B231" s="134">
        <f t="shared" si="71"/>
        <v>26</v>
      </c>
      <c r="C231" s="77" t="s">
        <v>545</v>
      </c>
      <c r="D231" s="77" t="s">
        <v>287</v>
      </c>
      <c r="E231" s="129">
        <f t="shared" si="72"/>
        <v>4916517.9743421944</v>
      </c>
      <c r="F231" s="44"/>
      <c r="G231" s="44"/>
      <c r="H231" s="44"/>
      <c r="I231" s="44"/>
      <c r="J231" s="44">
        <v>0</v>
      </c>
      <c r="K231" s="44"/>
      <c r="L231" s="44"/>
      <c r="M231" s="44">
        <v>0</v>
      </c>
      <c r="N231" s="44">
        <v>0</v>
      </c>
      <c r="O231" s="44">
        <v>3968655.74</v>
      </c>
      <c r="P231" s="44">
        <v>0</v>
      </c>
      <c r="Q231" s="44">
        <v>0</v>
      </c>
      <c r="R231" s="44"/>
      <c r="S231" s="68"/>
      <c r="T231" s="136">
        <v>947862.23434219416</v>
      </c>
      <c r="U231" s="24">
        <f t="shared" si="73"/>
        <v>1</v>
      </c>
      <c r="V231" s="1" t="s">
        <v>711</v>
      </c>
    </row>
    <row r="232" spans="1:22" x14ac:dyDescent="0.25">
      <c r="A232" s="135">
        <f t="shared" si="70"/>
        <v>215</v>
      </c>
      <c r="B232" s="134">
        <f t="shared" si="71"/>
        <v>27</v>
      </c>
      <c r="C232" s="77" t="s">
        <v>545</v>
      </c>
      <c r="D232" s="77" t="s">
        <v>288</v>
      </c>
      <c r="E232" s="129">
        <f t="shared" si="72"/>
        <v>1476035.4285397425</v>
      </c>
      <c r="F232" s="44"/>
      <c r="G232" s="44"/>
      <c r="H232" s="44">
        <v>942849.34432128002</v>
      </c>
      <c r="I232" s="44"/>
      <c r="J232" s="44">
        <v>0</v>
      </c>
      <c r="K232" s="44"/>
      <c r="L232" s="44"/>
      <c r="M232" s="44">
        <v>0</v>
      </c>
      <c r="N232" s="44">
        <v>0</v>
      </c>
      <c r="O232" s="44"/>
      <c r="P232" s="44">
        <v>0</v>
      </c>
      <c r="Q232" s="44">
        <v>0</v>
      </c>
      <c r="R232" s="44"/>
      <c r="S232" s="68"/>
      <c r="T232" s="136">
        <v>533186.08421846246</v>
      </c>
      <c r="U232" s="24">
        <f t="shared" si="73"/>
        <v>1</v>
      </c>
    </row>
    <row r="233" spans="1:22" x14ac:dyDescent="0.25">
      <c r="A233" s="135">
        <f t="shared" si="70"/>
        <v>216</v>
      </c>
      <c r="B233" s="134">
        <f t="shared" si="71"/>
        <v>28</v>
      </c>
      <c r="C233" s="77" t="s">
        <v>545</v>
      </c>
      <c r="D233" s="77" t="s">
        <v>290</v>
      </c>
      <c r="E233" s="129">
        <f t="shared" si="72"/>
        <v>2204474.695667712</v>
      </c>
      <c r="F233" s="44"/>
      <c r="G233" s="44"/>
      <c r="H233" s="44">
        <v>2157298.9371804232</v>
      </c>
      <c r="I233" s="44"/>
      <c r="J233" s="44">
        <v>0</v>
      </c>
      <c r="K233" s="44"/>
      <c r="L233" s="44"/>
      <c r="M233" s="44">
        <v>0</v>
      </c>
      <c r="N233" s="44">
        <v>0</v>
      </c>
      <c r="O233" s="44"/>
      <c r="P233" s="44">
        <v>0</v>
      </c>
      <c r="Q233" s="44">
        <v>0</v>
      </c>
      <c r="R233" s="44"/>
      <c r="S233" s="68"/>
      <c r="T233" s="136">
        <v>47175.758487289037</v>
      </c>
      <c r="U233" s="24">
        <f t="shared" si="73"/>
        <v>1</v>
      </c>
    </row>
    <row r="234" spans="1:22" x14ac:dyDescent="0.25">
      <c r="A234" s="135">
        <f t="shared" si="70"/>
        <v>217</v>
      </c>
      <c r="B234" s="134">
        <f t="shared" si="71"/>
        <v>29</v>
      </c>
      <c r="C234" s="77" t="s">
        <v>545</v>
      </c>
      <c r="D234" s="77" t="s">
        <v>291</v>
      </c>
      <c r="E234" s="129">
        <f t="shared" si="72"/>
        <v>1338332.7178491487</v>
      </c>
      <c r="F234" s="44"/>
      <c r="G234" s="44"/>
      <c r="H234" s="44"/>
      <c r="I234" s="44"/>
      <c r="J234" s="44"/>
      <c r="K234" s="44"/>
      <c r="L234" s="44"/>
      <c r="M234" s="44">
        <v>0</v>
      </c>
      <c r="N234" s="44">
        <v>0</v>
      </c>
      <c r="O234" s="44">
        <v>1088656.8700000001</v>
      </c>
      <c r="P234" s="44">
        <v>0</v>
      </c>
      <c r="Q234" s="44">
        <v>0</v>
      </c>
      <c r="R234" s="44"/>
      <c r="S234" s="68"/>
      <c r="T234" s="136">
        <v>249675.84784914847</v>
      </c>
      <c r="U234" s="24">
        <f t="shared" si="73"/>
        <v>1</v>
      </c>
      <c r="V234" s="1" t="s">
        <v>711</v>
      </c>
    </row>
    <row r="235" spans="1:22" x14ac:dyDescent="0.25">
      <c r="A235" s="135">
        <f t="shared" si="70"/>
        <v>218</v>
      </c>
      <c r="B235" s="134">
        <f t="shared" si="71"/>
        <v>30</v>
      </c>
      <c r="C235" s="77" t="s">
        <v>545</v>
      </c>
      <c r="D235" s="77" t="s">
        <v>61</v>
      </c>
      <c r="E235" s="129">
        <f>SUBTOTAL(9,F235:T235)</f>
        <v>1025546.3535245289</v>
      </c>
      <c r="F235" s="44"/>
      <c r="G235" s="44">
        <v>953472.79</v>
      </c>
      <c r="H235" s="44">
        <v>0</v>
      </c>
      <c r="I235" s="44"/>
      <c r="J235" s="44">
        <v>0</v>
      </c>
      <c r="K235" s="44"/>
      <c r="L235" s="44"/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/>
      <c r="S235" s="68"/>
      <c r="T235" s="136">
        <v>72073.563524528814</v>
      </c>
      <c r="U235" s="24">
        <f>COUNTIF(F235:Q235,"&gt;0")</f>
        <v>1</v>
      </c>
    </row>
    <row r="236" spans="1:22" x14ac:dyDescent="0.25">
      <c r="A236" s="135">
        <f t="shared" si="70"/>
        <v>219</v>
      </c>
      <c r="B236" s="134">
        <f t="shared" si="71"/>
        <v>31</v>
      </c>
      <c r="C236" s="77" t="s">
        <v>545</v>
      </c>
      <c r="D236" s="77" t="s">
        <v>292</v>
      </c>
      <c r="E236" s="129">
        <f t="shared" si="72"/>
        <v>2354342.2921141018</v>
      </c>
      <c r="F236" s="44"/>
      <c r="G236" s="44"/>
      <c r="H236" s="44">
        <v>1971493.3699526463</v>
      </c>
      <c r="I236" s="44"/>
      <c r="J236" s="44">
        <v>0</v>
      </c>
      <c r="K236" s="44"/>
      <c r="L236" s="44"/>
      <c r="M236" s="44">
        <v>0</v>
      </c>
      <c r="N236" s="44">
        <v>0</v>
      </c>
      <c r="O236" s="44"/>
      <c r="P236" s="44">
        <v>0</v>
      </c>
      <c r="Q236" s="44">
        <v>0</v>
      </c>
      <c r="R236" s="44"/>
      <c r="S236" s="68"/>
      <c r="T236" s="136">
        <v>382848.92216145538</v>
      </c>
      <c r="U236" s="24">
        <f t="shared" si="73"/>
        <v>1</v>
      </c>
    </row>
    <row r="237" spans="1:22" x14ac:dyDescent="0.25">
      <c r="A237" s="135">
        <f t="shared" si="70"/>
        <v>220</v>
      </c>
      <c r="B237" s="134">
        <f t="shared" si="71"/>
        <v>32</v>
      </c>
      <c r="C237" s="77" t="s">
        <v>545</v>
      </c>
      <c r="D237" s="77" t="s">
        <v>296</v>
      </c>
      <c r="E237" s="129">
        <f t="shared" si="72"/>
        <v>1852088.6992158722</v>
      </c>
      <c r="F237" s="44"/>
      <c r="G237" s="44"/>
      <c r="H237" s="44">
        <v>1812454.0010526525</v>
      </c>
      <c r="I237" s="44"/>
      <c r="J237" s="44"/>
      <c r="K237" s="44"/>
      <c r="L237" s="44"/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/>
      <c r="S237" s="68"/>
      <c r="T237" s="136">
        <v>39634.698163219669</v>
      </c>
      <c r="U237" s="24">
        <f t="shared" si="73"/>
        <v>1</v>
      </c>
    </row>
    <row r="238" spans="1:22" x14ac:dyDescent="0.25">
      <c r="A238" s="135">
        <f t="shared" si="70"/>
        <v>221</v>
      </c>
      <c r="B238" s="134">
        <f t="shared" si="71"/>
        <v>33</v>
      </c>
      <c r="C238" s="77" t="s">
        <v>545</v>
      </c>
      <c r="D238" s="77" t="s">
        <v>297</v>
      </c>
      <c r="E238" s="129">
        <f t="shared" si="72"/>
        <v>3347402.022785434</v>
      </c>
      <c r="F238" s="44"/>
      <c r="G238" s="44"/>
      <c r="H238" s="44">
        <v>3275767.6194978259</v>
      </c>
      <c r="I238" s="44"/>
      <c r="J238" s="44"/>
      <c r="K238" s="44"/>
      <c r="L238" s="44"/>
      <c r="M238" s="44"/>
      <c r="N238" s="44"/>
      <c r="O238" s="44">
        <v>0</v>
      </c>
      <c r="P238" s="44">
        <v>0</v>
      </c>
      <c r="Q238" s="44">
        <v>0</v>
      </c>
      <c r="R238" s="44"/>
      <c r="S238" s="68"/>
      <c r="T238" s="136">
        <v>71634.403287608293</v>
      </c>
      <c r="U238" s="24">
        <f t="shared" si="73"/>
        <v>1</v>
      </c>
    </row>
    <row r="239" spans="1:22" x14ac:dyDescent="0.25">
      <c r="A239" s="135">
        <f t="shared" si="70"/>
        <v>222</v>
      </c>
      <c r="B239" s="134">
        <f t="shared" si="71"/>
        <v>34</v>
      </c>
      <c r="C239" s="77" t="s">
        <v>545</v>
      </c>
      <c r="D239" s="77" t="s">
        <v>153</v>
      </c>
      <c r="E239" s="129">
        <f t="shared" si="72"/>
        <v>5076500.6375817275</v>
      </c>
      <c r="F239" s="44"/>
      <c r="G239" s="44"/>
      <c r="H239" s="44">
        <v>4496173.9029232748</v>
      </c>
      <c r="I239" s="44"/>
      <c r="J239" s="44">
        <v>0</v>
      </c>
      <c r="K239" s="44"/>
      <c r="L239" s="44"/>
      <c r="M239" s="44">
        <v>0</v>
      </c>
      <c r="N239" s="44">
        <v>0</v>
      </c>
      <c r="O239" s="44"/>
      <c r="P239" s="44">
        <v>0</v>
      </c>
      <c r="Q239" s="44">
        <v>0</v>
      </c>
      <c r="R239" s="44"/>
      <c r="S239" s="68"/>
      <c r="T239" s="136">
        <v>580326.73465845292</v>
      </c>
      <c r="U239" s="24">
        <f t="shared" si="73"/>
        <v>1</v>
      </c>
    </row>
    <row r="240" spans="1:22" x14ac:dyDescent="0.25">
      <c r="A240" s="135">
        <f t="shared" si="70"/>
        <v>223</v>
      </c>
      <c r="B240" s="134">
        <f t="shared" si="71"/>
        <v>35</v>
      </c>
      <c r="C240" s="77" t="s">
        <v>545</v>
      </c>
      <c r="D240" s="77" t="s">
        <v>155</v>
      </c>
      <c r="E240" s="129">
        <f t="shared" si="72"/>
        <v>3746079.1046375427</v>
      </c>
      <c r="F240" s="44">
        <v>0</v>
      </c>
      <c r="G240" s="44">
        <v>0</v>
      </c>
      <c r="H240" s="44">
        <v>3665913.0117982994</v>
      </c>
      <c r="I240" s="44">
        <v>0</v>
      </c>
      <c r="J240" s="44">
        <v>0</v>
      </c>
      <c r="K240" s="44"/>
      <c r="L240" s="44"/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/>
      <c r="S240" s="68"/>
      <c r="T240" s="136">
        <v>80166.092839243414</v>
      </c>
      <c r="U240" s="24">
        <f t="shared" si="73"/>
        <v>1</v>
      </c>
    </row>
    <row r="241" spans="1:21" x14ac:dyDescent="0.25">
      <c r="A241" s="135">
        <f t="shared" si="70"/>
        <v>224</v>
      </c>
      <c r="B241" s="134">
        <f t="shared" si="71"/>
        <v>36</v>
      </c>
      <c r="C241" s="77" t="s">
        <v>545</v>
      </c>
      <c r="D241" s="77" t="s">
        <v>163</v>
      </c>
      <c r="E241" s="129">
        <f t="shared" si="72"/>
        <v>7991588.1893740799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/>
      <c r="L241" s="44"/>
      <c r="M241" s="44">
        <v>0</v>
      </c>
      <c r="N241" s="44">
        <v>6927622.9400000004</v>
      </c>
      <c r="O241" s="44">
        <v>0</v>
      </c>
      <c r="P241" s="44"/>
      <c r="Q241" s="44">
        <v>0</v>
      </c>
      <c r="R241" s="44"/>
      <c r="S241" s="68"/>
      <c r="T241" s="136">
        <v>1063965.2493740798</v>
      </c>
      <c r="U241" s="24">
        <f t="shared" si="73"/>
        <v>1</v>
      </c>
    </row>
    <row r="242" spans="1:21" x14ac:dyDescent="0.25">
      <c r="A242" s="135">
        <f t="shared" si="70"/>
        <v>225</v>
      </c>
      <c r="B242" s="134">
        <f t="shared" si="71"/>
        <v>37</v>
      </c>
      <c r="C242" s="77" t="s">
        <v>545</v>
      </c>
      <c r="D242" s="77" t="s">
        <v>300</v>
      </c>
      <c r="E242" s="129">
        <f t="shared" si="72"/>
        <v>5935901.4009709377</v>
      </c>
      <c r="F242" s="44">
        <v>5754660.8418093584</v>
      </c>
      <c r="G242" s="44"/>
      <c r="H242" s="44">
        <v>0</v>
      </c>
      <c r="I242" s="44">
        <v>0</v>
      </c>
      <c r="J242" s="44">
        <v>0</v>
      </c>
      <c r="K242" s="44"/>
      <c r="L242" s="44"/>
      <c r="M242" s="44"/>
      <c r="N242" s="44"/>
      <c r="O242" s="44"/>
      <c r="P242" s="44"/>
      <c r="Q242" s="44">
        <v>0</v>
      </c>
      <c r="R242" s="44"/>
      <c r="S242" s="68"/>
      <c r="T242" s="136">
        <v>181240.55916157967</v>
      </c>
      <c r="U242" s="24">
        <f t="shared" si="73"/>
        <v>1</v>
      </c>
    </row>
    <row r="243" spans="1:21" x14ac:dyDescent="0.25">
      <c r="A243" s="135">
        <f t="shared" si="70"/>
        <v>226</v>
      </c>
      <c r="B243" s="134">
        <f t="shared" si="71"/>
        <v>38</v>
      </c>
      <c r="C243" s="77" t="s">
        <v>545</v>
      </c>
      <c r="D243" s="77" t="s">
        <v>301</v>
      </c>
      <c r="E243" s="129">
        <f t="shared" si="72"/>
        <v>41702387.5</v>
      </c>
      <c r="F243" s="44">
        <v>10425186.939999999</v>
      </c>
      <c r="G243" s="44">
        <v>4510570.45</v>
      </c>
      <c r="H243" s="44">
        <v>0</v>
      </c>
      <c r="I243" s="44">
        <v>0</v>
      </c>
      <c r="J243" s="44">
        <v>0</v>
      </c>
      <c r="K243" s="44"/>
      <c r="L243" s="44">
        <v>397015.54</v>
      </c>
      <c r="M243" s="44">
        <v>0</v>
      </c>
      <c r="N243" s="44">
        <v>17477225.23</v>
      </c>
      <c r="O243" s="44">
        <v>7999958.25</v>
      </c>
      <c r="P243" s="44">
        <v>0</v>
      </c>
      <c r="Q243" s="44">
        <v>0</v>
      </c>
      <c r="R243" s="44"/>
      <c r="S243" s="68"/>
      <c r="T243" s="136">
        <v>892431.09</v>
      </c>
      <c r="U243" s="24">
        <f t="shared" si="73"/>
        <v>5</v>
      </c>
    </row>
    <row r="244" spans="1:21" x14ac:dyDescent="0.25">
      <c r="A244" s="135">
        <f t="shared" si="70"/>
        <v>227</v>
      </c>
      <c r="B244" s="134">
        <f t="shared" si="71"/>
        <v>39</v>
      </c>
      <c r="C244" s="77" t="s">
        <v>545</v>
      </c>
      <c r="D244" s="77" t="s">
        <v>306</v>
      </c>
      <c r="E244" s="129">
        <f>SUBTOTAL(9,F244:T244)</f>
        <v>4446855.6789088678</v>
      </c>
      <c r="F244" s="44">
        <v>0</v>
      </c>
      <c r="G244" s="44">
        <v>0</v>
      </c>
      <c r="H244" s="44">
        <v>917077.8</v>
      </c>
      <c r="I244" s="44">
        <v>0</v>
      </c>
      <c r="J244" s="44">
        <v>0</v>
      </c>
      <c r="K244" s="44"/>
      <c r="L244" s="44"/>
      <c r="M244" s="44">
        <v>0</v>
      </c>
      <c r="N244" s="44">
        <v>0</v>
      </c>
      <c r="O244" s="44">
        <v>3491192.389873188</v>
      </c>
      <c r="P244" s="44">
        <v>0</v>
      </c>
      <c r="Q244" s="44">
        <v>0</v>
      </c>
      <c r="R244" s="44"/>
      <c r="S244" s="68"/>
      <c r="T244" s="136">
        <v>38585.489035679544</v>
      </c>
      <c r="U244" s="24">
        <f>COUNTIF(F244:Q244,"&gt;0")</f>
        <v>2</v>
      </c>
    </row>
    <row r="245" spans="1:21" x14ac:dyDescent="0.25">
      <c r="A245" s="135">
        <f t="shared" si="70"/>
        <v>228</v>
      </c>
      <c r="B245" s="134">
        <f t="shared" si="71"/>
        <v>40</v>
      </c>
      <c r="C245" s="77" t="s">
        <v>545</v>
      </c>
      <c r="D245" s="77" t="s">
        <v>302</v>
      </c>
      <c r="E245" s="129">
        <f t="shared" si="72"/>
        <v>18498158.429174457</v>
      </c>
      <c r="F245" s="44">
        <v>9987277.6916511413</v>
      </c>
      <c r="G245" s="44">
        <v>0</v>
      </c>
      <c r="H245" s="44">
        <v>3500633.098855949</v>
      </c>
      <c r="I245" s="44">
        <v>4233998.4929506173</v>
      </c>
      <c r="J245" s="44">
        <v>0</v>
      </c>
      <c r="K245" s="44"/>
      <c r="L245" s="44">
        <v>380388.55533241422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/>
      <c r="S245" s="68"/>
      <c r="T245" s="136">
        <v>395860.59038433328</v>
      </c>
      <c r="U245" s="24">
        <f t="shared" si="73"/>
        <v>4</v>
      </c>
    </row>
    <row r="246" spans="1:21" x14ac:dyDescent="0.25">
      <c r="A246" s="135">
        <f t="shared" si="70"/>
        <v>229</v>
      </c>
      <c r="B246" s="134">
        <f t="shared" si="71"/>
        <v>41</v>
      </c>
      <c r="C246" s="77" t="s">
        <v>545</v>
      </c>
      <c r="D246" s="77" t="s">
        <v>303</v>
      </c>
      <c r="E246" s="129">
        <f t="shared" si="72"/>
        <v>18345600.889129095</v>
      </c>
      <c r="F246" s="44">
        <v>9904894.5340016168</v>
      </c>
      <c r="G246" s="44">
        <v>0</v>
      </c>
      <c r="H246" s="44">
        <v>3471938.1437459388</v>
      </c>
      <c r="I246" s="44">
        <v>4198901.8708705176</v>
      </c>
      <c r="J246" s="44">
        <v>0</v>
      </c>
      <c r="K246" s="44"/>
      <c r="L246" s="44">
        <v>377270.48148366035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/>
      <c r="S246" s="68"/>
      <c r="T246" s="136">
        <v>392595.8590273626</v>
      </c>
      <c r="U246" s="24">
        <f t="shared" si="73"/>
        <v>4</v>
      </c>
    </row>
    <row r="247" spans="1:21" x14ac:dyDescent="0.25">
      <c r="A247" s="135">
        <f t="shared" si="70"/>
        <v>230</v>
      </c>
      <c r="B247" s="134">
        <f t="shared" si="71"/>
        <v>42</v>
      </c>
      <c r="C247" s="77" t="s">
        <v>545</v>
      </c>
      <c r="D247" s="77" t="s">
        <v>304</v>
      </c>
      <c r="E247" s="129">
        <f t="shared" si="72"/>
        <v>18417459.107653033</v>
      </c>
      <c r="F247" s="44">
        <v>9966368.6576054357</v>
      </c>
      <c r="G247" s="44">
        <v>0</v>
      </c>
      <c r="H247" s="44">
        <v>3475648.0455939346</v>
      </c>
      <c r="I247" s="44">
        <v>4203635.1697849901</v>
      </c>
      <c r="J247" s="44">
        <v>0</v>
      </c>
      <c r="K247" s="44"/>
      <c r="L247" s="44">
        <v>377673.60976489773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/>
      <c r="S247" s="68"/>
      <c r="T247" s="136">
        <v>394133.62490377499</v>
      </c>
      <c r="U247" s="24">
        <f t="shared" si="73"/>
        <v>4</v>
      </c>
    </row>
    <row r="248" spans="1:21" x14ac:dyDescent="0.25">
      <c r="A248" s="135">
        <f t="shared" si="70"/>
        <v>231</v>
      </c>
      <c r="B248" s="134">
        <f t="shared" si="71"/>
        <v>43</v>
      </c>
      <c r="C248" s="77"/>
      <c r="D248" s="77" t="s">
        <v>747</v>
      </c>
      <c r="E248" s="129">
        <f t="shared" si="72"/>
        <v>10844684.448000001</v>
      </c>
      <c r="F248" s="44"/>
      <c r="G248" s="44"/>
      <c r="H248" s="44"/>
      <c r="I248" s="44"/>
      <c r="J248" s="44"/>
      <c r="K248" s="44"/>
      <c r="L248" s="44"/>
      <c r="M248" s="44"/>
      <c r="N248" s="44"/>
      <c r="O248" s="44">
        <v>9445221.2987233922</v>
      </c>
      <c r="P248" s="44"/>
      <c r="Q248" s="44"/>
      <c r="R248" s="44">
        <v>1084468.4448000002</v>
      </c>
      <c r="S248" s="68">
        <v>108446.84448000001</v>
      </c>
      <c r="T248" s="136">
        <v>206547.85999660802</v>
      </c>
      <c r="U248" s="24"/>
    </row>
    <row r="249" spans="1:21" x14ac:dyDescent="0.25">
      <c r="A249" s="135">
        <f t="shared" si="70"/>
        <v>232</v>
      </c>
      <c r="B249" s="134">
        <f t="shared" si="71"/>
        <v>44</v>
      </c>
      <c r="C249" s="77"/>
      <c r="D249" s="77" t="s">
        <v>748</v>
      </c>
      <c r="E249" s="129">
        <f t="shared" si="72"/>
        <v>11234559.024000002</v>
      </c>
      <c r="F249" s="44"/>
      <c r="G249" s="44"/>
      <c r="H249" s="44"/>
      <c r="I249" s="44"/>
      <c r="J249" s="44"/>
      <c r="K249" s="44"/>
      <c r="L249" s="44"/>
      <c r="M249" s="44"/>
      <c r="N249" s="44"/>
      <c r="O249" s="44">
        <v>9784784.1201888975</v>
      </c>
      <c r="P249" s="44"/>
      <c r="Q249" s="44"/>
      <c r="R249" s="44">
        <v>1123455.9024000003</v>
      </c>
      <c r="S249" s="68">
        <v>112345.59024000002</v>
      </c>
      <c r="T249" s="136">
        <v>213973.41117110406</v>
      </c>
      <c r="U249" s="24"/>
    </row>
    <row r="250" spans="1:21" x14ac:dyDescent="0.25">
      <c r="A250" s="135">
        <f t="shared" si="70"/>
        <v>233</v>
      </c>
      <c r="B250" s="134">
        <f t="shared" si="71"/>
        <v>45</v>
      </c>
      <c r="C250" s="77" t="s">
        <v>545</v>
      </c>
      <c r="D250" s="77" t="s">
        <v>71</v>
      </c>
      <c r="E250" s="129">
        <f>SUBTOTAL(9,F250:T250)</f>
        <v>3985720.2693774602</v>
      </c>
      <c r="F250" s="44">
        <v>0</v>
      </c>
      <c r="G250" s="44">
        <v>0</v>
      </c>
      <c r="H250" s="44">
        <v>927231.11</v>
      </c>
      <c r="I250" s="44">
        <v>2335685.9300000002</v>
      </c>
      <c r="J250" s="44">
        <v>0</v>
      </c>
      <c r="K250" s="44"/>
      <c r="L250" s="44"/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575687.75556044595</v>
      </c>
      <c r="S250" s="68">
        <v>51240.590709295109</v>
      </c>
      <c r="T250" s="136">
        <v>95874.88310771907</v>
      </c>
      <c r="U250" s="24">
        <f>COUNTIF(F250:Q250,"&gt;0")</f>
        <v>2</v>
      </c>
    </row>
    <row r="251" spans="1:21" x14ac:dyDescent="0.25">
      <c r="A251" s="135">
        <f t="shared" si="70"/>
        <v>234</v>
      </c>
      <c r="B251" s="134">
        <f t="shared" si="71"/>
        <v>46</v>
      </c>
      <c r="C251" s="77"/>
      <c r="D251" s="77" t="s">
        <v>590</v>
      </c>
      <c r="E251" s="129">
        <f t="shared" si="72"/>
        <v>11280046.000319112</v>
      </c>
      <c r="F251" s="44">
        <v>6799089.6135530761</v>
      </c>
      <c r="G251" s="44"/>
      <c r="H251" s="44">
        <v>2042435.9517245644</v>
      </c>
      <c r="I251" s="44">
        <v>1151848.7610665632</v>
      </c>
      <c r="J251" s="44"/>
      <c r="K251" s="44"/>
      <c r="L251" s="44">
        <v>295198.03432807833</v>
      </c>
      <c r="M251" s="44"/>
      <c r="N251" s="44"/>
      <c r="O251" s="44"/>
      <c r="P251" s="44"/>
      <c r="Q251" s="44"/>
      <c r="R251" s="44">
        <v>766483.4</v>
      </c>
      <c r="S251" s="68"/>
      <c r="T251" s="136">
        <v>224990.239646829</v>
      </c>
      <c r="U251" s="24">
        <f t="shared" si="73"/>
        <v>4</v>
      </c>
    </row>
    <row r="252" spans="1:21" x14ac:dyDescent="0.25">
      <c r="A252" s="135">
        <f t="shared" si="70"/>
        <v>235</v>
      </c>
      <c r="B252" s="134">
        <f t="shared" si="71"/>
        <v>47</v>
      </c>
      <c r="C252" s="77" t="s">
        <v>545</v>
      </c>
      <c r="D252" s="77" t="s">
        <v>307</v>
      </c>
      <c r="E252" s="129">
        <f t="shared" si="72"/>
        <v>11736958.542351823</v>
      </c>
      <c r="F252" s="44">
        <v>6602013.7682673624</v>
      </c>
      <c r="G252" s="44"/>
      <c r="H252" s="44"/>
      <c r="I252" s="44"/>
      <c r="J252" s="44">
        <v>0</v>
      </c>
      <c r="K252" s="44"/>
      <c r="L252" s="44">
        <v>293318.25704611279</v>
      </c>
      <c r="M252" s="44">
        <v>0</v>
      </c>
      <c r="N252" s="44">
        <v>0</v>
      </c>
      <c r="O252" s="44">
        <v>4590455.6042320197</v>
      </c>
      <c r="P252" s="44">
        <v>0</v>
      </c>
      <c r="Q252" s="44">
        <v>0</v>
      </c>
      <c r="R252" s="44"/>
      <c r="S252" s="68"/>
      <c r="T252" s="136">
        <v>251170.91280632906</v>
      </c>
      <c r="U252" s="24">
        <f t="shared" si="73"/>
        <v>3</v>
      </c>
    </row>
    <row r="253" spans="1:21" x14ac:dyDescent="0.25">
      <c r="A253" s="135">
        <f t="shared" si="70"/>
        <v>236</v>
      </c>
      <c r="B253" s="134">
        <f t="shared" si="71"/>
        <v>48</v>
      </c>
      <c r="C253" s="77" t="s">
        <v>546</v>
      </c>
      <c r="D253" s="77" t="s">
        <v>678</v>
      </c>
      <c r="E253" s="129">
        <f t="shared" si="72"/>
        <v>17694269.120000001</v>
      </c>
      <c r="F253" s="44">
        <v>17694269.120000001</v>
      </c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68"/>
      <c r="T253" s="136"/>
      <c r="U253" s="24">
        <f t="shared" si="73"/>
        <v>1</v>
      </c>
    </row>
    <row r="254" spans="1:21" x14ac:dyDescent="0.25">
      <c r="A254" s="135">
        <f t="shared" si="70"/>
        <v>237</v>
      </c>
      <c r="B254" s="134">
        <f t="shared" si="71"/>
        <v>49</v>
      </c>
      <c r="C254" s="134" t="s">
        <v>275</v>
      </c>
      <c r="D254" s="77" t="s">
        <v>454</v>
      </c>
      <c r="E254" s="129">
        <f t="shared" si="72"/>
        <v>9483523.7207000013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/>
      <c r="L254" s="44"/>
      <c r="M254" s="44">
        <v>0</v>
      </c>
      <c r="N254" s="44">
        <v>0</v>
      </c>
      <c r="O254" s="44">
        <v>0</v>
      </c>
      <c r="P254" s="44">
        <v>9280576.3130770214</v>
      </c>
      <c r="Q254" s="44">
        <v>0</v>
      </c>
      <c r="R254" s="44"/>
      <c r="S254" s="68"/>
      <c r="T254" s="136">
        <v>202947.40762298004</v>
      </c>
      <c r="U254" s="24">
        <f t="shared" si="73"/>
        <v>1</v>
      </c>
    </row>
    <row r="255" spans="1:21" x14ac:dyDescent="0.25">
      <c r="A255" s="135">
        <f t="shared" si="70"/>
        <v>238</v>
      </c>
      <c r="B255" s="134">
        <f t="shared" si="71"/>
        <v>50</v>
      </c>
      <c r="C255" s="77" t="s">
        <v>275</v>
      </c>
      <c r="D255" s="77" t="s">
        <v>276</v>
      </c>
      <c r="E255" s="129">
        <f t="shared" si="72"/>
        <v>18608626.178599998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/>
      <c r="L255" s="44"/>
      <c r="M255" s="44">
        <v>0</v>
      </c>
      <c r="N255" s="44">
        <v>0</v>
      </c>
      <c r="O255" s="44">
        <v>0</v>
      </c>
      <c r="P255" s="44">
        <v>18210401.578377958</v>
      </c>
      <c r="Q255" s="44">
        <v>0</v>
      </c>
      <c r="R255" s="44"/>
      <c r="S255" s="68"/>
      <c r="T255" s="136">
        <v>398224.60022203997</v>
      </c>
      <c r="U255" s="24">
        <f t="shared" si="73"/>
        <v>1</v>
      </c>
    </row>
    <row r="256" spans="1:21" x14ac:dyDescent="0.25">
      <c r="A256" s="135">
        <f t="shared" si="70"/>
        <v>239</v>
      </c>
      <c r="B256" s="134">
        <f t="shared" si="71"/>
        <v>51</v>
      </c>
      <c r="C256" s="77" t="s">
        <v>545</v>
      </c>
      <c r="D256" s="77" t="s">
        <v>126</v>
      </c>
      <c r="E256" s="129">
        <f t="shared" si="72"/>
        <v>3609894.245787648</v>
      </c>
      <c r="F256" s="44"/>
      <c r="G256" s="44"/>
      <c r="H256" s="44">
        <v>3532642.5089277923</v>
      </c>
      <c r="I256" s="44"/>
      <c r="J256" s="44"/>
      <c r="K256" s="44"/>
      <c r="L256" s="44"/>
      <c r="M256" s="44">
        <v>0</v>
      </c>
      <c r="N256" s="44"/>
      <c r="O256" s="44">
        <v>0</v>
      </c>
      <c r="P256" s="44">
        <v>0</v>
      </c>
      <c r="Q256" s="44">
        <v>0</v>
      </c>
      <c r="R256" s="44"/>
      <c r="S256" s="68"/>
      <c r="T256" s="136">
        <v>77251.736859855664</v>
      </c>
      <c r="U256" s="24">
        <f t="shared" si="73"/>
        <v>1</v>
      </c>
    </row>
    <row r="257" spans="1:22" x14ac:dyDescent="0.25">
      <c r="A257" s="135">
        <f t="shared" si="70"/>
        <v>240</v>
      </c>
      <c r="B257" s="134">
        <f t="shared" si="71"/>
        <v>52</v>
      </c>
      <c r="C257" s="77" t="s">
        <v>545</v>
      </c>
      <c r="D257" s="77" t="s">
        <v>139</v>
      </c>
      <c r="E257" s="129">
        <f t="shared" si="72"/>
        <v>2085412.7608436176</v>
      </c>
      <c r="F257" s="44"/>
      <c r="G257" s="44">
        <v>0</v>
      </c>
      <c r="H257" s="44">
        <v>1897284.4391391145</v>
      </c>
      <c r="I257" s="44">
        <v>0</v>
      </c>
      <c r="J257" s="44">
        <v>0</v>
      </c>
      <c r="K257" s="44"/>
      <c r="L257" s="44"/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/>
      <c r="S257" s="68"/>
      <c r="T257" s="136">
        <v>188128.32170450315</v>
      </c>
      <c r="U257" s="24">
        <f t="shared" si="73"/>
        <v>1</v>
      </c>
    </row>
    <row r="258" spans="1:22" x14ac:dyDescent="0.25">
      <c r="A258" s="135">
        <f t="shared" si="70"/>
        <v>241</v>
      </c>
      <c r="B258" s="134">
        <f t="shared" si="71"/>
        <v>53</v>
      </c>
      <c r="C258" s="77" t="s">
        <v>545</v>
      </c>
      <c r="D258" s="77" t="s">
        <v>144</v>
      </c>
      <c r="E258" s="129">
        <f t="shared" si="72"/>
        <v>19703004.987476178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/>
      <c r="L258" s="44"/>
      <c r="M258" s="44">
        <v>0</v>
      </c>
      <c r="N258" s="44">
        <v>0</v>
      </c>
      <c r="O258" s="44">
        <v>0</v>
      </c>
      <c r="P258" s="44">
        <v>19281360.680744186</v>
      </c>
      <c r="Q258" s="44">
        <v>0</v>
      </c>
      <c r="R258" s="44"/>
      <c r="S258" s="44"/>
      <c r="T258" s="136">
        <v>421644.30673199019</v>
      </c>
      <c r="U258" s="24">
        <f t="shared" si="73"/>
        <v>1</v>
      </c>
    </row>
    <row r="259" spans="1:22" x14ac:dyDescent="0.25">
      <c r="A259" s="135">
        <f t="shared" si="70"/>
        <v>242</v>
      </c>
      <c r="B259" s="134">
        <f t="shared" si="71"/>
        <v>54</v>
      </c>
      <c r="C259" s="77" t="s">
        <v>545</v>
      </c>
      <c r="D259" s="77" t="s">
        <v>149</v>
      </c>
      <c r="E259" s="129">
        <f t="shared" si="72"/>
        <v>1521914.1614287239</v>
      </c>
      <c r="F259" s="44"/>
      <c r="G259" s="44">
        <v>0</v>
      </c>
      <c r="H259" s="44">
        <v>0</v>
      </c>
      <c r="I259" s="44">
        <v>1334705.7</v>
      </c>
      <c r="J259" s="44">
        <v>0</v>
      </c>
      <c r="K259" s="44"/>
      <c r="L259" s="44"/>
      <c r="M259" s="44">
        <v>0</v>
      </c>
      <c r="N259" s="44">
        <v>0</v>
      </c>
      <c r="O259" s="44"/>
      <c r="P259" s="44">
        <v>0</v>
      </c>
      <c r="Q259" s="44">
        <v>0</v>
      </c>
      <c r="R259" s="44"/>
      <c r="S259" s="68"/>
      <c r="T259" s="136">
        <v>187208.46142872394</v>
      </c>
      <c r="U259" s="24">
        <f t="shared" si="73"/>
        <v>1</v>
      </c>
    </row>
    <row r="260" spans="1:22" x14ac:dyDescent="0.25">
      <c r="A260" s="135">
        <f t="shared" si="70"/>
        <v>243</v>
      </c>
      <c r="B260" s="134">
        <f t="shared" si="71"/>
        <v>55</v>
      </c>
      <c r="C260" s="77" t="s">
        <v>545</v>
      </c>
      <c r="D260" s="77" t="s">
        <v>150</v>
      </c>
      <c r="E260" s="129">
        <f t="shared" si="72"/>
        <v>7890001.6978085171</v>
      </c>
      <c r="F260" s="44">
        <v>6414391.2079975698</v>
      </c>
      <c r="G260" s="44">
        <v>0</v>
      </c>
      <c r="H260" s="44">
        <v>0</v>
      </c>
      <c r="I260" s="44">
        <v>1211320.4642977021</v>
      </c>
      <c r="J260" s="44">
        <v>0</v>
      </c>
      <c r="K260" s="44"/>
      <c r="L260" s="44"/>
      <c r="M260" s="44">
        <v>0</v>
      </c>
      <c r="N260" s="44">
        <v>0</v>
      </c>
      <c r="O260" s="44"/>
      <c r="P260" s="44">
        <v>0</v>
      </c>
      <c r="Q260" s="44">
        <v>0</v>
      </c>
      <c r="R260" s="44"/>
      <c r="S260" s="68"/>
      <c r="T260" s="136">
        <v>264290.02551324526</v>
      </c>
      <c r="U260" s="24">
        <f t="shared" si="73"/>
        <v>2</v>
      </c>
    </row>
    <row r="261" spans="1:22" x14ac:dyDescent="0.25">
      <c r="A261" s="135">
        <f t="shared" si="70"/>
        <v>244</v>
      </c>
      <c r="B261" s="134">
        <f t="shared" si="71"/>
        <v>56</v>
      </c>
      <c r="C261" s="77" t="s">
        <v>545</v>
      </c>
      <c r="D261" s="77" t="s">
        <v>65</v>
      </c>
      <c r="E261" s="129">
        <f t="shared" si="72"/>
        <v>11172353.687432691</v>
      </c>
      <c r="F261" s="44">
        <v>7789654.8248060504</v>
      </c>
      <c r="G261" s="44">
        <v>0</v>
      </c>
      <c r="H261" s="44">
        <v>0</v>
      </c>
      <c r="I261" s="44">
        <v>3143610.4937155819</v>
      </c>
      <c r="J261" s="44">
        <v>0</v>
      </c>
      <c r="K261" s="44"/>
      <c r="L261" s="44"/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/>
      <c r="S261" s="68"/>
      <c r="T261" s="136">
        <v>239088.3689110596</v>
      </c>
      <c r="U261" s="24">
        <f t="shared" si="73"/>
        <v>2</v>
      </c>
    </row>
    <row r="262" spans="1:22" x14ac:dyDescent="0.25">
      <c r="A262" s="135">
        <f t="shared" si="70"/>
        <v>245</v>
      </c>
      <c r="B262" s="134">
        <f t="shared" si="71"/>
        <v>57</v>
      </c>
      <c r="C262" s="77" t="s">
        <v>545</v>
      </c>
      <c r="D262" s="77" t="s">
        <v>158</v>
      </c>
      <c r="E262" s="129">
        <f t="shared" si="72"/>
        <v>12298370.967827702</v>
      </c>
      <c r="F262" s="44">
        <v>8574743.2839111742</v>
      </c>
      <c r="G262" s="44">
        <v>0</v>
      </c>
      <c r="H262" s="44">
        <v>0</v>
      </c>
      <c r="I262" s="44">
        <v>3460442.5452050162</v>
      </c>
      <c r="J262" s="44">
        <v>0</v>
      </c>
      <c r="K262" s="44"/>
      <c r="L262" s="44"/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/>
      <c r="S262" s="68"/>
      <c r="T262" s="136">
        <v>263185.13871151285</v>
      </c>
      <c r="U262" s="24">
        <f t="shared" si="73"/>
        <v>2</v>
      </c>
    </row>
    <row r="263" spans="1:22" x14ac:dyDescent="0.25">
      <c r="A263" s="135">
        <f t="shared" si="70"/>
        <v>246</v>
      </c>
      <c r="B263" s="134">
        <f t="shared" si="71"/>
        <v>58</v>
      </c>
      <c r="C263" s="77" t="s">
        <v>545</v>
      </c>
      <c r="D263" s="77" t="s">
        <v>156</v>
      </c>
      <c r="E263" s="129">
        <f t="shared" si="72"/>
        <v>15830114.837610561</v>
      </c>
      <c r="F263" s="44">
        <v>11159574.199489523</v>
      </c>
      <c r="G263" s="44">
        <v>0</v>
      </c>
      <c r="H263" s="44">
        <v>3907208.0564832622</v>
      </c>
      <c r="I263" s="44">
        <v>0</v>
      </c>
      <c r="J263" s="44">
        <v>0</v>
      </c>
      <c r="K263" s="44"/>
      <c r="L263" s="44">
        <v>424568.12411291135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/>
      <c r="S263" s="68"/>
      <c r="T263" s="136">
        <v>338764.45752486604</v>
      </c>
      <c r="U263" s="24">
        <f t="shared" si="73"/>
        <v>3</v>
      </c>
    </row>
    <row r="264" spans="1:22" x14ac:dyDescent="0.25">
      <c r="A264" s="135">
        <f t="shared" si="70"/>
        <v>247</v>
      </c>
      <c r="B264" s="134">
        <f t="shared" si="71"/>
        <v>59</v>
      </c>
      <c r="C264" s="77" t="s">
        <v>72</v>
      </c>
      <c r="D264" s="77" t="s">
        <v>73</v>
      </c>
      <c r="E264" s="129">
        <f t="shared" si="72"/>
        <v>2251512.1387999998</v>
      </c>
      <c r="F264" s="44">
        <v>0</v>
      </c>
      <c r="G264" s="44">
        <v>0</v>
      </c>
      <c r="H264" s="44">
        <v>2203329.77902968</v>
      </c>
      <c r="I264" s="44">
        <v>0</v>
      </c>
      <c r="J264" s="44">
        <v>0</v>
      </c>
      <c r="K264" s="44"/>
      <c r="L264" s="44"/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/>
      <c r="S264" s="68"/>
      <c r="T264" s="136">
        <v>48182.359770319999</v>
      </c>
      <c r="U264" s="24">
        <f t="shared" si="73"/>
        <v>1</v>
      </c>
    </row>
    <row r="265" spans="1:22" x14ac:dyDescent="0.25">
      <c r="A265" s="135">
        <f t="shared" si="70"/>
        <v>248</v>
      </c>
      <c r="B265" s="134">
        <f t="shared" si="71"/>
        <v>60</v>
      </c>
      <c r="C265" s="77" t="s">
        <v>72</v>
      </c>
      <c r="D265" s="77" t="s">
        <v>170</v>
      </c>
      <c r="E265" s="129">
        <f t="shared" si="72"/>
        <v>3102944.9011479998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/>
      <c r="L265" s="44"/>
      <c r="M265" s="44">
        <v>0</v>
      </c>
      <c r="N265" s="44">
        <v>2608175.2000000002</v>
      </c>
      <c r="O265" s="44">
        <v>0</v>
      </c>
      <c r="P265" s="44">
        <v>0</v>
      </c>
      <c r="Q265" s="44">
        <v>0</v>
      </c>
      <c r="R265" s="44">
        <v>101648.88</v>
      </c>
      <c r="S265" s="44">
        <v>46818</v>
      </c>
      <c r="T265" s="136">
        <v>346302.82114799996</v>
      </c>
      <c r="U265" s="24">
        <f t="shared" si="73"/>
        <v>1</v>
      </c>
      <c r="V265" s="1" t="s">
        <v>711</v>
      </c>
    </row>
    <row r="266" spans="1:22" x14ac:dyDescent="0.25">
      <c r="A266" s="135">
        <f t="shared" si="70"/>
        <v>249</v>
      </c>
      <c r="B266" s="134">
        <f t="shared" si="71"/>
        <v>61</v>
      </c>
      <c r="C266" s="77" t="s">
        <v>72</v>
      </c>
      <c r="D266" s="77" t="s">
        <v>309</v>
      </c>
      <c r="E266" s="129">
        <f t="shared" si="72"/>
        <v>1283744.6199999999</v>
      </c>
      <c r="F266" s="44"/>
      <c r="G266" s="44">
        <v>0</v>
      </c>
      <c r="H266" s="44"/>
      <c r="I266" s="44">
        <v>1020106.99</v>
      </c>
      <c r="J266" s="44">
        <v>0</v>
      </c>
      <c r="K266" s="44"/>
      <c r="L266" s="44"/>
      <c r="M266" s="44">
        <v>0</v>
      </c>
      <c r="N266" s="44"/>
      <c r="O266" s="44">
        <v>0</v>
      </c>
      <c r="P266" s="44">
        <v>0</v>
      </c>
      <c r="Q266" s="44">
        <v>0</v>
      </c>
      <c r="R266" s="44">
        <v>86907.22</v>
      </c>
      <c r="S266" s="68">
        <v>25537.94</v>
      </c>
      <c r="T266" s="136">
        <v>151192.47</v>
      </c>
      <c r="U266" s="24">
        <f t="shared" si="73"/>
        <v>1</v>
      </c>
      <c r="V266" s="1" t="s">
        <v>714</v>
      </c>
    </row>
    <row r="267" spans="1:22" x14ac:dyDescent="0.25">
      <c r="A267" s="135">
        <f t="shared" si="70"/>
        <v>250</v>
      </c>
      <c r="B267" s="134">
        <f t="shared" si="71"/>
        <v>62</v>
      </c>
      <c r="C267" s="77" t="s">
        <v>72</v>
      </c>
      <c r="D267" s="77" t="s">
        <v>310</v>
      </c>
      <c r="E267" s="129">
        <f t="shared" si="72"/>
        <v>5063521.8790189996</v>
      </c>
      <c r="F267" s="81"/>
      <c r="G267" s="44">
        <v>3744858.18609</v>
      </c>
      <c r="H267" s="44"/>
      <c r="I267" s="44"/>
      <c r="J267" s="44"/>
      <c r="K267" s="44"/>
      <c r="L267" s="44"/>
      <c r="M267" s="44">
        <v>0</v>
      </c>
      <c r="N267" s="44"/>
      <c r="O267" s="44"/>
      <c r="P267" s="44"/>
      <c r="Q267" s="44"/>
      <c r="R267" s="44"/>
      <c r="S267" s="68"/>
      <c r="T267" s="136">
        <v>1318663.6929290001</v>
      </c>
      <c r="U267" s="24">
        <f t="shared" si="73"/>
        <v>1</v>
      </c>
      <c r="V267" s="1" t="s">
        <v>712</v>
      </c>
    </row>
    <row r="268" spans="1:22" x14ac:dyDescent="0.25">
      <c r="A268" s="135">
        <f t="shared" si="70"/>
        <v>251</v>
      </c>
      <c r="B268" s="134">
        <f t="shared" si="71"/>
        <v>63</v>
      </c>
      <c r="C268" s="77" t="s">
        <v>72</v>
      </c>
      <c r="D268" s="77" t="s">
        <v>311</v>
      </c>
      <c r="E268" s="129">
        <f t="shared" si="72"/>
        <v>4526101.9687000001</v>
      </c>
      <c r="F268" s="44"/>
      <c r="G268" s="44"/>
      <c r="H268" s="44">
        <v>4429243.3865698203</v>
      </c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68"/>
      <c r="T268" s="136">
        <v>96858.582130180002</v>
      </c>
      <c r="U268" s="24">
        <f t="shared" si="73"/>
        <v>1</v>
      </c>
    </row>
    <row r="269" spans="1:22" x14ac:dyDescent="0.25">
      <c r="A269" s="135">
        <f t="shared" si="70"/>
        <v>252</v>
      </c>
      <c r="B269" s="134">
        <f t="shared" si="71"/>
        <v>64</v>
      </c>
      <c r="C269" s="77" t="s">
        <v>72</v>
      </c>
      <c r="D269" s="77" t="s">
        <v>463</v>
      </c>
      <c r="E269" s="129">
        <f t="shared" si="72"/>
        <v>3657664.2127659055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/>
      <c r="L269" s="44"/>
      <c r="M269" s="44">
        <v>0</v>
      </c>
      <c r="N269" s="44">
        <v>3125457.58</v>
      </c>
      <c r="O269" s="44">
        <v>0</v>
      </c>
      <c r="P269" s="44">
        <v>0</v>
      </c>
      <c r="Q269" s="44">
        <v>0</v>
      </c>
      <c r="R269" s="44">
        <v>144246.84530748578</v>
      </c>
      <c r="S269" s="44">
        <v>41549</v>
      </c>
      <c r="T269" s="136">
        <v>346410.7874584198</v>
      </c>
      <c r="U269" s="24">
        <f t="shared" si="73"/>
        <v>1</v>
      </c>
      <c r="V269" s="1" t="s">
        <v>711</v>
      </c>
    </row>
    <row r="270" spans="1:22" s="35" customFormat="1" x14ac:dyDescent="0.25">
      <c r="A270" s="135">
        <f t="shared" si="70"/>
        <v>253</v>
      </c>
      <c r="B270" s="134">
        <f t="shared" si="71"/>
        <v>65</v>
      </c>
      <c r="C270" s="147"/>
      <c r="D270" s="77" t="s">
        <v>728</v>
      </c>
      <c r="E270" s="129">
        <f>SUBTOTAL(9,F270:T270)</f>
        <v>4171485.37</v>
      </c>
      <c r="F270" s="129">
        <v>3000268.75</v>
      </c>
      <c r="G270" s="129">
        <v>1171216.6200000001</v>
      </c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48"/>
      <c r="U270" s="24">
        <f>COUNTIF(F270:Q270,"&gt;0")</f>
        <v>2</v>
      </c>
    </row>
    <row r="271" spans="1:22" x14ac:dyDescent="0.25">
      <c r="A271" s="135">
        <f t="shared" ref="A271:A334" si="74">+A270+1</f>
        <v>254</v>
      </c>
      <c r="B271" s="134">
        <f t="shared" ref="B271:B334" si="75">+B270+1</f>
        <v>66</v>
      </c>
      <c r="C271" s="77" t="s">
        <v>72</v>
      </c>
      <c r="D271" s="77" t="s">
        <v>465</v>
      </c>
      <c r="E271" s="129">
        <f t="shared" si="72"/>
        <v>6118734.1876640003</v>
      </c>
      <c r="F271" s="44">
        <v>3199919.31</v>
      </c>
      <c r="G271" s="44">
        <v>1171719.57</v>
      </c>
      <c r="H271" s="44"/>
      <c r="I271" s="44">
        <v>1045267.03</v>
      </c>
      <c r="J271" s="44">
        <v>631577.05000000005</v>
      </c>
      <c r="K271" s="44"/>
      <c r="L271" s="44"/>
      <c r="M271" s="44"/>
      <c r="N271" s="44"/>
      <c r="O271" s="44">
        <v>0</v>
      </c>
      <c r="P271" s="44">
        <v>0</v>
      </c>
      <c r="Q271" s="44">
        <v>0</v>
      </c>
      <c r="R271" s="44"/>
      <c r="S271" s="68"/>
      <c r="T271" s="136">
        <v>70251.227664000005</v>
      </c>
      <c r="U271" s="24">
        <f t="shared" si="73"/>
        <v>4</v>
      </c>
    </row>
    <row r="272" spans="1:22" x14ac:dyDescent="0.25">
      <c r="A272" s="135">
        <f t="shared" si="74"/>
        <v>255</v>
      </c>
      <c r="B272" s="134">
        <f t="shared" si="75"/>
        <v>67</v>
      </c>
      <c r="C272" s="77" t="s">
        <v>72</v>
      </c>
      <c r="D272" s="77" t="s">
        <v>466</v>
      </c>
      <c r="E272" s="129">
        <f t="shared" si="72"/>
        <v>1103844.6695074399</v>
      </c>
      <c r="F272" s="139"/>
      <c r="G272" s="139"/>
      <c r="H272" s="139"/>
      <c r="I272" s="44"/>
      <c r="J272" s="44">
        <v>894502.68789000006</v>
      </c>
      <c r="K272" s="44"/>
      <c r="L272" s="44"/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/>
      <c r="S272" s="68"/>
      <c r="T272" s="136">
        <v>209341.98161743997</v>
      </c>
      <c r="U272" s="24">
        <f t="shared" si="73"/>
        <v>1</v>
      </c>
    </row>
    <row r="273" spans="1:22" x14ac:dyDescent="0.25">
      <c r="A273" s="135">
        <f t="shared" si="74"/>
        <v>256</v>
      </c>
      <c r="B273" s="134">
        <f t="shared" si="75"/>
        <v>68</v>
      </c>
      <c r="C273" s="77" t="s">
        <v>72</v>
      </c>
      <c r="D273" s="77" t="s">
        <v>316</v>
      </c>
      <c r="E273" s="129">
        <f t="shared" si="72"/>
        <v>4832684.6545059998</v>
      </c>
      <c r="F273" s="44"/>
      <c r="G273" s="44">
        <v>2634178.6800000002</v>
      </c>
      <c r="H273" s="44">
        <v>1030461.13</v>
      </c>
      <c r="I273" s="81"/>
      <c r="J273" s="44"/>
      <c r="K273" s="44"/>
      <c r="L273" s="44"/>
      <c r="M273" s="44">
        <v>0</v>
      </c>
      <c r="N273" s="44"/>
      <c r="O273" s="44"/>
      <c r="P273" s="44"/>
      <c r="Q273" s="44"/>
      <c r="R273" s="44"/>
      <c r="S273" s="44"/>
      <c r="T273" s="136">
        <v>1168044.8445060002</v>
      </c>
      <c r="U273" s="24">
        <f t="shared" si="73"/>
        <v>2</v>
      </c>
    </row>
    <row r="274" spans="1:22" x14ac:dyDescent="0.25">
      <c r="A274" s="135">
        <f t="shared" si="74"/>
        <v>257</v>
      </c>
      <c r="B274" s="134">
        <f t="shared" si="75"/>
        <v>69</v>
      </c>
      <c r="C274" s="77" t="s">
        <v>72</v>
      </c>
      <c r="D274" s="77" t="s">
        <v>319</v>
      </c>
      <c r="E274" s="129">
        <f t="shared" si="72"/>
        <v>12736306.474216621</v>
      </c>
      <c r="F274" s="44">
        <v>6402530.3799999999</v>
      </c>
      <c r="G274" s="44">
        <v>0</v>
      </c>
      <c r="H274" s="44">
        <v>1227624.8600000001</v>
      </c>
      <c r="I274" s="44"/>
      <c r="J274" s="44">
        <v>0</v>
      </c>
      <c r="K274" s="44"/>
      <c r="L274" s="44"/>
      <c r="M274" s="44">
        <v>0</v>
      </c>
      <c r="N274" s="44">
        <v>4215079.9000000004</v>
      </c>
      <c r="O274" s="44">
        <v>0</v>
      </c>
      <c r="P274" s="44"/>
      <c r="Q274" s="44">
        <v>0</v>
      </c>
      <c r="R274" s="44"/>
      <c r="S274" s="68"/>
      <c r="T274" s="136">
        <v>891071.33421662007</v>
      </c>
      <c r="U274" s="24">
        <f t="shared" si="73"/>
        <v>3</v>
      </c>
      <c r="V274" s="1" t="s">
        <v>711</v>
      </c>
    </row>
    <row r="275" spans="1:22" x14ac:dyDescent="0.25">
      <c r="A275" s="135">
        <f t="shared" si="74"/>
        <v>258</v>
      </c>
      <c r="B275" s="134">
        <f t="shared" si="75"/>
        <v>70</v>
      </c>
      <c r="C275" s="77" t="s">
        <v>72</v>
      </c>
      <c r="D275" s="77" t="s">
        <v>320</v>
      </c>
      <c r="E275" s="129">
        <f t="shared" si="72"/>
        <v>10182899.69749306</v>
      </c>
      <c r="F275" s="44">
        <v>5800678.4200000009</v>
      </c>
      <c r="G275" s="44">
        <v>0</v>
      </c>
      <c r="H275" s="44">
        <v>1815463.98</v>
      </c>
      <c r="I275" s="44">
        <v>2027325.6</v>
      </c>
      <c r="J275" s="44">
        <v>0</v>
      </c>
      <c r="K275" s="44"/>
      <c r="L275" s="44"/>
      <c r="M275" s="44">
        <v>0</v>
      </c>
      <c r="N275" s="44"/>
      <c r="O275" s="44">
        <v>0</v>
      </c>
      <c r="P275" s="44"/>
      <c r="Q275" s="44">
        <v>0</v>
      </c>
      <c r="R275" s="44"/>
      <c r="S275" s="68"/>
      <c r="T275" s="136">
        <v>539431.69749306003</v>
      </c>
      <c r="U275" s="24">
        <f t="shared" si="73"/>
        <v>3</v>
      </c>
    </row>
    <row r="276" spans="1:22" x14ac:dyDescent="0.25">
      <c r="A276" s="135">
        <f t="shared" si="74"/>
        <v>259</v>
      </c>
      <c r="B276" s="134">
        <f t="shared" si="75"/>
        <v>71</v>
      </c>
      <c r="C276" s="77" t="s">
        <v>72</v>
      </c>
      <c r="D276" s="77" t="s">
        <v>321</v>
      </c>
      <c r="E276" s="129">
        <f t="shared" si="72"/>
        <v>12718244.725879181</v>
      </c>
      <c r="F276" s="44">
        <v>4667209.49</v>
      </c>
      <c r="G276" s="44">
        <v>0</v>
      </c>
      <c r="H276" s="44">
        <v>2134044.9699999997</v>
      </c>
      <c r="I276" s="44">
        <v>2553079.61</v>
      </c>
      <c r="J276" s="44"/>
      <c r="K276" s="44"/>
      <c r="L276" s="44"/>
      <c r="M276" s="44">
        <v>0</v>
      </c>
      <c r="N276" s="44"/>
      <c r="O276" s="44">
        <v>0</v>
      </c>
      <c r="P276" s="44"/>
      <c r="Q276" s="44">
        <v>0</v>
      </c>
      <c r="R276" s="44">
        <v>2550189.8570000003</v>
      </c>
      <c r="S276" s="68">
        <v>278424.56929999997</v>
      </c>
      <c r="T276" s="136">
        <v>535296.22957918001</v>
      </c>
      <c r="U276" s="24">
        <f t="shared" si="73"/>
        <v>3</v>
      </c>
      <c r="V276" s="1" t="s">
        <v>711</v>
      </c>
    </row>
    <row r="277" spans="1:22" x14ac:dyDescent="0.25">
      <c r="A277" s="135">
        <f t="shared" si="74"/>
        <v>260</v>
      </c>
      <c r="B277" s="134">
        <f t="shared" si="75"/>
        <v>72</v>
      </c>
      <c r="C277" s="77" t="s">
        <v>72</v>
      </c>
      <c r="D277" s="77" t="s">
        <v>176</v>
      </c>
      <c r="E277" s="129">
        <f t="shared" si="72"/>
        <v>7108581.8518827204</v>
      </c>
      <c r="F277" s="44">
        <v>3329933.36</v>
      </c>
      <c r="G277" s="44">
        <v>1569993.34</v>
      </c>
      <c r="H277" s="44">
        <v>882116.62</v>
      </c>
      <c r="I277" s="44">
        <v>903642.16</v>
      </c>
      <c r="J277" s="44">
        <v>0</v>
      </c>
      <c r="K277" s="44"/>
      <c r="L277" s="44"/>
      <c r="M277" s="44">
        <v>0</v>
      </c>
      <c r="N277" s="44">
        <v>0</v>
      </c>
      <c r="O277" s="44">
        <v>0</v>
      </c>
      <c r="P277" s="44"/>
      <c r="Q277" s="44">
        <v>0</v>
      </c>
      <c r="R277" s="44"/>
      <c r="S277" s="68"/>
      <c r="T277" s="136">
        <v>422896.37188271998</v>
      </c>
      <c r="U277" s="24">
        <f t="shared" si="73"/>
        <v>4</v>
      </c>
    </row>
    <row r="278" spans="1:22" x14ac:dyDescent="0.25">
      <c r="A278" s="135">
        <f t="shared" si="74"/>
        <v>261</v>
      </c>
      <c r="B278" s="134">
        <f t="shared" si="75"/>
        <v>73</v>
      </c>
      <c r="C278" s="77" t="s">
        <v>72</v>
      </c>
      <c r="D278" s="77" t="s">
        <v>177</v>
      </c>
      <c r="E278" s="129">
        <f t="shared" si="72"/>
        <v>1069515.91491576</v>
      </c>
      <c r="F278" s="44">
        <v>0</v>
      </c>
      <c r="G278" s="44">
        <v>0</v>
      </c>
      <c r="H278" s="44">
        <v>0</v>
      </c>
      <c r="I278" s="44">
        <v>0</v>
      </c>
      <c r="J278" s="44">
        <v>1043888.04</v>
      </c>
      <c r="K278" s="44"/>
      <c r="L278" s="44"/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/>
      <c r="S278" s="68"/>
      <c r="T278" s="136">
        <v>25627.874915760007</v>
      </c>
      <c r="U278" s="24">
        <f t="shared" si="73"/>
        <v>1</v>
      </c>
    </row>
    <row r="279" spans="1:22" x14ac:dyDescent="0.25">
      <c r="A279" s="135">
        <f t="shared" si="74"/>
        <v>262</v>
      </c>
      <c r="B279" s="134">
        <f t="shared" si="75"/>
        <v>74</v>
      </c>
      <c r="C279" s="77" t="s">
        <v>72</v>
      </c>
      <c r="D279" s="77" t="s">
        <v>178</v>
      </c>
      <c r="E279" s="129">
        <f t="shared" si="72"/>
        <v>1137882.68042862</v>
      </c>
      <c r="F279" s="44">
        <v>0</v>
      </c>
      <c r="G279" s="44">
        <v>0</v>
      </c>
      <c r="H279" s="44">
        <v>0</v>
      </c>
      <c r="I279" s="44">
        <v>0</v>
      </c>
      <c r="J279" s="44">
        <v>1112510.52</v>
      </c>
      <c r="K279" s="44"/>
      <c r="L279" s="44"/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/>
      <c r="S279" s="68"/>
      <c r="T279" s="136">
        <v>25372.160428620005</v>
      </c>
      <c r="U279" s="24">
        <f t="shared" si="73"/>
        <v>1</v>
      </c>
    </row>
    <row r="280" spans="1:22" x14ac:dyDescent="0.25">
      <c r="A280" s="135">
        <f t="shared" si="74"/>
        <v>263</v>
      </c>
      <c r="B280" s="134">
        <f t="shared" si="75"/>
        <v>75</v>
      </c>
      <c r="C280" s="77" t="s">
        <v>72</v>
      </c>
      <c r="D280" s="77" t="s">
        <v>180</v>
      </c>
      <c r="E280" s="129">
        <f t="shared" si="72"/>
        <v>1319013.2964199998</v>
      </c>
      <c r="F280" s="44">
        <v>0</v>
      </c>
      <c r="G280" s="44">
        <v>0</v>
      </c>
      <c r="H280" s="44">
        <v>0</v>
      </c>
      <c r="I280" s="44">
        <v>0</v>
      </c>
      <c r="J280" s="44">
        <v>1314097.3999999999</v>
      </c>
      <c r="K280" s="44"/>
      <c r="L280" s="44"/>
      <c r="M280" s="44">
        <v>0</v>
      </c>
      <c r="N280" s="44">
        <v>0</v>
      </c>
      <c r="O280" s="44">
        <v>0</v>
      </c>
      <c r="P280" s="44">
        <v>0</v>
      </c>
      <c r="Q280" s="44"/>
      <c r="R280" s="44"/>
      <c r="S280" s="68"/>
      <c r="T280" s="136">
        <v>4915.89642</v>
      </c>
      <c r="U280" s="24">
        <f t="shared" si="73"/>
        <v>1</v>
      </c>
    </row>
    <row r="281" spans="1:22" x14ac:dyDescent="0.25">
      <c r="A281" s="135">
        <f t="shared" si="74"/>
        <v>264</v>
      </c>
      <c r="B281" s="134">
        <f t="shared" si="75"/>
        <v>76</v>
      </c>
      <c r="C281" s="77"/>
      <c r="D281" s="77" t="s">
        <v>649</v>
      </c>
      <c r="E281" s="129">
        <f t="shared" si="72"/>
        <v>5459436.29</v>
      </c>
      <c r="F281" s="44"/>
      <c r="G281" s="44">
        <v>5131838.1197179221</v>
      </c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>
        <v>191375.2643328</v>
      </c>
      <c r="S281" s="68">
        <v>24000</v>
      </c>
      <c r="T281" s="136">
        <v>112222.90594927808</v>
      </c>
      <c r="U281" s="24">
        <f t="shared" si="73"/>
        <v>1</v>
      </c>
    </row>
    <row r="282" spans="1:22" x14ac:dyDescent="0.25">
      <c r="A282" s="135">
        <f t="shared" si="74"/>
        <v>265</v>
      </c>
      <c r="B282" s="134">
        <f t="shared" si="75"/>
        <v>77</v>
      </c>
      <c r="C282" s="77"/>
      <c r="D282" s="77" t="s">
        <v>650</v>
      </c>
      <c r="E282" s="129">
        <f t="shared" si="72"/>
        <v>3841382.1100000003</v>
      </c>
      <c r="F282" s="44"/>
      <c r="G282" s="44">
        <v>3569615.4462360675</v>
      </c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>
        <v>169706.40364800001</v>
      </c>
      <c r="S282" s="68">
        <v>24000</v>
      </c>
      <c r="T282" s="136">
        <v>78060.26011593279</v>
      </c>
      <c r="U282" s="24">
        <f t="shared" si="73"/>
        <v>1</v>
      </c>
    </row>
    <row r="283" spans="1:22" x14ac:dyDescent="0.25">
      <c r="A283" s="135">
        <f t="shared" si="74"/>
        <v>266</v>
      </c>
      <c r="B283" s="134">
        <f t="shared" si="75"/>
        <v>78</v>
      </c>
      <c r="C283" s="77" t="s">
        <v>72</v>
      </c>
      <c r="D283" s="77" t="s">
        <v>181</v>
      </c>
      <c r="E283" s="129">
        <f t="shared" si="72"/>
        <v>1998837.3649560001</v>
      </c>
      <c r="F283" s="44">
        <v>0</v>
      </c>
      <c r="G283" s="44">
        <v>0</v>
      </c>
      <c r="H283" s="44">
        <v>0</v>
      </c>
      <c r="I283" s="44">
        <v>0</v>
      </c>
      <c r="J283" s="44">
        <v>1990543.04</v>
      </c>
      <c r="K283" s="44"/>
      <c r="L283" s="44"/>
      <c r="M283" s="44">
        <v>0</v>
      </c>
      <c r="N283" s="44">
        <v>0</v>
      </c>
      <c r="O283" s="44">
        <v>0</v>
      </c>
      <c r="P283" s="44"/>
      <c r="Q283" s="44"/>
      <c r="R283" s="44"/>
      <c r="S283" s="68"/>
      <c r="T283" s="136">
        <v>8294.3249559999986</v>
      </c>
      <c r="U283" s="24">
        <f t="shared" si="73"/>
        <v>1</v>
      </c>
    </row>
    <row r="284" spans="1:22" x14ac:dyDescent="0.25">
      <c r="A284" s="135">
        <f t="shared" si="74"/>
        <v>267</v>
      </c>
      <c r="B284" s="134">
        <f t="shared" si="75"/>
        <v>79</v>
      </c>
      <c r="C284" s="77" t="s">
        <v>72</v>
      </c>
      <c r="D284" s="77" t="s">
        <v>182</v>
      </c>
      <c r="E284" s="129">
        <f t="shared" si="72"/>
        <v>9874517.7376999985</v>
      </c>
      <c r="F284" s="44">
        <v>9306102.4321519788</v>
      </c>
      <c r="G284" s="44">
        <v>0</v>
      </c>
      <c r="H284" s="44">
        <v>0</v>
      </c>
      <c r="I284" s="44">
        <v>0</v>
      </c>
      <c r="J284" s="44">
        <v>0</v>
      </c>
      <c r="K284" s="44"/>
      <c r="L284" s="44">
        <v>357100.62596124003</v>
      </c>
      <c r="M284" s="44">
        <v>0</v>
      </c>
      <c r="N284" s="44"/>
      <c r="O284" s="44">
        <v>0</v>
      </c>
      <c r="P284" s="44"/>
      <c r="Q284" s="44">
        <v>0</v>
      </c>
      <c r="R284" s="44"/>
      <c r="S284" s="68"/>
      <c r="T284" s="136">
        <v>211314.67958678002</v>
      </c>
      <c r="U284" s="24">
        <f t="shared" si="73"/>
        <v>2</v>
      </c>
    </row>
    <row r="285" spans="1:22" x14ac:dyDescent="0.25">
      <c r="A285" s="135">
        <f t="shared" si="74"/>
        <v>268</v>
      </c>
      <c r="B285" s="134">
        <f t="shared" si="75"/>
        <v>80</v>
      </c>
      <c r="C285" s="77" t="s">
        <v>72</v>
      </c>
      <c r="D285" s="77" t="s">
        <v>185</v>
      </c>
      <c r="E285" s="129">
        <f t="shared" si="72"/>
        <v>9641868.1699999999</v>
      </c>
      <c r="F285" s="44"/>
      <c r="G285" s="44"/>
      <c r="H285" s="44"/>
      <c r="I285" s="44"/>
      <c r="J285" s="44"/>
      <c r="K285" s="44"/>
      <c r="L285" s="44"/>
      <c r="M285" s="44">
        <v>0</v>
      </c>
      <c r="N285" s="44">
        <v>0</v>
      </c>
      <c r="O285" s="44">
        <v>0</v>
      </c>
      <c r="P285" s="44">
        <v>0</v>
      </c>
      <c r="Q285" s="44">
        <v>8397623.6501341797</v>
      </c>
      <c r="R285" s="44">
        <v>964186.81700000004</v>
      </c>
      <c r="S285" s="68">
        <v>96418.681700000001</v>
      </c>
      <c r="T285" s="136">
        <v>183639.02116581998</v>
      </c>
      <c r="U285" s="24">
        <f t="shared" si="73"/>
        <v>1</v>
      </c>
    </row>
    <row r="286" spans="1:22" x14ac:dyDescent="0.25">
      <c r="A286" s="135">
        <f t="shared" si="74"/>
        <v>269</v>
      </c>
      <c r="B286" s="134">
        <f t="shared" si="75"/>
        <v>81</v>
      </c>
      <c r="C286" s="77" t="s">
        <v>72</v>
      </c>
      <c r="D286" s="77" t="s">
        <v>325</v>
      </c>
      <c r="E286" s="129">
        <f>SUBTOTAL(9,F286:T286)</f>
        <v>12464372.530428801</v>
      </c>
      <c r="F286" s="44"/>
      <c r="G286" s="44">
        <v>5233500.26</v>
      </c>
      <c r="H286" s="44">
        <v>2299005.9700000002</v>
      </c>
      <c r="I286" s="44">
        <v>4120193.64</v>
      </c>
      <c r="J286" s="44"/>
      <c r="K286" s="44"/>
      <c r="L286" s="44"/>
      <c r="M286" s="44">
        <v>0</v>
      </c>
      <c r="N286" s="44">
        <v>0</v>
      </c>
      <c r="O286" s="44">
        <v>0</v>
      </c>
      <c r="P286" s="44">
        <v>0</v>
      </c>
      <c r="Q286" s="44"/>
      <c r="R286" s="44"/>
      <c r="S286" s="68"/>
      <c r="T286" s="136">
        <v>811672.66042880015</v>
      </c>
      <c r="U286" s="24">
        <f>COUNTIF(F286:Q286,"&gt;0")</f>
        <v>3</v>
      </c>
      <c r="V286" s="1" t="s">
        <v>714</v>
      </c>
    </row>
    <row r="287" spans="1:22" x14ac:dyDescent="0.25">
      <c r="A287" s="135">
        <f t="shared" si="74"/>
        <v>270</v>
      </c>
      <c r="B287" s="134">
        <f t="shared" si="75"/>
        <v>82</v>
      </c>
      <c r="C287" s="77" t="s">
        <v>72</v>
      </c>
      <c r="D287" s="77" t="s">
        <v>186</v>
      </c>
      <c r="E287" s="129">
        <f t="shared" si="72"/>
        <v>2005001.28</v>
      </c>
      <c r="F287" s="44">
        <v>0</v>
      </c>
      <c r="G287" s="44">
        <v>0</v>
      </c>
      <c r="H287" s="44">
        <v>0</v>
      </c>
      <c r="I287" s="44">
        <v>0</v>
      </c>
      <c r="J287" s="44">
        <v>1990601.96</v>
      </c>
      <c r="K287" s="44"/>
      <c r="L287" s="44"/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/>
      <c r="S287" s="68"/>
      <c r="T287" s="136">
        <v>14399.32</v>
      </c>
      <c r="U287" s="24">
        <f t="shared" si="73"/>
        <v>1</v>
      </c>
    </row>
    <row r="288" spans="1:22" x14ac:dyDescent="0.25">
      <c r="A288" s="135">
        <f t="shared" si="74"/>
        <v>271</v>
      </c>
      <c r="B288" s="134">
        <f t="shared" si="75"/>
        <v>83</v>
      </c>
      <c r="C288" s="77" t="s">
        <v>72</v>
      </c>
      <c r="D288" s="77" t="s">
        <v>187</v>
      </c>
      <c r="E288" s="129">
        <f t="shared" si="72"/>
        <v>1363080.4118900001</v>
      </c>
      <c r="F288" s="44">
        <v>0</v>
      </c>
      <c r="G288" s="44">
        <v>0</v>
      </c>
      <c r="H288" s="44">
        <v>0</v>
      </c>
      <c r="I288" s="44">
        <v>0</v>
      </c>
      <c r="J288" s="44">
        <v>1356671.24</v>
      </c>
      <c r="K288" s="44"/>
      <c r="L288" s="44"/>
      <c r="M288" s="44">
        <v>0</v>
      </c>
      <c r="N288" s="44">
        <v>0</v>
      </c>
      <c r="O288" s="44">
        <v>0</v>
      </c>
      <c r="P288" s="44"/>
      <c r="Q288" s="44">
        <v>0</v>
      </c>
      <c r="R288" s="44"/>
      <c r="S288" s="68"/>
      <c r="T288" s="136">
        <v>6409.1718899999996</v>
      </c>
      <c r="U288" s="24">
        <f t="shared" si="73"/>
        <v>1</v>
      </c>
    </row>
    <row r="289" spans="1:22" x14ac:dyDescent="0.25">
      <c r="A289" s="135">
        <f t="shared" si="74"/>
        <v>272</v>
      </c>
      <c r="B289" s="134">
        <f t="shared" si="75"/>
        <v>84</v>
      </c>
      <c r="C289" s="77" t="s">
        <v>72</v>
      </c>
      <c r="D289" s="77" t="s">
        <v>332</v>
      </c>
      <c r="E289" s="129">
        <f>SUBTOTAL(9,F289:T289)</f>
        <v>7294260.8670106996</v>
      </c>
      <c r="F289" s="44">
        <v>5775011.7999999998</v>
      </c>
      <c r="G289" s="44">
        <v>0</v>
      </c>
      <c r="H289" s="44">
        <v>0</v>
      </c>
      <c r="I289" s="44">
        <v>0</v>
      </c>
      <c r="J289" s="44"/>
      <c r="K289" s="44"/>
      <c r="L289" s="44"/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1233787.3953999998</v>
      </c>
      <c r="S289" s="68">
        <v>100001.5141</v>
      </c>
      <c r="T289" s="136">
        <v>185460.15751070005</v>
      </c>
      <c r="U289" s="24">
        <f>COUNTIF(F289:Q289,"&gt;0")</f>
        <v>1</v>
      </c>
      <c r="V289" s="1" t="s">
        <v>714</v>
      </c>
    </row>
    <row r="290" spans="1:22" x14ac:dyDescent="0.25">
      <c r="A290" s="135">
        <f t="shared" si="74"/>
        <v>273</v>
      </c>
      <c r="B290" s="134">
        <f t="shared" si="75"/>
        <v>85</v>
      </c>
      <c r="C290" s="77" t="s">
        <v>72</v>
      </c>
      <c r="D290" s="77" t="s">
        <v>188</v>
      </c>
      <c r="E290" s="129">
        <f t="shared" si="72"/>
        <v>30038627.562941588</v>
      </c>
      <c r="F290" s="44">
        <v>0</v>
      </c>
      <c r="G290" s="44">
        <v>2812958.6787006906</v>
      </c>
      <c r="H290" s="44"/>
      <c r="I290" s="44"/>
      <c r="J290" s="44">
        <v>1471946.54</v>
      </c>
      <c r="K290" s="44"/>
      <c r="L290" s="44"/>
      <c r="M290" s="44">
        <v>0</v>
      </c>
      <c r="N290" s="44">
        <v>0</v>
      </c>
      <c r="O290" s="44">
        <v>0</v>
      </c>
      <c r="P290" s="44">
        <v>25094924.378064241</v>
      </c>
      <c r="Q290" s="44">
        <v>0</v>
      </c>
      <c r="R290" s="44"/>
      <c r="S290" s="68"/>
      <c r="T290" s="136">
        <f>555416.30026576+103381.6659109</f>
        <v>658797.96617666003</v>
      </c>
      <c r="U290" s="24">
        <f t="shared" si="73"/>
        <v>3</v>
      </c>
    </row>
    <row r="291" spans="1:22" x14ac:dyDescent="0.25">
      <c r="A291" s="135">
        <f t="shared" si="74"/>
        <v>274</v>
      </c>
      <c r="B291" s="134">
        <f t="shared" si="75"/>
        <v>86</v>
      </c>
      <c r="C291" s="77" t="s">
        <v>72</v>
      </c>
      <c r="D291" s="77" t="s">
        <v>334</v>
      </c>
      <c r="E291" s="129">
        <f t="shared" si="72"/>
        <v>14052043.7567738</v>
      </c>
      <c r="F291" s="44"/>
      <c r="G291" s="44"/>
      <c r="H291" s="81"/>
      <c r="I291" s="44"/>
      <c r="J291" s="44"/>
      <c r="K291" s="44"/>
      <c r="L291" s="44"/>
      <c r="M291" s="44">
        <v>0</v>
      </c>
      <c r="N291" s="44"/>
      <c r="O291" s="44">
        <v>0</v>
      </c>
      <c r="P291" s="44"/>
      <c r="Q291" s="44">
        <v>13661056.57</v>
      </c>
      <c r="R291" s="44"/>
      <c r="S291" s="68"/>
      <c r="T291" s="136">
        <v>390987.18677379994</v>
      </c>
      <c r="U291" s="24">
        <f t="shared" si="73"/>
        <v>1</v>
      </c>
      <c r="V291" s="1" t="s">
        <v>711</v>
      </c>
    </row>
    <row r="292" spans="1:22" x14ac:dyDescent="0.25">
      <c r="A292" s="135">
        <f t="shared" si="74"/>
        <v>275</v>
      </c>
      <c r="B292" s="134">
        <f t="shared" si="75"/>
        <v>87</v>
      </c>
      <c r="C292" s="77" t="s">
        <v>72</v>
      </c>
      <c r="D292" s="77" t="s">
        <v>335</v>
      </c>
      <c r="E292" s="129">
        <f t="shared" si="72"/>
        <v>12818538.9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/>
      <c r="L292" s="44"/>
      <c r="M292" s="44">
        <v>0</v>
      </c>
      <c r="N292" s="44">
        <v>0</v>
      </c>
      <c r="O292" s="44">
        <v>0</v>
      </c>
      <c r="P292" s="44">
        <v>0</v>
      </c>
      <c r="Q292" s="44">
        <v>12345202.504488003</v>
      </c>
      <c r="R292" s="44">
        <v>155875.03</v>
      </c>
      <c r="S292" s="44">
        <v>47496.79</v>
      </c>
      <c r="T292" s="136">
        <v>269964.57551200007</v>
      </c>
      <c r="U292" s="24">
        <f t="shared" si="73"/>
        <v>1</v>
      </c>
    </row>
    <row r="293" spans="1:22" x14ac:dyDescent="0.25">
      <c r="A293" s="135">
        <f t="shared" si="74"/>
        <v>276</v>
      </c>
      <c r="B293" s="134">
        <f t="shared" si="75"/>
        <v>88</v>
      </c>
      <c r="C293" s="77" t="s">
        <v>72</v>
      </c>
      <c r="D293" s="77" t="s">
        <v>468</v>
      </c>
      <c r="E293" s="129">
        <f t="shared" si="72"/>
        <v>15974969.295365319</v>
      </c>
      <c r="F293" s="44">
        <v>6546503.21</v>
      </c>
      <c r="G293" s="44">
        <v>2315850.2599999998</v>
      </c>
      <c r="H293" s="44"/>
      <c r="I293" s="44"/>
      <c r="J293" s="44"/>
      <c r="K293" s="44"/>
      <c r="L293" s="44"/>
      <c r="M293" s="44"/>
      <c r="N293" s="44">
        <v>6974369.0800000001</v>
      </c>
      <c r="O293" s="44">
        <v>0</v>
      </c>
      <c r="P293" s="44">
        <v>0</v>
      </c>
      <c r="Q293" s="44">
        <v>0</v>
      </c>
      <c r="R293" s="44"/>
      <c r="S293" s="68"/>
      <c r="T293" s="136">
        <v>138246.74536532001</v>
      </c>
      <c r="U293" s="24">
        <f t="shared" si="73"/>
        <v>3</v>
      </c>
    </row>
    <row r="294" spans="1:22" x14ac:dyDescent="0.25">
      <c r="A294" s="135">
        <f t="shared" si="74"/>
        <v>277</v>
      </c>
      <c r="B294" s="134">
        <f t="shared" si="75"/>
        <v>89</v>
      </c>
      <c r="C294" s="77"/>
      <c r="D294" s="77" t="s">
        <v>339</v>
      </c>
      <c r="E294" s="129">
        <f t="shared" si="72"/>
        <v>8773415.9399999995</v>
      </c>
      <c r="F294" s="44">
        <v>8773415.9399999995</v>
      </c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136"/>
      <c r="U294" s="24">
        <f t="shared" si="73"/>
        <v>1</v>
      </c>
      <c r="V294" s="1" t="s">
        <v>733</v>
      </c>
    </row>
    <row r="295" spans="1:22" x14ac:dyDescent="0.25">
      <c r="A295" s="135">
        <f t="shared" si="74"/>
        <v>278</v>
      </c>
      <c r="B295" s="134">
        <f t="shared" si="75"/>
        <v>90</v>
      </c>
      <c r="C295" s="77"/>
      <c r="D295" s="77" t="s">
        <v>81</v>
      </c>
      <c r="E295" s="129">
        <f t="shared" si="72"/>
        <v>27557769.723289579</v>
      </c>
      <c r="F295" s="44"/>
      <c r="G295" s="44"/>
      <c r="H295" s="44"/>
      <c r="I295" s="44"/>
      <c r="J295" s="44">
        <v>949732.79447620141</v>
      </c>
      <c r="K295" s="44"/>
      <c r="L295" s="44">
        <v>0</v>
      </c>
      <c r="M295" s="44">
        <v>0</v>
      </c>
      <c r="N295" s="44">
        <v>12209113.6236846</v>
      </c>
      <c r="O295" s="44">
        <v>0</v>
      </c>
      <c r="P295" s="44">
        <v>6321352.9122516979</v>
      </c>
      <c r="Q295" s="44">
        <v>6818312.1307106828</v>
      </c>
      <c r="R295" s="44">
        <v>684163.08</v>
      </c>
      <c r="S295" s="44"/>
      <c r="T295" s="136">
        <v>575095.18216639699</v>
      </c>
      <c r="U295" s="24">
        <f t="shared" si="73"/>
        <v>4</v>
      </c>
    </row>
    <row r="296" spans="1:22" x14ac:dyDescent="0.25">
      <c r="A296" s="135">
        <f t="shared" si="74"/>
        <v>279</v>
      </c>
      <c r="B296" s="134">
        <f t="shared" si="75"/>
        <v>91</v>
      </c>
      <c r="C296" s="77"/>
      <c r="D296" s="77" t="s">
        <v>82</v>
      </c>
      <c r="E296" s="129">
        <f t="shared" si="72"/>
        <v>26132279.709870167</v>
      </c>
      <c r="F296" s="44"/>
      <c r="G296" s="44"/>
      <c r="H296" s="44"/>
      <c r="I296" s="44"/>
      <c r="J296" s="44">
        <v>863761.78615712165</v>
      </c>
      <c r="K296" s="44"/>
      <c r="L296" s="44">
        <v>0</v>
      </c>
      <c r="M296" s="44">
        <v>0</v>
      </c>
      <c r="N296" s="44">
        <v>12089519.128083602</v>
      </c>
      <c r="O296" s="44">
        <v>0</v>
      </c>
      <c r="P296" s="44">
        <v>5749136.0877218517</v>
      </c>
      <c r="Q296" s="44">
        <v>6201109.93202837</v>
      </c>
      <c r="R296" s="44">
        <v>684163.08</v>
      </c>
      <c r="S296" s="44"/>
      <c r="T296" s="136">
        <v>544589.69587922154</v>
      </c>
      <c r="U296" s="24">
        <f t="shared" si="73"/>
        <v>4</v>
      </c>
    </row>
    <row r="297" spans="1:22" x14ac:dyDescent="0.25">
      <c r="A297" s="135">
        <f t="shared" si="74"/>
        <v>280</v>
      </c>
      <c r="B297" s="134">
        <f t="shared" si="75"/>
        <v>92</v>
      </c>
      <c r="C297" s="77"/>
      <c r="D297" s="77" t="s">
        <v>588</v>
      </c>
      <c r="E297" s="129">
        <f t="shared" ref="E297:E371" si="76">SUBTOTAL(9,F297:T297)</f>
        <v>51364810.400115289</v>
      </c>
      <c r="F297" s="44">
        <v>6144729.9015154075</v>
      </c>
      <c r="G297" s="44">
        <v>3579457.7618007269</v>
      </c>
      <c r="H297" s="44">
        <v>3887139.10374681</v>
      </c>
      <c r="I297" s="44">
        <v>2975701.9584087268</v>
      </c>
      <c r="J297" s="44">
        <v>1375468.2230831808</v>
      </c>
      <c r="K297" s="44"/>
      <c r="L297" s="44">
        <v>292698.95808608586</v>
      </c>
      <c r="M297" s="44"/>
      <c r="N297" s="44"/>
      <c r="O297" s="44"/>
      <c r="P297" s="44">
        <v>22115449.1287481</v>
      </c>
      <c r="Q297" s="44">
        <v>8607388.0582517814</v>
      </c>
      <c r="R297" s="44">
        <v>1315726.9200000002</v>
      </c>
      <c r="S297" s="68"/>
      <c r="T297" s="136">
        <v>1071050.3864744671</v>
      </c>
      <c r="U297" s="24">
        <f t="shared" ref="U297:U371" si="77">COUNTIF(F297:Q297,"&gt;0")</f>
        <v>8</v>
      </c>
    </row>
    <row r="298" spans="1:22" x14ac:dyDescent="0.25">
      <c r="A298" s="135">
        <f t="shared" si="74"/>
        <v>281</v>
      </c>
      <c r="B298" s="134">
        <f t="shared" si="75"/>
        <v>93</v>
      </c>
      <c r="C298" s="77" t="s">
        <v>72</v>
      </c>
      <c r="D298" s="77" t="s">
        <v>192</v>
      </c>
      <c r="E298" s="129">
        <f t="shared" si="76"/>
        <v>1361469.02</v>
      </c>
      <c r="F298" s="44">
        <v>0</v>
      </c>
      <c r="G298" s="44">
        <v>0</v>
      </c>
      <c r="H298" s="44">
        <v>0</v>
      </c>
      <c r="I298" s="44">
        <v>0</v>
      </c>
      <c r="J298" s="44">
        <v>1350771.93</v>
      </c>
      <c r="K298" s="44"/>
      <c r="L298" s="44"/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/>
      <c r="S298" s="68"/>
      <c r="T298" s="136">
        <v>10697.09</v>
      </c>
      <c r="U298" s="24">
        <f t="shared" si="77"/>
        <v>1</v>
      </c>
    </row>
    <row r="299" spans="1:22" x14ac:dyDescent="0.25">
      <c r="A299" s="135">
        <f t="shared" si="74"/>
        <v>282</v>
      </c>
      <c r="B299" s="134">
        <f t="shared" si="75"/>
        <v>94</v>
      </c>
      <c r="C299" s="77" t="s">
        <v>72</v>
      </c>
      <c r="D299" s="77" t="s">
        <v>344</v>
      </c>
      <c r="E299" s="129">
        <f t="shared" si="76"/>
        <v>4002892.3932919996</v>
      </c>
      <c r="F299" s="77">
        <v>0</v>
      </c>
      <c r="G299" s="77">
        <v>0</v>
      </c>
      <c r="H299" s="77">
        <v>0</v>
      </c>
      <c r="I299" s="77">
        <v>0</v>
      </c>
      <c r="J299" s="77">
        <v>0</v>
      </c>
      <c r="K299" s="77"/>
      <c r="L299" s="77"/>
      <c r="M299" s="77">
        <v>0</v>
      </c>
      <c r="N299" s="77">
        <v>3263979.76</v>
      </c>
      <c r="O299" s="77">
        <v>0</v>
      </c>
      <c r="P299" s="77">
        <v>0</v>
      </c>
      <c r="Q299" s="77">
        <v>0</v>
      </c>
      <c r="R299" s="44">
        <v>414638.11</v>
      </c>
      <c r="S299" s="77">
        <v>24000</v>
      </c>
      <c r="T299" s="149">
        <v>300274.52329200006</v>
      </c>
      <c r="U299" s="24">
        <f t="shared" si="77"/>
        <v>1</v>
      </c>
    </row>
    <row r="300" spans="1:22" x14ac:dyDescent="0.25">
      <c r="A300" s="135">
        <f t="shared" si="74"/>
        <v>283</v>
      </c>
      <c r="B300" s="134">
        <f t="shared" si="75"/>
        <v>95</v>
      </c>
      <c r="C300" s="77" t="s">
        <v>72</v>
      </c>
      <c r="D300" s="77" t="s">
        <v>345</v>
      </c>
      <c r="E300" s="129">
        <f t="shared" si="76"/>
        <v>79737727.121219635</v>
      </c>
      <c r="F300" s="44">
        <v>12940969.379562</v>
      </c>
      <c r="G300" s="44">
        <v>4683661.9785479996</v>
      </c>
      <c r="H300" s="44">
        <v>4913333.9575319998</v>
      </c>
      <c r="I300" s="44">
        <v>3167052.5843460001</v>
      </c>
      <c r="J300" s="44">
        <v>1684797.1438548602</v>
      </c>
      <c r="K300" s="44"/>
      <c r="L300" s="44">
        <v>453343.1808108</v>
      </c>
      <c r="M300" s="44">
        <v>0</v>
      </c>
      <c r="N300" s="44">
        <v>23720691.238029338</v>
      </c>
      <c r="O300" s="44">
        <v>0</v>
      </c>
      <c r="P300" s="44">
        <v>12262218.115820052</v>
      </c>
      <c r="Q300" s="44">
        <v>13351798.375892486</v>
      </c>
      <c r="R300" s="44">
        <v>872137.55</v>
      </c>
      <c r="S300" s="68"/>
      <c r="T300" s="136">
        <v>1687723.6168241003</v>
      </c>
      <c r="U300" s="24">
        <f t="shared" si="77"/>
        <v>9</v>
      </c>
    </row>
    <row r="301" spans="1:22" x14ac:dyDescent="0.25">
      <c r="A301" s="135">
        <f t="shared" si="74"/>
        <v>284</v>
      </c>
      <c r="B301" s="134">
        <f t="shared" si="75"/>
        <v>96</v>
      </c>
      <c r="C301" s="77" t="s">
        <v>72</v>
      </c>
      <c r="D301" s="77" t="s">
        <v>346</v>
      </c>
      <c r="E301" s="129">
        <f t="shared" si="76"/>
        <v>20464603.039999999</v>
      </c>
      <c r="F301" s="44">
        <v>9211045.8918660004</v>
      </c>
      <c r="G301" s="44"/>
      <c r="H301" s="44">
        <v>5754481.5923699997</v>
      </c>
      <c r="I301" s="44">
        <v>4529120.957676</v>
      </c>
      <c r="J301" s="44"/>
      <c r="K301" s="44"/>
      <c r="L301" s="44">
        <v>418375.75401383999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93758.837799999994</v>
      </c>
      <c r="S301" s="68">
        <v>22362.497800000001</v>
      </c>
      <c r="T301" s="136">
        <v>435457.50847415999</v>
      </c>
      <c r="U301" s="24">
        <f t="shared" si="77"/>
        <v>4</v>
      </c>
    </row>
    <row r="302" spans="1:22" x14ac:dyDescent="0.25">
      <c r="A302" s="135">
        <f t="shared" si="74"/>
        <v>285</v>
      </c>
      <c r="B302" s="134">
        <f t="shared" si="75"/>
        <v>97</v>
      </c>
      <c r="C302" s="77" t="s">
        <v>72</v>
      </c>
      <c r="D302" s="77" t="s">
        <v>194</v>
      </c>
      <c r="E302" s="129">
        <f t="shared" si="76"/>
        <v>16119475.25326384</v>
      </c>
      <c r="F302" s="44"/>
      <c r="G302" s="44"/>
      <c r="H302" s="44">
        <v>0</v>
      </c>
      <c r="I302" s="44">
        <v>0</v>
      </c>
      <c r="J302" s="44">
        <v>924975.13</v>
      </c>
      <c r="K302" s="44"/>
      <c r="L302" s="44"/>
      <c r="M302" s="44">
        <v>0</v>
      </c>
      <c r="N302" s="44">
        <v>14844557.210124599</v>
      </c>
      <c r="O302" s="44">
        <v>0</v>
      </c>
      <c r="P302" s="44">
        <v>0</v>
      </c>
      <c r="Q302" s="44">
        <v>0</v>
      </c>
      <c r="R302" s="44"/>
      <c r="S302" s="68"/>
      <c r="T302" s="136">
        <v>349942.91313923994</v>
      </c>
      <c r="U302" s="24">
        <f t="shared" si="77"/>
        <v>2</v>
      </c>
    </row>
    <row r="303" spans="1:22" x14ac:dyDescent="0.25">
      <c r="A303" s="135">
        <f t="shared" si="74"/>
        <v>286</v>
      </c>
      <c r="B303" s="134">
        <f t="shared" si="75"/>
        <v>98</v>
      </c>
      <c r="C303" s="77" t="s">
        <v>72</v>
      </c>
      <c r="D303" s="77" t="s">
        <v>348</v>
      </c>
      <c r="E303" s="129">
        <f t="shared" si="76"/>
        <v>22165138.859996557</v>
      </c>
      <c r="F303" s="44">
        <v>0</v>
      </c>
      <c r="G303" s="44">
        <v>4852018.6895581791</v>
      </c>
      <c r="H303" s="44"/>
      <c r="I303" s="44">
        <v>4510734.7664399995</v>
      </c>
      <c r="J303" s="44">
        <v>1562309.5679603999</v>
      </c>
      <c r="K303" s="44"/>
      <c r="L303" s="44"/>
      <c r="M303" s="44">
        <v>0</v>
      </c>
      <c r="N303" s="44">
        <v>0</v>
      </c>
      <c r="O303" s="44">
        <v>0</v>
      </c>
      <c r="P303" s="44">
        <v>0</v>
      </c>
      <c r="Q303" s="44">
        <v>11240075.836037977</v>
      </c>
      <c r="R303" s="44"/>
      <c r="S303" s="68"/>
      <c r="T303" s="136"/>
      <c r="U303" s="24">
        <f t="shared" si="77"/>
        <v>4</v>
      </c>
    </row>
    <row r="304" spans="1:22" x14ac:dyDescent="0.25">
      <c r="A304" s="135">
        <f t="shared" si="74"/>
        <v>287</v>
      </c>
      <c r="B304" s="134">
        <f t="shared" si="75"/>
        <v>99</v>
      </c>
      <c r="C304" s="77" t="s">
        <v>72</v>
      </c>
      <c r="D304" s="77" t="s">
        <v>470</v>
      </c>
      <c r="E304" s="129">
        <f t="shared" si="76"/>
        <v>1142240.9043090399</v>
      </c>
      <c r="F304" s="44"/>
      <c r="G304" s="44"/>
      <c r="H304" s="44">
        <v>902758.42</v>
      </c>
      <c r="I304" s="44"/>
      <c r="J304" s="44"/>
      <c r="K304" s="44"/>
      <c r="L304" s="44"/>
      <c r="M304" s="44">
        <v>0</v>
      </c>
      <c r="N304" s="44"/>
      <c r="O304" s="44">
        <v>0</v>
      </c>
      <c r="P304" s="44">
        <v>0</v>
      </c>
      <c r="Q304" s="44">
        <v>0</v>
      </c>
      <c r="R304" s="44"/>
      <c r="S304" s="68"/>
      <c r="T304" s="136">
        <v>239482.48430904001</v>
      </c>
      <c r="U304" s="24">
        <f t="shared" si="77"/>
        <v>1</v>
      </c>
    </row>
    <row r="305" spans="1:22" x14ac:dyDescent="0.25">
      <c r="A305" s="135">
        <f t="shared" si="74"/>
        <v>288</v>
      </c>
      <c r="B305" s="134">
        <f t="shared" si="75"/>
        <v>100</v>
      </c>
      <c r="C305" s="77" t="s">
        <v>72</v>
      </c>
      <c r="D305" s="77" t="s">
        <v>195</v>
      </c>
      <c r="E305" s="129">
        <f t="shared" si="76"/>
        <v>9072553.7200000007</v>
      </c>
      <c r="F305" s="44">
        <v>9072553.7200000007</v>
      </c>
      <c r="G305" s="44">
        <v>0</v>
      </c>
      <c r="H305" s="44"/>
      <c r="I305" s="44">
        <v>0</v>
      </c>
      <c r="J305" s="44">
        <v>0</v>
      </c>
      <c r="K305" s="44"/>
      <c r="L305" s="44"/>
      <c r="M305" s="44">
        <v>0</v>
      </c>
      <c r="N305" s="44">
        <v>0</v>
      </c>
      <c r="O305" s="44">
        <v>0</v>
      </c>
      <c r="P305" s="44"/>
      <c r="Q305" s="44">
        <v>0</v>
      </c>
      <c r="R305" s="44"/>
      <c r="S305" s="68"/>
      <c r="T305" s="136"/>
      <c r="U305" s="24">
        <f t="shared" si="77"/>
        <v>1</v>
      </c>
      <c r="V305" s="1" t="s">
        <v>733</v>
      </c>
    </row>
    <row r="306" spans="1:22" x14ac:dyDescent="0.25">
      <c r="A306" s="135">
        <f t="shared" si="74"/>
        <v>289</v>
      </c>
      <c r="B306" s="134">
        <f t="shared" si="75"/>
        <v>101</v>
      </c>
      <c r="C306" s="77" t="s">
        <v>72</v>
      </c>
      <c r="D306" s="77" t="s">
        <v>472</v>
      </c>
      <c r="E306" s="129">
        <f t="shared" si="76"/>
        <v>1447716.48246928</v>
      </c>
      <c r="F306" s="44"/>
      <c r="G306" s="44">
        <v>773824.99</v>
      </c>
      <c r="H306" s="44"/>
      <c r="I306" s="44">
        <v>492005.51</v>
      </c>
      <c r="J306" s="44"/>
      <c r="K306" s="44"/>
      <c r="L306" s="44"/>
      <c r="M306" s="44">
        <v>0</v>
      </c>
      <c r="N306" s="44"/>
      <c r="O306" s="44">
        <v>0</v>
      </c>
      <c r="P306" s="44">
        <v>0</v>
      </c>
      <c r="Q306" s="44">
        <v>0</v>
      </c>
      <c r="R306" s="44"/>
      <c r="S306" s="68"/>
      <c r="T306" s="136">
        <v>181885.98246928002</v>
      </c>
      <c r="U306" s="24">
        <f t="shared" si="77"/>
        <v>2</v>
      </c>
      <c r="V306" s="1" t="s">
        <v>711</v>
      </c>
    </row>
    <row r="307" spans="1:22" x14ac:dyDescent="0.25">
      <c r="A307" s="135">
        <f t="shared" si="74"/>
        <v>290</v>
      </c>
      <c r="B307" s="134">
        <f t="shared" si="75"/>
        <v>102</v>
      </c>
      <c r="C307" s="77" t="s">
        <v>72</v>
      </c>
      <c r="D307" s="77" t="s">
        <v>473</v>
      </c>
      <c r="E307" s="129">
        <f t="shared" si="76"/>
        <v>2775681.0349999997</v>
      </c>
      <c r="F307" s="44"/>
      <c r="G307" s="44">
        <v>1524520.14</v>
      </c>
      <c r="H307" s="44"/>
      <c r="I307" s="44">
        <v>1224386.0518469999</v>
      </c>
      <c r="J307" s="44"/>
      <c r="K307" s="44"/>
      <c r="L307" s="44"/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/>
      <c r="S307" s="68"/>
      <c r="T307" s="136">
        <v>26774.843153000005</v>
      </c>
      <c r="U307" s="24">
        <f t="shared" si="77"/>
        <v>2</v>
      </c>
    </row>
    <row r="308" spans="1:22" x14ac:dyDescent="0.25">
      <c r="A308" s="135">
        <f t="shared" si="74"/>
        <v>291</v>
      </c>
      <c r="B308" s="134">
        <f t="shared" si="75"/>
        <v>103</v>
      </c>
      <c r="C308" s="77" t="s">
        <v>72</v>
      </c>
      <c r="D308" s="77" t="s">
        <v>353</v>
      </c>
      <c r="E308" s="129">
        <f>SUBTOTAL(9,F308:T308)</f>
        <v>14886688.384542881</v>
      </c>
      <c r="F308" s="44"/>
      <c r="G308" s="44"/>
      <c r="H308" s="44"/>
      <c r="I308" s="44"/>
      <c r="J308" s="44"/>
      <c r="K308" s="44"/>
      <c r="L308" s="44"/>
      <c r="M308" s="44"/>
      <c r="N308" s="44"/>
      <c r="O308" s="44">
        <v>0</v>
      </c>
      <c r="P308" s="44">
        <v>14156807.720000001</v>
      </c>
      <c r="Q308" s="44"/>
      <c r="R308" s="44">
        <v>185105.35</v>
      </c>
      <c r="S308" s="68"/>
      <c r="T308" s="136">
        <v>544775.31454288005</v>
      </c>
      <c r="U308" s="24">
        <f>COUNTIF(F308:Q308,"&gt;0")</f>
        <v>1</v>
      </c>
      <c r="V308" s="1" t="s">
        <v>714</v>
      </c>
    </row>
    <row r="309" spans="1:22" x14ac:dyDescent="0.25">
      <c r="A309" s="135">
        <f t="shared" si="74"/>
        <v>292</v>
      </c>
      <c r="B309" s="134">
        <f t="shared" si="75"/>
        <v>104</v>
      </c>
      <c r="C309" s="77" t="s">
        <v>72</v>
      </c>
      <c r="D309" s="77" t="s">
        <v>356</v>
      </c>
      <c r="E309" s="129">
        <f t="shared" si="76"/>
        <v>2425305.8059979999</v>
      </c>
      <c r="F309" s="44"/>
      <c r="G309" s="44"/>
      <c r="H309" s="44">
        <v>2131365.73</v>
      </c>
      <c r="I309" s="44"/>
      <c r="J309" s="44"/>
      <c r="K309" s="44"/>
      <c r="L309" s="44"/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/>
      <c r="S309" s="68"/>
      <c r="T309" s="136">
        <v>293940.07599800004</v>
      </c>
      <c r="U309" s="24">
        <f t="shared" si="77"/>
        <v>1</v>
      </c>
      <c r="V309" s="1" t="s">
        <v>714</v>
      </c>
    </row>
    <row r="310" spans="1:22" x14ac:dyDescent="0.25">
      <c r="A310" s="135">
        <f t="shared" si="74"/>
        <v>293</v>
      </c>
      <c r="B310" s="134">
        <f t="shared" si="75"/>
        <v>105</v>
      </c>
      <c r="C310" s="77" t="s">
        <v>72</v>
      </c>
      <c r="D310" s="77" t="s">
        <v>474</v>
      </c>
      <c r="E310" s="129">
        <f t="shared" si="76"/>
        <v>3379171.1646039202</v>
      </c>
      <c r="F310" s="44">
        <v>2685666.7031999999</v>
      </c>
      <c r="G310" s="44"/>
      <c r="H310" s="44"/>
      <c r="I310" s="44"/>
      <c r="J310" s="81"/>
      <c r="K310" s="44"/>
      <c r="L310" s="44"/>
      <c r="M310" s="44">
        <v>0</v>
      </c>
      <c r="N310" s="44"/>
      <c r="O310" s="44">
        <v>0</v>
      </c>
      <c r="P310" s="44">
        <v>0</v>
      </c>
      <c r="Q310" s="44">
        <v>0</v>
      </c>
      <c r="R310" s="44">
        <v>513326.799</v>
      </c>
      <c r="S310" s="68">
        <v>73858.718200000003</v>
      </c>
      <c r="T310" s="136">
        <v>106318.94420392002</v>
      </c>
      <c r="U310" s="24">
        <f t="shared" si="77"/>
        <v>1</v>
      </c>
      <c r="V310" s="1" t="s">
        <v>711</v>
      </c>
    </row>
    <row r="311" spans="1:22" x14ac:dyDescent="0.25">
      <c r="A311" s="135">
        <f t="shared" si="74"/>
        <v>294</v>
      </c>
      <c r="B311" s="134">
        <f t="shared" si="75"/>
        <v>106</v>
      </c>
      <c r="C311" s="77"/>
      <c r="D311" s="77" t="s">
        <v>651</v>
      </c>
      <c r="E311" s="129">
        <f t="shared" si="76"/>
        <v>28649224.581331842</v>
      </c>
      <c r="F311" s="44">
        <v>4576911.5816813763</v>
      </c>
      <c r="G311" s="44">
        <v>1579170.278889101</v>
      </c>
      <c r="H311" s="44">
        <v>1749764.9776173774</v>
      </c>
      <c r="I311" s="44">
        <v>1033837.3260811009</v>
      </c>
      <c r="J311" s="44"/>
      <c r="K311" s="44"/>
      <c r="L311" s="44">
        <v>169508.96361133867</v>
      </c>
      <c r="M311" s="44"/>
      <c r="N311" s="44">
        <v>8581326.8504877668</v>
      </c>
      <c r="O311" s="44"/>
      <c r="P311" s="44">
        <v>4351256.1518796822</v>
      </c>
      <c r="Q311" s="44">
        <v>4796312.227541185</v>
      </c>
      <c r="R311" s="44">
        <v>1182055.9529919669</v>
      </c>
      <c r="S311" s="68">
        <v>42185.634482399997</v>
      </c>
      <c r="T311" s="136">
        <v>586894.63606854994</v>
      </c>
      <c r="U311" s="24">
        <f t="shared" si="77"/>
        <v>8</v>
      </c>
    </row>
    <row r="312" spans="1:22" x14ac:dyDescent="0.25">
      <c r="A312" s="135">
        <f t="shared" si="74"/>
        <v>295</v>
      </c>
      <c r="B312" s="134">
        <f t="shared" si="75"/>
        <v>107</v>
      </c>
      <c r="C312" s="77" t="s">
        <v>72</v>
      </c>
      <c r="D312" s="77" t="s">
        <v>359</v>
      </c>
      <c r="E312" s="129">
        <f t="shared" si="76"/>
        <v>13829756.653114039</v>
      </c>
      <c r="F312" s="44">
        <v>5740166.195995139</v>
      </c>
      <c r="G312" s="44"/>
      <c r="H312" s="44"/>
      <c r="I312" s="81"/>
      <c r="J312" s="44"/>
      <c r="K312" s="44"/>
      <c r="L312" s="44">
        <v>285227.34661260003</v>
      </c>
      <c r="M312" s="44"/>
      <c r="N312" s="44"/>
      <c r="O312" s="44"/>
      <c r="P312" s="44"/>
      <c r="Q312" s="44">
        <v>6294505.1200000001</v>
      </c>
      <c r="R312" s="44">
        <v>1065595.152</v>
      </c>
      <c r="S312" s="68">
        <v>110213.54349999999</v>
      </c>
      <c r="T312" s="136">
        <v>334049.29500629997</v>
      </c>
      <c r="U312" s="24">
        <f>COUNTIF(F312:Q312,"&gt;0")</f>
        <v>3</v>
      </c>
    </row>
    <row r="313" spans="1:22" x14ac:dyDescent="0.25">
      <c r="A313" s="135">
        <f t="shared" si="74"/>
        <v>296</v>
      </c>
      <c r="B313" s="134">
        <f t="shared" si="75"/>
        <v>108</v>
      </c>
      <c r="C313" s="77" t="s">
        <v>72</v>
      </c>
      <c r="D313" s="77" t="s">
        <v>196</v>
      </c>
      <c r="E313" s="129">
        <f t="shared" si="76"/>
        <v>1535156.8941092999</v>
      </c>
      <c r="F313" s="44">
        <v>0</v>
      </c>
      <c r="G313" s="44">
        <v>0</v>
      </c>
      <c r="H313" s="44">
        <v>0</v>
      </c>
      <c r="I313" s="44">
        <v>0</v>
      </c>
      <c r="J313" s="44">
        <v>1356649.13</v>
      </c>
      <c r="K313" s="44"/>
      <c r="L313" s="44"/>
      <c r="M313" s="44">
        <v>0</v>
      </c>
      <c r="N313" s="44">
        <v>0</v>
      </c>
      <c r="O313" s="44">
        <v>0</v>
      </c>
      <c r="P313" s="44">
        <v>0</v>
      </c>
      <c r="Q313" s="44"/>
      <c r="R313" s="44"/>
      <c r="S313" s="68"/>
      <c r="T313" s="136">
        <v>178507.76410930001</v>
      </c>
      <c r="U313" s="24">
        <f t="shared" si="77"/>
        <v>1</v>
      </c>
    </row>
    <row r="314" spans="1:22" x14ac:dyDescent="0.25">
      <c r="A314" s="135">
        <f t="shared" si="74"/>
        <v>297</v>
      </c>
      <c r="B314" s="134">
        <f t="shared" si="75"/>
        <v>109</v>
      </c>
      <c r="C314" s="77" t="s">
        <v>72</v>
      </c>
      <c r="D314" s="77" t="s">
        <v>197</v>
      </c>
      <c r="E314" s="129">
        <f t="shared" si="76"/>
        <v>1572957.3080766001</v>
      </c>
      <c r="F314" s="44">
        <v>0</v>
      </c>
      <c r="G314" s="44">
        <v>0</v>
      </c>
      <c r="H314" s="44">
        <v>0</v>
      </c>
      <c r="I314" s="44">
        <v>0</v>
      </c>
      <c r="J314" s="44">
        <v>1392786.91</v>
      </c>
      <c r="K314" s="44"/>
      <c r="L314" s="44"/>
      <c r="M314" s="44">
        <v>0</v>
      </c>
      <c r="N314" s="44">
        <v>0</v>
      </c>
      <c r="O314" s="44">
        <v>0</v>
      </c>
      <c r="P314" s="44">
        <v>0</v>
      </c>
      <c r="Q314" s="44"/>
      <c r="R314" s="44"/>
      <c r="S314" s="68"/>
      <c r="T314" s="136">
        <v>180170.39807660005</v>
      </c>
      <c r="U314" s="24">
        <f t="shared" si="77"/>
        <v>1</v>
      </c>
    </row>
    <row r="315" spans="1:22" x14ac:dyDescent="0.25">
      <c r="A315" s="135">
        <f t="shared" si="74"/>
        <v>298</v>
      </c>
      <c r="B315" s="134">
        <f t="shared" si="75"/>
        <v>110</v>
      </c>
      <c r="C315" s="77" t="s">
        <v>72</v>
      </c>
      <c r="D315" s="77" t="s">
        <v>198</v>
      </c>
      <c r="E315" s="129">
        <f t="shared" si="76"/>
        <v>1352653.874176</v>
      </c>
      <c r="F315" s="44">
        <v>0</v>
      </c>
      <c r="G315" s="44">
        <v>0</v>
      </c>
      <c r="H315" s="44">
        <v>0</v>
      </c>
      <c r="I315" s="44">
        <v>0</v>
      </c>
      <c r="J315" s="44">
        <v>1346427.66</v>
      </c>
      <c r="K315" s="44"/>
      <c r="L315" s="44"/>
      <c r="M315" s="44">
        <v>0</v>
      </c>
      <c r="N315" s="44">
        <v>0</v>
      </c>
      <c r="O315" s="44">
        <v>0</v>
      </c>
      <c r="P315" s="44">
        <v>0</v>
      </c>
      <c r="Q315" s="44"/>
      <c r="R315" s="44"/>
      <c r="S315" s="68"/>
      <c r="T315" s="136">
        <v>6226.2141759999995</v>
      </c>
      <c r="U315" s="24">
        <f t="shared" si="77"/>
        <v>1</v>
      </c>
    </row>
    <row r="316" spans="1:22" x14ac:dyDescent="0.25">
      <c r="A316" s="135">
        <f t="shared" si="74"/>
        <v>299</v>
      </c>
      <c r="B316" s="134">
        <f t="shared" si="75"/>
        <v>111</v>
      </c>
      <c r="C316" s="77" t="s">
        <v>72</v>
      </c>
      <c r="D316" s="77" t="s">
        <v>199</v>
      </c>
      <c r="E316" s="129">
        <f t="shared" si="76"/>
        <v>1352798.894176</v>
      </c>
      <c r="F316" s="44">
        <v>0</v>
      </c>
      <c r="G316" s="44">
        <v>0</v>
      </c>
      <c r="H316" s="44">
        <v>0</v>
      </c>
      <c r="I316" s="44">
        <v>0</v>
      </c>
      <c r="J316" s="44">
        <v>1346569.54</v>
      </c>
      <c r="K316" s="44"/>
      <c r="L316" s="44"/>
      <c r="M316" s="44">
        <v>0</v>
      </c>
      <c r="N316" s="44">
        <v>0</v>
      </c>
      <c r="O316" s="44">
        <v>0</v>
      </c>
      <c r="P316" s="44">
        <v>0</v>
      </c>
      <c r="Q316" s="44"/>
      <c r="R316" s="44"/>
      <c r="S316" s="68"/>
      <c r="T316" s="136">
        <v>6229.3541759999989</v>
      </c>
      <c r="U316" s="24">
        <f t="shared" si="77"/>
        <v>1</v>
      </c>
    </row>
    <row r="317" spans="1:22" x14ac:dyDescent="0.25">
      <c r="A317" s="135">
        <f t="shared" si="74"/>
        <v>300</v>
      </c>
      <c r="B317" s="134">
        <f t="shared" si="75"/>
        <v>112</v>
      </c>
      <c r="C317" s="77" t="s">
        <v>72</v>
      </c>
      <c r="D317" s="77" t="s">
        <v>476</v>
      </c>
      <c r="E317" s="129">
        <f t="shared" si="76"/>
        <v>25460137.099999998</v>
      </c>
      <c r="F317" s="44">
        <v>6334618.4835359994</v>
      </c>
      <c r="G317" s="44">
        <v>2285255.0308980001</v>
      </c>
      <c r="H317" s="44">
        <v>2403367.4221200002</v>
      </c>
      <c r="I317" s="44">
        <v>1543119.658416</v>
      </c>
      <c r="J317" s="44"/>
      <c r="K317" s="44"/>
      <c r="L317" s="44">
        <v>222397.71089423998</v>
      </c>
      <c r="M317" s="44">
        <v>0</v>
      </c>
      <c r="N317" s="44">
        <v>11696963.74329</v>
      </c>
      <c r="O317" s="44">
        <v>0</v>
      </c>
      <c r="P317" s="44">
        <v>0</v>
      </c>
      <c r="Q317" s="44"/>
      <c r="R317" s="44">
        <v>388642.91079999995</v>
      </c>
      <c r="S317" s="68">
        <v>50318.9908</v>
      </c>
      <c r="T317" s="136">
        <v>535453.14924575994</v>
      </c>
      <c r="U317" s="24">
        <f t="shared" si="77"/>
        <v>6</v>
      </c>
    </row>
    <row r="318" spans="1:22" x14ac:dyDescent="0.25">
      <c r="A318" s="135">
        <f t="shared" si="74"/>
        <v>301</v>
      </c>
      <c r="B318" s="134">
        <f t="shared" si="75"/>
        <v>113</v>
      </c>
      <c r="C318" s="77" t="s">
        <v>72</v>
      </c>
      <c r="D318" s="77" t="s">
        <v>477</v>
      </c>
      <c r="E318" s="129">
        <f t="shared" si="76"/>
        <v>25870244.519999996</v>
      </c>
      <c r="F318" s="44">
        <v>6438393.5627339995</v>
      </c>
      <c r="G318" s="44">
        <v>2323154.7703559999</v>
      </c>
      <c r="H318" s="44">
        <v>2442854.4997079996</v>
      </c>
      <c r="I318" s="44">
        <v>1568819.974554</v>
      </c>
      <c r="J318" s="44"/>
      <c r="K318" s="44"/>
      <c r="L318" s="44">
        <v>226016.53592027997</v>
      </c>
      <c r="M318" s="44">
        <v>0</v>
      </c>
      <c r="N318" s="44">
        <v>11889999.423917999</v>
      </c>
      <c r="O318" s="44">
        <v>0</v>
      </c>
      <c r="P318" s="44">
        <v>0</v>
      </c>
      <c r="Q318" s="44">
        <v>0</v>
      </c>
      <c r="R318" s="44">
        <v>386371.78509999998</v>
      </c>
      <c r="S318" s="68">
        <v>50356.725099999996</v>
      </c>
      <c r="T318" s="136">
        <v>544277.24260971998</v>
      </c>
      <c r="U318" s="24">
        <f t="shared" si="77"/>
        <v>6</v>
      </c>
    </row>
    <row r="319" spans="1:22" x14ac:dyDescent="0.25">
      <c r="A319" s="135">
        <f t="shared" si="74"/>
        <v>302</v>
      </c>
      <c r="B319" s="134">
        <f t="shared" si="75"/>
        <v>114</v>
      </c>
      <c r="C319" s="77" t="s">
        <v>72</v>
      </c>
      <c r="D319" s="77" t="s">
        <v>363</v>
      </c>
      <c r="E319" s="129">
        <f t="shared" si="76"/>
        <v>35496577.607600003</v>
      </c>
      <c r="F319" s="44">
        <v>7094689.9108260004</v>
      </c>
      <c r="G319" s="44">
        <v>2547296.6905259998</v>
      </c>
      <c r="H319" s="44">
        <v>2688117.7002540003</v>
      </c>
      <c r="I319" s="44">
        <v>1716680.7293160001</v>
      </c>
      <c r="J319" s="44"/>
      <c r="K319" s="44"/>
      <c r="L319" s="44">
        <v>249717.57989135996</v>
      </c>
      <c r="M319" s="44">
        <v>0</v>
      </c>
      <c r="N319" s="44">
        <v>13087063.849398002</v>
      </c>
      <c r="O319" s="44">
        <v>0</v>
      </c>
      <c r="P319" s="44">
        <v>0</v>
      </c>
      <c r="Q319" s="44">
        <v>7353384.3865860002</v>
      </c>
      <c r="R319" s="44"/>
      <c r="S319" s="68"/>
      <c r="T319" s="136">
        <v>759626.76080264</v>
      </c>
      <c r="U319" s="24">
        <f t="shared" si="77"/>
        <v>7</v>
      </c>
    </row>
    <row r="320" spans="1:22" x14ac:dyDescent="0.25">
      <c r="A320" s="135">
        <f t="shared" si="74"/>
        <v>303</v>
      </c>
      <c r="B320" s="134">
        <f t="shared" si="75"/>
        <v>115</v>
      </c>
      <c r="C320" s="77" t="s">
        <v>72</v>
      </c>
      <c r="D320" s="77" t="s">
        <v>201</v>
      </c>
      <c r="E320" s="129">
        <f t="shared" si="76"/>
        <v>1263115.48</v>
      </c>
      <c r="F320" s="44">
        <v>0</v>
      </c>
      <c r="G320" s="44">
        <v>0</v>
      </c>
      <c r="H320" s="44">
        <v>0</v>
      </c>
      <c r="I320" s="44">
        <v>0</v>
      </c>
      <c r="J320" s="44">
        <v>1256015.48</v>
      </c>
      <c r="K320" s="44"/>
      <c r="L320" s="44"/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/>
      <c r="S320" s="68"/>
      <c r="T320" s="136">
        <v>7100</v>
      </c>
      <c r="U320" s="24">
        <f t="shared" si="77"/>
        <v>1</v>
      </c>
    </row>
    <row r="321" spans="1:16187" x14ac:dyDescent="0.25">
      <c r="A321" s="135">
        <f t="shared" si="74"/>
        <v>304</v>
      </c>
      <c r="B321" s="134">
        <f t="shared" si="75"/>
        <v>116</v>
      </c>
      <c r="C321" s="77" t="s">
        <v>72</v>
      </c>
      <c r="D321" s="77" t="s">
        <v>202</v>
      </c>
      <c r="E321" s="129">
        <f t="shared" si="76"/>
        <v>1282264.52</v>
      </c>
      <c r="F321" s="44">
        <v>0</v>
      </c>
      <c r="G321" s="44">
        <v>0</v>
      </c>
      <c r="H321" s="44">
        <v>0</v>
      </c>
      <c r="I321" s="44">
        <v>0</v>
      </c>
      <c r="J321" s="44">
        <v>1274871.31</v>
      </c>
      <c r="K321" s="44"/>
      <c r="L321" s="44"/>
      <c r="M321" s="44">
        <v>0</v>
      </c>
      <c r="N321" s="44">
        <v>0</v>
      </c>
      <c r="O321" s="44">
        <v>0</v>
      </c>
      <c r="P321" s="44">
        <v>0</v>
      </c>
      <c r="Q321" s="44"/>
      <c r="R321" s="44"/>
      <c r="S321" s="68"/>
      <c r="T321" s="136">
        <v>7393.21</v>
      </c>
      <c r="U321" s="24">
        <f t="shared" si="77"/>
        <v>1</v>
      </c>
    </row>
    <row r="322" spans="1:16187" x14ac:dyDescent="0.25">
      <c r="A322" s="135">
        <f t="shared" si="74"/>
        <v>305</v>
      </c>
      <c r="B322" s="134">
        <f t="shared" si="75"/>
        <v>117</v>
      </c>
      <c r="C322" s="77" t="s">
        <v>72</v>
      </c>
      <c r="D322" s="77" t="s">
        <v>362</v>
      </c>
      <c r="E322" s="129">
        <f t="shared" si="76"/>
        <v>11699117.62284708</v>
      </c>
      <c r="F322" s="44">
        <v>6146198.4400000004</v>
      </c>
      <c r="G322" s="44">
        <v>3984439.31</v>
      </c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68"/>
      <c r="T322" s="136">
        <v>1568479.8728470802</v>
      </c>
      <c r="U322" s="24">
        <f t="shared" si="77"/>
        <v>2</v>
      </c>
    </row>
    <row r="323" spans="1:16187" x14ac:dyDescent="0.25">
      <c r="A323" s="135">
        <f t="shared" si="74"/>
        <v>306</v>
      </c>
      <c r="B323" s="134">
        <f t="shared" si="75"/>
        <v>118</v>
      </c>
      <c r="C323" s="77" t="s">
        <v>72</v>
      </c>
      <c r="D323" s="77" t="s">
        <v>364</v>
      </c>
      <c r="E323" s="129">
        <f>SUBTOTAL(9,F323:T323)</f>
        <v>10994869.534908921</v>
      </c>
      <c r="F323" s="44">
        <v>5873059.1900000004</v>
      </c>
      <c r="G323" s="44">
        <v>2586516.65</v>
      </c>
      <c r="H323" s="44"/>
      <c r="I323" s="44">
        <v>1749661.57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68"/>
      <c r="T323" s="136">
        <v>785632.12490892003</v>
      </c>
      <c r="U323" s="24">
        <f>COUNTIF(F323:Q323,"&gt;0")</f>
        <v>3</v>
      </c>
      <c r="V323" s="1" t="s">
        <v>714</v>
      </c>
    </row>
    <row r="324" spans="1:16187" x14ac:dyDescent="0.25">
      <c r="A324" s="135">
        <f t="shared" si="74"/>
        <v>307</v>
      </c>
      <c r="B324" s="134">
        <f t="shared" si="75"/>
        <v>119</v>
      </c>
      <c r="C324" s="77" t="s">
        <v>366</v>
      </c>
      <c r="D324" s="77" t="s">
        <v>366</v>
      </c>
      <c r="E324" s="129">
        <f>SUBTOTAL(9,F324:T324)</f>
        <v>24198055.984032821</v>
      </c>
      <c r="F324" s="44"/>
      <c r="G324" s="77"/>
      <c r="H324" s="44">
        <v>3146616.7799999993</v>
      </c>
      <c r="I324" s="44">
        <v>3369342.59</v>
      </c>
      <c r="J324" s="77"/>
      <c r="K324" s="77"/>
      <c r="L324" s="77"/>
      <c r="M324" s="77"/>
      <c r="N324" s="77"/>
      <c r="O324" s="77"/>
      <c r="P324" s="77"/>
      <c r="Q324" s="77">
        <v>14257827.475101</v>
      </c>
      <c r="R324" s="44">
        <v>2584774.6794000003</v>
      </c>
      <c r="S324" s="44">
        <v>286926.38929999998</v>
      </c>
      <c r="T324" s="136">
        <v>552568.07023181999</v>
      </c>
      <c r="U324" s="24">
        <f>COUNTIF(F324:Q324,"&gt;0")</f>
        <v>3</v>
      </c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 t="s">
        <v>366</v>
      </c>
      <c r="BT324" s="26" t="s">
        <v>366</v>
      </c>
      <c r="BU324" s="26" t="s">
        <v>366</v>
      </c>
      <c r="BV324" s="26" t="s">
        <v>366</v>
      </c>
      <c r="BW324" s="26" t="s">
        <v>366</v>
      </c>
      <c r="BX324" s="26" t="s">
        <v>366</v>
      </c>
      <c r="BY324" s="26" t="s">
        <v>366</v>
      </c>
      <c r="BZ324" s="26" t="s">
        <v>366</v>
      </c>
      <c r="CA324" s="26" t="s">
        <v>366</v>
      </c>
      <c r="CB324" s="26" t="s">
        <v>366</v>
      </c>
      <c r="CC324" s="26" t="s">
        <v>366</v>
      </c>
      <c r="CD324" s="26" t="s">
        <v>366</v>
      </c>
      <c r="CE324" s="26" t="s">
        <v>366</v>
      </c>
      <c r="CF324" s="26" t="s">
        <v>366</v>
      </c>
      <c r="CG324" s="26" t="s">
        <v>366</v>
      </c>
      <c r="CH324" s="26" t="s">
        <v>366</v>
      </c>
      <c r="CI324" s="26" t="s">
        <v>366</v>
      </c>
      <c r="CJ324" s="26" t="s">
        <v>366</v>
      </c>
      <c r="CK324" s="26" t="s">
        <v>366</v>
      </c>
      <c r="CL324" s="26" t="s">
        <v>366</v>
      </c>
      <c r="CM324" s="26" t="s">
        <v>366</v>
      </c>
      <c r="CN324" s="26" t="s">
        <v>366</v>
      </c>
      <c r="CO324" s="26" t="s">
        <v>366</v>
      </c>
      <c r="CP324" s="26" t="s">
        <v>366</v>
      </c>
      <c r="CQ324" s="26" t="s">
        <v>366</v>
      </c>
      <c r="CR324" s="26" t="s">
        <v>366</v>
      </c>
      <c r="CS324" s="26" t="s">
        <v>366</v>
      </c>
      <c r="CT324" s="26" t="s">
        <v>366</v>
      </c>
      <c r="CU324" s="26" t="s">
        <v>366</v>
      </c>
      <c r="CV324" s="26" t="s">
        <v>366</v>
      </c>
      <c r="CW324" s="26" t="s">
        <v>366</v>
      </c>
      <c r="CX324" s="26" t="s">
        <v>366</v>
      </c>
      <c r="CY324" s="26" t="s">
        <v>366</v>
      </c>
      <c r="CZ324" s="26" t="s">
        <v>366</v>
      </c>
      <c r="DA324" s="26" t="s">
        <v>366</v>
      </c>
      <c r="DB324" s="26" t="s">
        <v>366</v>
      </c>
      <c r="DC324" s="26" t="s">
        <v>366</v>
      </c>
      <c r="DD324" s="26" t="s">
        <v>366</v>
      </c>
      <c r="DE324" s="26" t="s">
        <v>366</v>
      </c>
      <c r="DF324" s="26" t="s">
        <v>366</v>
      </c>
      <c r="DG324" s="26" t="s">
        <v>366</v>
      </c>
      <c r="DH324" s="26" t="s">
        <v>366</v>
      </c>
      <c r="DI324" s="26" t="s">
        <v>366</v>
      </c>
      <c r="DJ324" s="26" t="s">
        <v>366</v>
      </c>
      <c r="DK324" s="26" t="s">
        <v>366</v>
      </c>
      <c r="DL324" s="26" t="s">
        <v>366</v>
      </c>
      <c r="DM324" s="26" t="s">
        <v>366</v>
      </c>
      <c r="DN324" s="26" t="s">
        <v>366</v>
      </c>
      <c r="DO324" s="26" t="s">
        <v>366</v>
      </c>
      <c r="DP324" s="26" t="s">
        <v>366</v>
      </c>
      <c r="DQ324" s="26" t="s">
        <v>366</v>
      </c>
      <c r="DR324" s="26" t="s">
        <v>366</v>
      </c>
      <c r="DS324" s="26" t="s">
        <v>366</v>
      </c>
      <c r="DT324" s="26" t="s">
        <v>366</v>
      </c>
      <c r="DU324" s="26" t="s">
        <v>366</v>
      </c>
      <c r="DV324" s="26" t="s">
        <v>366</v>
      </c>
      <c r="DW324" s="26" t="s">
        <v>366</v>
      </c>
      <c r="DX324" s="26" t="s">
        <v>366</v>
      </c>
      <c r="DY324" s="26" t="s">
        <v>366</v>
      </c>
      <c r="DZ324" s="26" t="s">
        <v>366</v>
      </c>
      <c r="EA324" s="26" t="s">
        <v>366</v>
      </c>
      <c r="EB324" s="26" t="s">
        <v>366</v>
      </c>
      <c r="EC324" s="26" t="s">
        <v>366</v>
      </c>
      <c r="ED324" s="26" t="s">
        <v>366</v>
      </c>
      <c r="EE324" s="26" t="s">
        <v>366</v>
      </c>
      <c r="EF324" s="26" t="s">
        <v>366</v>
      </c>
      <c r="EG324" s="26" t="s">
        <v>366</v>
      </c>
      <c r="EH324" s="26" t="s">
        <v>366</v>
      </c>
      <c r="EI324" s="26" t="s">
        <v>366</v>
      </c>
      <c r="EJ324" s="26" t="s">
        <v>366</v>
      </c>
      <c r="EK324" s="26" t="s">
        <v>366</v>
      </c>
      <c r="EL324" s="26" t="s">
        <v>366</v>
      </c>
      <c r="EM324" s="26" t="s">
        <v>366</v>
      </c>
      <c r="EN324" s="26" t="s">
        <v>366</v>
      </c>
      <c r="EO324" s="26" t="s">
        <v>366</v>
      </c>
      <c r="EP324" s="26" t="s">
        <v>366</v>
      </c>
      <c r="EQ324" s="26" t="s">
        <v>366</v>
      </c>
      <c r="ER324" s="26" t="s">
        <v>366</v>
      </c>
      <c r="ES324" s="26" t="s">
        <v>366</v>
      </c>
      <c r="ET324" s="26" t="s">
        <v>366</v>
      </c>
      <c r="EU324" s="26" t="s">
        <v>366</v>
      </c>
      <c r="EV324" s="26" t="s">
        <v>366</v>
      </c>
      <c r="EW324" s="26" t="s">
        <v>366</v>
      </c>
      <c r="EX324" s="26" t="s">
        <v>366</v>
      </c>
      <c r="EY324" s="26" t="s">
        <v>366</v>
      </c>
      <c r="EZ324" s="26" t="s">
        <v>366</v>
      </c>
      <c r="FA324" s="26" t="s">
        <v>366</v>
      </c>
      <c r="FB324" s="26" t="s">
        <v>366</v>
      </c>
      <c r="FC324" s="26" t="s">
        <v>366</v>
      </c>
      <c r="FD324" s="26" t="s">
        <v>366</v>
      </c>
      <c r="FE324" s="26" t="s">
        <v>366</v>
      </c>
      <c r="FF324" s="26" t="s">
        <v>366</v>
      </c>
      <c r="FG324" s="26" t="s">
        <v>366</v>
      </c>
      <c r="FH324" s="26" t="s">
        <v>366</v>
      </c>
      <c r="FI324" s="26" t="s">
        <v>366</v>
      </c>
      <c r="FJ324" s="26" t="s">
        <v>366</v>
      </c>
      <c r="FK324" s="26" t="s">
        <v>366</v>
      </c>
      <c r="FL324" s="26" t="s">
        <v>366</v>
      </c>
      <c r="FM324" s="26" t="s">
        <v>366</v>
      </c>
      <c r="FN324" s="26" t="s">
        <v>366</v>
      </c>
      <c r="FO324" s="26" t="s">
        <v>366</v>
      </c>
      <c r="FP324" s="26" t="s">
        <v>366</v>
      </c>
      <c r="FQ324" s="26" t="s">
        <v>366</v>
      </c>
      <c r="FR324" s="26" t="s">
        <v>366</v>
      </c>
      <c r="FS324" s="26" t="s">
        <v>366</v>
      </c>
      <c r="FT324" s="26" t="s">
        <v>366</v>
      </c>
      <c r="FU324" s="26" t="s">
        <v>366</v>
      </c>
      <c r="FV324" s="26" t="s">
        <v>366</v>
      </c>
      <c r="FW324" s="26" t="s">
        <v>366</v>
      </c>
      <c r="FX324" s="26" t="s">
        <v>366</v>
      </c>
      <c r="FY324" s="26" t="s">
        <v>366</v>
      </c>
      <c r="FZ324" s="26" t="s">
        <v>366</v>
      </c>
      <c r="GA324" s="26" t="s">
        <v>366</v>
      </c>
      <c r="GB324" s="26" t="s">
        <v>366</v>
      </c>
      <c r="GC324" s="26" t="s">
        <v>366</v>
      </c>
      <c r="GD324" s="26" t="s">
        <v>366</v>
      </c>
      <c r="GE324" s="26" t="s">
        <v>366</v>
      </c>
      <c r="GF324" s="26" t="s">
        <v>366</v>
      </c>
      <c r="GG324" s="26" t="s">
        <v>366</v>
      </c>
      <c r="GH324" s="26" t="s">
        <v>366</v>
      </c>
      <c r="GI324" s="26" t="s">
        <v>366</v>
      </c>
      <c r="GJ324" s="26" t="s">
        <v>366</v>
      </c>
      <c r="GK324" s="26" t="s">
        <v>366</v>
      </c>
      <c r="GL324" s="26" t="s">
        <v>366</v>
      </c>
      <c r="GM324" s="26" t="s">
        <v>366</v>
      </c>
      <c r="GN324" s="26" t="s">
        <v>366</v>
      </c>
      <c r="GO324" s="26" t="s">
        <v>366</v>
      </c>
      <c r="GP324" s="26" t="s">
        <v>366</v>
      </c>
      <c r="GQ324" s="26" t="s">
        <v>366</v>
      </c>
      <c r="GR324" s="26" t="s">
        <v>366</v>
      </c>
      <c r="GS324" s="26" t="s">
        <v>366</v>
      </c>
      <c r="GT324" s="26" t="s">
        <v>366</v>
      </c>
      <c r="GU324" s="26" t="s">
        <v>366</v>
      </c>
      <c r="GV324" s="26" t="s">
        <v>366</v>
      </c>
      <c r="GW324" s="26" t="s">
        <v>366</v>
      </c>
      <c r="GX324" s="26" t="s">
        <v>366</v>
      </c>
      <c r="GY324" s="26" t="s">
        <v>366</v>
      </c>
      <c r="GZ324" s="26" t="s">
        <v>366</v>
      </c>
      <c r="HA324" s="26" t="s">
        <v>366</v>
      </c>
      <c r="HB324" s="26" t="s">
        <v>366</v>
      </c>
      <c r="HC324" s="26" t="s">
        <v>366</v>
      </c>
      <c r="HD324" s="26" t="s">
        <v>366</v>
      </c>
      <c r="HE324" s="26" t="s">
        <v>366</v>
      </c>
      <c r="HF324" s="26" t="s">
        <v>366</v>
      </c>
      <c r="HG324" s="26" t="s">
        <v>366</v>
      </c>
      <c r="HH324" s="26" t="s">
        <v>366</v>
      </c>
      <c r="HI324" s="26" t="s">
        <v>366</v>
      </c>
      <c r="HJ324" s="26" t="s">
        <v>366</v>
      </c>
      <c r="HK324" s="26" t="s">
        <v>366</v>
      </c>
      <c r="HL324" s="26" t="s">
        <v>366</v>
      </c>
      <c r="HM324" s="26" t="s">
        <v>366</v>
      </c>
      <c r="HN324" s="26" t="s">
        <v>366</v>
      </c>
      <c r="HO324" s="26" t="s">
        <v>366</v>
      </c>
      <c r="HP324" s="26" t="s">
        <v>366</v>
      </c>
      <c r="HQ324" s="26" t="s">
        <v>366</v>
      </c>
      <c r="HR324" s="26" t="s">
        <v>366</v>
      </c>
      <c r="HS324" s="26" t="s">
        <v>366</v>
      </c>
      <c r="HT324" s="26" t="s">
        <v>366</v>
      </c>
      <c r="HU324" s="26" t="s">
        <v>366</v>
      </c>
      <c r="HV324" s="26" t="s">
        <v>366</v>
      </c>
      <c r="HW324" s="26" t="s">
        <v>366</v>
      </c>
      <c r="HX324" s="26" t="s">
        <v>366</v>
      </c>
      <c r="HY324" s="26" t="s">
        <v>366</v>
      </c>
      <c r="HZ324" s="26" t="s">
        <v>366</v>
      </c>
      <c r="IA324" s="26" t="s">
        <v>366</v>
      </c>
      <c r="IB324" s="26" t="s">
        <v>366</v>
      </c>
      <c r="IC324" s="26" t="s">
        <v>366</v>
      </c>
      <c r="ID324" s="26" t="s">
        <v>366</v>
      </c>
      <c r="IE324" s="26" t="s">
        <v>366</v>
      </c>
      <c r="IF324" s="26" t="s">
        <v>366</v>
      </c>
      <c r="IG324" s="26" t="s">
        <v>366</v>
      </c>
      <c r="IH324" s="26" t="s">
        <v>366</v>
      </c>
      <c r="II324" s="26" t="s">
        <v>366</v>
      </c>
      <c r="IJ324" s="26" t="s">
        <v>366</v>
      </c>
      <c r="IK324" s="26" t="s">
        <v>366</v>
      </c>
      <c r="IL324" s="26" t="s">
        <v>366</v>
      </c>
      <c r="IM324" s="26" t="s">
        <v>366</v>
      </c>
      <c r="IN324" s="26" t="s">
        <v>366</v>
      </c>
      <c r="IO324" s="26" t="s">
        <v>366</v>
      </c>
      <c r="IP324" s="26" t="s">
        <v>366</v>
      </c>
      <c r="IQ324" s="26" t="s">
        <v>366</v>
      </c>
      <c r="IR324" s="26" t="s">
        <v>366</v>
      </c>
      <c r="IS324" s="26" t="s">
        <v>366</v>
      </c>
      <c r="IT324" s="26" t="s">
        <v>366</v>
      </c>
      <c r="IU324" s="26" t="s">
        <v>366</v>
      </c>
      <c r="IV324" s="26" t="s">
        <v>366</v>
      </c>
      <c r="IW324" s="26" t="s">
        <v>366</v>
      </c>
      <c r="IX324" s="26" t="s">
        <v>366</v>
      </c>
      <c r="IY324" s="26" t="s">
        <v>366</v>
      </c>
      <c r="IZ324" s="26" t="s">
        <v>366</v>
      </c>
      <c r="JA324" s="26" t="s">
        <v>366</v>
      </c>
      <c r="JB324" s="26" t="s">
        <v>366</v>
      </c>
      <c r="JC324" s="26" t="s">
        <v>366</v>
      </c>
      <c r="JD324" s="26" t="s">
        <v>366</v>
      </c>
      <c r="JE324" s="26" t="s">
        <v>366</v>
      </c>
      <c r="JF324" s="26" t="s">
        <v>366</v>
      </c>
      <c r="JG324" s="26" t="s">
        <v>366</v>
      </c>
      <c r="JH324" s="26" t="s">
        <v>366</v>
      </c>
      <c r="JI324" s="26" t="s">
        <v>366</v>
      </c>
      <c r="JJ324" s="26" t="s">
        <v>366</v>
      </c>
      <c r="JK324" s="26" t="s">
        <v>366</v>
      </c>
      <c r="JL324" s="26" t="s">
        <v>366</v>
      </c>
      <c r="JM324" s="26" t="s">
        <v>366</v>
      </c>
      <c r="JN324" s="26" t="s">
        <v>366</v>
      </c>
      <c r="JO324" s="26" t="s">
        <v>366</v>
      </c>
      <c r="JP324" s="26" t="s">
        <v>366</v>
      </c>
      <c r="JQ324" s="26" t="s">
        <v>366</v>
      </c>
      <c r="JR324" s="26" t="s">
        <v>366</v>
      </c>
      <c r="JS324" s="26" t="s">
        <v>366</v>
      </c>
      <c r="JT324" s="26" t="s">
        <v>366</v>
      </c>
      <c r="JU324" s="26" t="s">
        <v>366</v>
      </c>
      <c r="JV324" s="26" t="s">
        <v>366</v>
      </c>
      <c r="JW324" s="26" t="s">
        <v>366</v>
      </c>
      <c r="JX324" s="26" t="s">
        <v>366</v>
      </c>
      <c r="JY324" s="26" t="s">
        <v>366</v>
      </c>
      <c r="JZ324" s="26" t="s">
        <v>366</v>
      </c>
      <c r="KA324" s="26" t="s">
        <v>366</v>
      </c>
      <c r="KB324" s="26" t="s">
        <v>366</v>
      </c>
      <c r="KC324" s="26" t="s">
        <v>366</v>
      </c>
      <c r="KD324" s="26" t="s">
        <v>366</v>
      </c>
      <c r="KE324" s="26" t="s">
        <v>366</v>
      </c>
      <c r="KF324" s="26" t="s">
        <v>366</v>
      </c>
      <c r="KG324" s="26" t="s">
        <v>366</v>
      </c>
      <c r="KH324" s="26" t="s">
        <v>366</v>
      </c>
      <c r="KI324" s="26" t="s">
        <v>366</v>
      </c>
      <c r="KJ324" s="26" t="s">
        <v>366</v>
      </c>
      <c r="KK324" s="26" t="s">
        <v>366</v>
      </c>
      <c r="KL324" s="26" t="s">
        <v>366</v>
      </c>
      <c r="KM324" s="26" t="s">
        <v>366</v>
      </c>
      <c r="KN324" s="26" t="s">
        <v>366</v>
      </c>
      <c r="KO324" s="26" t="s">
        <v>366</v>
      </c>
      <c r="KP324" s="26" t="s">
        <v>366</v>
      </c>
      <c r="KQ324" s="26" t="s">
        <v>366</v>
      </c>
      <c r="KR324" s="26" t="s">
        <v>366</v>
      </c>
      <c r="KS324" s="26" t="s">
        <v>366</v>
      </c>
      <c r="KT324" s="26" t="s">
        <v>366</v>
      </c>
      <c r="KU324" s="26" t="s">
        <v>366</v>
      </c>
      <c r="KV324" s="26" t="s">
        <v>366</v>
      </c>
      <c r="KW324" s="26" t="s">
        <v>366</v>
      </c>
      <c r="KX324" s="26" t="s">
        <v>366</v>
      </c>
      <c r="KY324" s="26" t="s">
        <v>366</v>
      </c>
      <c r="KZ324" s="26" t="s">
        <v>366</v>
      </c>
      <c r="LA324" s="26" t="s">
        <v>366</v>
      </c>
      <c r="LB324" s="26" t="s">
        <v>366</v>
      </c>
      <c r="LC324" s="26" t="s">
        <v>366</v>
      </c>
      <c r="LD324" s="26" t="s">
        <v>366</v>
      </c>
      <c r="LE324" s="26" t="s">
        <v>366</v>
      </c>
      <c r="LF324" s="26" t="s">
        <v>366</v>
      </c>
      <c r="LG324" s="26" t="s">
        <v>366</v>
      </c>
      <c r="LH324" s="26" t="s">
        <v>366</v>
      </c>
      <c r="LI324" s="26" t="s">
        <v>366</v>
      </c>
      <c r="LJ324" s="26" t="s">
        <v>366</v>
      </c>
      <c r="LK324" s="26" t="s">
        <v>366</v>
      </c>
      <c r="LL324" s="26" t="s">
        <v>366</v>
      </c>
      <c r="LM324" s="26" t="s">
        <v>366</v>
      </c>
      <c r="LN324" s="26" t="s">
        <v>366</v>
      </c>
      <c r="LO324" s="26" t="s">
        <v>366</v>
      </c>
      <c r="LP324" s="26" t="s">
        <v>366</v>
      </c>
      <c r="LQ324" s="26" t="s">
        <v>366</v>
      </c>
      <c r="LR324" s="26" t="s">
        <v>366</v>
      </c>
      <c r="LS324" s="26" t="s">
        <v>366</v>
      </c>
      <c r="LT324" s="26" t="s">
        <v>366</v>
      </c>
      <c r="LU324" s="26" t="s">
        <v>366</v>
      </c>
      <c r="LV324" s="26" t="s">
        <v>366</v>
      </c>
      <c r="LW324" s="26" t="s">
        <v>366</v>
      </c>
      <c r="LX324" s="26" t="s">
        <v>366</v>
      </c>
      <c r="LY324" s="26" t="s">
        <v>366</v>
      </c>
      <c r="LZ324" s="26" t="s">
        <v>366</v>
      </c>
      <c r="MA324" s="26" t="s">
        <v>366</v>
      </c>
      <c r="MB324" s="26" t="s">
        <v>366</v>
      </c>
      <c r="MC324" s="26" t="s">
        <v>366</v>
      </c>
      <c r="MD324" s="26" t="s">
        <v>366</v>
      </c>
      <c r="ME324" s="26" t="s">
        <v>366</v>
      </c>
      <c r="MF324" s="26" t="s">
        <v>366</v>
      </c>
      <c r="MG324" s="26" t="s">
        <v>366</v>
      </c>
      <c r="MH324" s="26" t="s">
        <v>366</v>
      </c>
      <c r="MI324" s="26" t="s">
        <v>366</v>
      </c>
      <c r="MJ324" s="26" t="s">
        <v>366</v>
      </c>
      <c r="MK324" s="26" t="s">
        <v>366</v>
      </c>
      <c r="ML324" s="26" t="s">
        <v>366</v>
      </c>
      <c r="MM324" s="26" t="s">
        <v>366</v>
      </c>
      <c r="MN324" s="26" t="s">
        <v>366</v>
      </c>
      <c r="MO324" s="26" t="s">
        <v>366</v>
      </c>
      <c r="MP324" s="26" t="s">
        <v>366</v>
      </c>
      <c r="MQ324" s="26" t="s">
        <v>366</v>
      </c>
      <c r="MR324" s="26" t="s">
        <v>366</v>
      </c>
      <c r="MS324" s="26" t="s">
        <v>366</v>
      </c>
      <c r="MT324" s="26" t="s">
        <v>366</v>
      </c>
      <c r="MU324" s="26" t="s">
        <v>366</v>
      </c>
      <c r="MV324" s="26" t="s">
        <v>366</v>
      </c>
      <c r="MW324" s="26" t="s">
        <v>366</v>
      </c>
      <c r="MX324" s="26" t="s">
        <v>366</v>
      </c>
      <c r="MY324" s="26" t="s">
        <v>366</v>
      </c>
      <c r="MZ324" s="26" t="s">
        <v>366</v>
      </c>
      <c r="NA324" s="26" t="s">
        <v>366</v>
      </c>
      <c r="NB324" s="26" t="s">
        <v>366</v>
      </c>
      <c r="NC324" s="26" t="s">
        <v>366</v>
      </c>
      <c r="ND324" s="26" t="s">
        <v>366</v>
      </c>
      <c r="NE324" s="26" t="s">
        <v>366</v>
      </c>
      <c r="NF324" s="26" t="s">
        <v>366</v>
      </c>
      <c r="NG324" s="26" t="s">
        <v>366</v>
      </c>
      <c r="NH324" s="26" t="s">
        <v>366</v>
      </c>
      <c r="NI324" s="26" t="s">
        <v>366</v>
      </c>
      <c r="NJ324" s="26" t="s">
        <v>366</v>
      </c>
      <c r="NK324" s="26" t="s">
        <v>366</v>
      </c>
      <c r="NL324" s="26" t="s">
        <v>366</v>
      </c>
      <c r="NM324" s="26" t="s">
        <v>366</v>
      </c>
      <c r="NN324" s="26" t="s">
        <v>366</v>
      </c>
      <c r="NO324" s="26" t="s">
        <v>366</v>
      </c>
      <c r="NP324" s="26" t="s">
        <v>366</v>
      </c>
      <c r="NQ324" s="26" t="s">
        <v>366</v>
      </c>
      <c r="NR324" s="26" t="s">
        <v>366</v>
      </c>
      <c r="NS324" s="26" t="s">
        <v>366</v>
      </c>
      <c r="NT324" s="26" t="s">
        <v>366</v>
      </c>
      <c r="NU324" s="26" t="s">
        <v>366</v>
      </c>
      <c r="NV324" s="26" t="s">
        <v>366</v>
      </c>
      <c r="NW324" s="26" t="s">
        <v>366</v>
      </c>
      <c r="NX324" s="26" t="s">
        <v>366</v>
      </c>
      <c r="NY324" s="26" t="s">
        <v>366</v>
      </c>
      <c r="NZ324" s="26" t="s">
        <v>366</v>
      </c>
      <c r="OA324" s="26" t="s">
        <v>366</v>
      </c>
      <c r="OB324" s="26" t="s">
        <v>366</v>
      </c>
      <c r="OC324" s="26" t="s">
        <v>366</v>
      </c>
      <c r="OD324" s="26" t="s">
        <v>366</v>
      </c>
      <c r="OE324" s="26" t="s">
        <v>366</v>
      </c>
      <c r="OF324" s="26" t="s">
        <v>366</v>
      </c>
      <c r="OG324" s="26" t="s">
        <v>366</v>
      </c>
      <c r="OH324" s="26" t="s">
        <v>366</v>
      </c>
      <c r="OI324" s="26" t="s">
        <v>366</v>
      </c>
      <c r="OJ324" s="26" t="s">
        <v>366</v>
      </c>
      <c r="OK324" s="26" t="s">
        <v>366</v>
      </c>
      <c r="OL324" s="26" t="s">
        <v>366</v>
      </c>
      <c r="OM324" s="26" t="s">
        <v>366</v>
      </c>
      <c r="ON324" s="26" t="s">
        <v>366</v>
      </c>
      <c r="OO324" s="26" t="s">
        <v>366</v>
      </c>
      <c r="OP324" s="26" t="s">
        <v>366</v>
      </c>
      <c r="OQ324" s="26" t="s">
        <v>366</v>
      </c>
      <c r="OR324" s="26" t="s">
        <v>366</v>
      </c>
      <c r="OS324" s="26" t="s">
        <v>366</v>
      </c>
      <c r="OT324" s="26" t="s">
        <v>366</v>
      </c>
      <c r="OU324" s="26" t="s">
        <v>366</v>
      </c>
      <c r="OV324" s="26" t="s">
        <v>366</v>
      </c>
      <c r="OW324" s="26" t="s">
        <v>366</v>
      </c>
      <c r="OX324" s="26" t="s">
        <v>366</v>
      </c>
      <c r="OY324" s="26" t="s">
        <v>366</v>
      </c>
      <c r="OZ324" s="26" t="s">
        <v>366</v>
      </c>
      <c r="PA324" s="26" t="s">
        <v>366</v>
      </c>
      <c r="PB324" s="26" t="s">
        <v>366</v>
      </c>
      <c r="PC324" s="26" t="s">
        <v>366</v>
      </c>
      <c r="PD324" s="26" t="s">
        <v>366</v>
      </c>
      <c r="PE324" s="26" t="s">
        <v>366</v>
      </c>
      <c r="PF324" s="26" t="s">
        <v>366</v>
      </c>
      <c r="PG324" s="26" t="s">
        <v>366</v>
      </c>
      <c r="PH324" s="26" t="s">
        <v>366</v>
      </c>
      <c r="PI324" s="26" t="s">
        <v>366</v>
      </c>
      <c r="PJ324" s="26" t="s">
        <v>366</v>
      </c>
      <c r="PK324" s="26" t="s">
        <v>366</v>
      </c>
      <c r="PL324" s="26" t="s">
        <v>366</v>
      </c>
      <c r="PM324" s="26" t="s">
        <v>366</v>
      </c>
      <c r="PN324" s="26" t="s">
        <v>366</v>
      </c>
      <c r="PO324" s="26" t="s">
        <v>366</v>
      </c>
      <c r="PP324" s="26" t="s">
        <v>366</v>
      </c>
      <c r="PQ324" s="26" t="s">
        <v>366</v>
      </c>
      <c r="PR324" s="26" t="s">
        <v>366</v>
      </c>
      <c r="PS324" s="26" t="s">
        <v>366</v>
      </c>
      <c r="PT324" s="26" t="s">
        <v>366</v>
      </c>
      <c r="PU324" s="26" t="s">
        <v>366</v>
      </c>
      <c r="PV324" s="26" t="s">
        <v>366</v>
      </c>
      <c r="PW324" s="26" t="s">
        <v>366</v>
      </c>
      <c r="PX324" s="26" t="s">
        <v>366</v>
      </c>
      <c r="PY324" s="26" t="s">
        <v>366</v>
      </c>
      <c r="PZ324" s="26" t="s">
        <v>366</v>
      </c>
      <c r="QA324" s="26" t="s">
        <v>366</v>
      </c>
      <c r="QB324" s="26" t="s">
        <v>366</v>
      </c>
      <c r="QC324" s="26" t="s">
        <v>366</v>
      </c>
      <c r="QD324" s="26" t="s">
        <v>366</v>
      </c>
      <c r="QE324" s="26" t="s">
        <v>366</v>
      </c>
      <c r="QF324" s="26" t="s">
        <v>366</v>
      </c>
      <c r="QG324" s="26" t="s">
        <v>366</v>
      </c>
      <c r="QH324" s="26" t="s">
        <v>366</v>
      </c>
      <c r="QI324" s="26" t="s">
        <v>366</v>
      </c>
      <c r="QJ324" s="26" t="s">
        <v>366</v>
      </c>
      <c r="QK324" s="26" t="s">
        <v>366</v>
      </c>
      <c r="QL324" s="26" t="s">
        <v>366</v>
      </c>
      <c r="QM324" s="26" t="s">
        <v>366</v>
      </c>
      <c r="QN324" s="26" t="s">
        <v>366</v>
      </c>
      <c r="QO324" s="26" t="s">
        <v>366</v>
      </c>
      <c r="QP324" s="26" t="s">
        <v>366</v>
      </c>
      <c r="QQ324" s="26" t="s">
        <v>366</v>
      </c>
      <c r="QR324" s="26" t="s">
        <v>366</v>
      </c>
      <c r="QS324" s="26" t="s">
        <v>366</v>
      </c>
      <c r="QT324" s="26" t="s">
        <v>366</v>
      </c>
      <c r="QU324" s="26" t="s">
        <v>366</v>
      </c>
      <c r="QV324" s="26" t="s">
        <v>366</v>
      </c>
      <c r="QW324" s="26" t="s">
        <v>366</v>
      </c>
      <c r="QX324" s="26" t="s">
        <v>366</v>
      </c>
      <c r="QY324" s="26" t="s">
        <v>366</v>
      </c>
      <c r="QZ324" s="26" t="s">
        <v>366</v>
      </c>
      <c r="RA324" s="26" t="s">
        <v>366</v>
      </c>
      <c r="RB324" s="26" t="s">
        <v>366</v>
      </c>
      <c r="RC324" s="26" t="s">
        <v>366</v>
      </c>
      <c r="RD324" s="26" t="s">
        <v>366</v>
      </c>
      <c r="RE324" s="26" t="s">
        <v>366</v>
      </c>
      <c r="RF324" s="26" t="s">
        <v>366</v>
      </c>
      <c r="RG324" s="26" t="s">
        <v>366</v>
      </c>
      <c r="RH324" s="26" t="s">
        <v>366</v>
      </c>
      <c r="RI324" s="26" t="s">
        <v>366</v>
      </c>
      <c r="RJ324" s="26" t="s">
        <v>366</v>
      </c>
      <c r="RK324" s="26" t="s">
        <v>366</v>
      </c>
      <c r="RL324" s="26" t="s">
        <v>366</v>
      </c>
      <c r="RM324" s="26" t="s">
        <v>366</v>
      </c>
      <c r="RN324" s="26" t="s">
        <v>366</v>
      </c>
      <c r="RO324" s="26" t="s">
        <v>366</v>
      </c>
      <c r="RP324" s="26" t="s">
        <v>366</v>
      </c>
      <c r="RQ324" s="26" t="s">
        <v>366</v>
      </c>
      <c r="RR324" s="26" t="s">
        <v>366</v>
      </c>
      <c r="RS324" s="26" t="s">
        <v>366</v>
      </c>
      <c r="RT324" s="26" t="s">
        <v>366</v>
      </c>
      <c r="RU324" s="26" t="s">
        <v>366</v>
      </c>
      <c r="RV324" s="26" t="s">
        <v>366</v>
      </c>
      <c r="RW324" s="26" t="s">
        <v>366</v>
      </c>
      <c r="RX324" s="26" t="s">
        <v>366</v>
      </c>
      <c r="RY324" s="26" t="s">
        <v>366</v>
      </c>
      <c r="RZ324" s="26" t="s">
        <v>366</v>
      </c>
      <c r="SA324" s="26" t="s">
        <v>366</v>
      </c>
      <c r="SB324" s="26" t="s">
        <v>366</v>
      </c>
      <c r="SC324" s="26" t="s">
        <v>366</v>
      </c>
      <c r="SD324" s="26" t="s">
        <v>366</v>
      </c>
      <c r="SE324" s="26" t="s">
        <v>366</v>
      </c>
      <c r="SF324" s="26" t="s">
        <v>366</v>
      </c>
      <c r="SG324" s="26" t="s">
        <v>366</v>
      </c>
      <c r="SH324" s="26" t="s">
        <v>366</v>
      </c>
      <c r="SI324" s="26" t="s">
        <v>366</v>
      </c>
      <c r="SJ324" s="26" t="s">
        <v>366</v>
      </c>
      <c r="SK324" s="26" t="s">
        <v>366</v>
      </c>
      <c r="SL324" s="26" t="s">
        <v>366</v>
      </c>
      <c r="SM324" s="26" t="s">
        <v>366</v>
      </c>
      <c r="SN324" s="26" t="s">
        <v>366</v>
      </c>
      <c r="SO324" s="26" t="s">
        <v>366</v>
      </c>
      <c r="SP324" s="26" t="s">
        <v>366</v>
      </c>
      <c r="SQ324" s="26" t="s">
        <v>366</v>
      </c>
      <c r="SR324" s="26" t="s">
        <v>366</v>
      </c>
      <c r="SS324" s="26" t="s">
        <v>366</v>
      </c>
      <c r="ST324" s="26" t="s">
        <v>366</v>
      </c>
      <c r="SU324" s="26" t="s">
        <v>366</v>
      </c>
      <c r="SV324" s="26" t="s">
        <v>366</v>
      </c>
      <c r="SW324" s="26" t="s">
        <v>366</v>
      </c>
      <c r="SX324" s="26" t="s">
        <v>366</v>
      </c>
      <c r="SY324" s="26" t="s">
        <v>366</v>
      </c>
      <c r="SZ324" s="26" t="s">
        <v>366</v>
      </c>
      <c r="TA324" s="26" t="s">
        <v>366</v>
      </c>
      <c r="TB324" s="26" t="s">
        <v>366</v>
      </c>
      <c r="TC324" s="26" t="s">
        <v>366</v>
      </c>
      <c r="TD324" s="26" t="s">
        <v>366</v>
      </c>
      <c r="TE324" s="26" t="s">
        <v>366</v>
      </c>
      <c r="TF324" s="26" t="s">
        <v>366</v>
      </c>
      <c r="TG324" s="26" t="s">
        <v>366</v>
      </c>
      <c r="TH324" s="26" t="s">
        <v>366</v>
      </c>
      <c r="TI324" s="26" t="s">
        <v>366</v>
      </c>
      <c r="TJ324" s="26" t="s">
        <v>366</v>
      </c>
      <c r="TK324" s="26" t="s">
        <v>366</v>
      </c>
      <c r="TL324" s="26" t="s">
        <v>366</v>
      </c>
      <c r="TM324" s="26" t="s">
        <v>366</v>
      </c>
      <c r="TN324" s="26" t="s">
        <v>366</v>
      </c>
      <c r="TO324" s="26" t="s">
        <v>366</v>
      </c>
      <c r="TP324" s="26" t="s">
        <v>366</v>
      </c>
      <c r="TQ324" s="26" t="s">
        <v>366</v>
      </c>
      <c r="TR324" s="26" t="s">
        <v>366</v>
      </c>
      <c r="TS324" s="26" t="s">
        <v>366</v>
      </c>
      <c r="TT324" s="26" t="s">
        <v>366</v>
      </c>
      <c r="TU324" s="26" t="s">
        <v>366</v>
      </c>
      <c r="TV324" s="26" t="s">
        <v>366</v>
      </c>
      <c r="TW324" s="26" t="s">
        <v>366</v>
      </c>
      <c r="TX324" s="26" t="s">
        <v>366</v>
      </c>
      <c r="TY324" s="26" t="s">
        <v>366</v>
      </c>
      <c r="TZ324" s="26" t="s">
        <v>366</v>
      </c>
      <c r="UA324" s="26" t="s">
        <v>366</v>
      </c>
      <c r="UB324" s="26" t="s">
        <v>366</v>
      </c>
      <c r="UC324" s="26" t="s">
        <v>366</v>
      </c>
      <c r="UD324" s="26" t="s">
        <v>366</v>
      </c>
      <c r="UE324" s="26" t="s">
        <v>366</v>
      </c>
      <c r="UF324" s="26" t="s">
        <v>366</v>
      </c>
      <c r="UG324" s="26" t="s">
        <v>366</v>
      </c>
      <c r="UH324" s="26" t="s">
        <v>366</v>
      </c>
      <c r="UI324" s="26" t="s">
        <v>366</v>
      </c>
      <c r="UJ324" s="26" t="s">
        <v>366</v>
      </c>
      <c r="UK324" s="26" t="s">
        <v>366</v>
      </c>
      <c r="UL324" s="26" t="s">
        <v>366</v>
      </c>
      <c r="UM324" s="26" t="s">
        <v>366</v>
      </c>
      <c r="UN324" s="26" t="s">
        <v>366</v>
      </c>
      <c r="UO324" s="26" t="s">
        <v>366</v>
      </c>
      <c r="UP324" s="26" t="s">
        <v>366</v>
      </c>
      <c r="UQ324" s="26" t="s">
        <v>366</v>
      </c>
      <c r="UR324" s="26" t="s">
        <v>366</v>
      </c>
      <c r="US324" s="26" t="s">
        <v>366</v>
      </c>
      <c r="UT324" s="26" t="s">
        <v>366</v>
      </c>
      <c r="UU324" s="26" t="s">
        <v>366</v>
      </c>
      <c r="UV324" s="26" t="s">
        <v>366</v>
      </c>
      <c r="UW324" s="26" t="s">
        <v>366</v>
      </c>
      <c r="UX324" s="26" t="s">
        <v>366</v>
      </c>
      <c r="UY324" s="26" t="s">
        <v>366</v>
      </c>
      <c r="UZ324" s="26" t="s">
        <v>366</v>
      </c>
      <c r="VA324" s="26" t="s">
        <v>366</v>
      </c>
      <c r="VB324" s="26" t="s">
        <v>366</v>
      </c>
      <c r="VC324" s="26" t="s">
        <v>366</v>
      </c>
      <c r="VD324" s="26" t="s">
        <v>366</v>
      </c>
      <c r="VE324" s="26" t="s">
        <v>366</v>
      </c>
      <c r="VF324" s="26" t="s">
        <v>366</v>
      </c>
      <c r="VG324" s="26" t="s">
        <v>366</v>
      </c>
      <c r="VH324" s="26" t="s">
        <v>366</v>
      </c>
      <c r="VI324" s="26" t="s">
        <v>366</v>
      </c>
      <c r="VJ324" s="26" t="s">
        <v>366</v>
      </c>
      <c r="VK324" s="26" t="s">
        <v>366</v>
      </c>
      <c r="VL324" s="26" t="s">
        <v>366</v>
      </c>
      <c r="VM324" s="26" t="s">
        <v>366</v>
      </c>
      <c r="VN324" s="26" t="s">
        <v>366</v>
      </c>
      <c r="VO324" s="26" t="s">
        <v>366</v>
      </c>
      <c r="VP324" s="26" t="s">
        <v>366</v>
      </c>
      <c r="VQ324" s="26" t="s">
        <v>366</v>
      </c>
      <c r="VR324" s="26" t="s">
        <v>366</v>
      </c>
      <c r="VS324" s="26" t="s">
        <v>366</v>
      </c>
      <c r="VT324" s="26" t="s">
        <v>366</v>
      </c>
      <c r="VU324" s="26" t="s">
        <v>366</v>
      </c>
      <c r="VV324" s="26" t="s">
        <v>366</v>
      </c>
      <c r="VW324" s="26" t="s">
        <v>366</v>
      </c>
      <c r="VX324" s="26" t="s">
        <v>366</v>
      </c>
      <c r="VY324" s="26" t="s">
        <v>366</v>
      </c>
      <c r="VZ324" s="26" t="s">
        <v>366</v>
      </c>
      <c r="WA324" s="26" t="s">
        <v>366</v>
      </c>
      <c r="WB324" s="26" t="s">
        <v>366</v>
      </c>
      <c r="WC324" s="26" t="s">
        <v>366</v>
      </c>
      <c r="WD324" s="26" t="s">
        <v>366</v>
      </c>
      <c r="WE324" s="26" t="s">
        <v>366</v>
      </c>
      <c r="WF324" s="26" t="s">
        <v>366</v>
      </c>
      <c r="WG324" s="26" t="s">
        <v>366</v>
      </c>
      <c r="WH324" s="26" t="s">
        <v>366</v>
      </c>
      <c r="WI324" s="26" t="s">
        <v>366</v>
      </c>
      <c r="WJ324" s="26" t="s">
        <v>366</v>
      </c>
      <c r="WK324" s="26" t="s">
        <v>366</v>
      </c>
      <c r="WL324" s="26" t="s">
        <v>366</v>
      </c>
      <c r="WM324" s="26" t="s">
        <v>366</v>
      </c>
      <c r="WN324" s="26" t="s">
        <v>366</v>
      </c>
      <c r="WO324" s="26" t="s">
        <v>366</v>
      </c>
      <c r="WP324" s="26" t="s">
        <v>366</v>
      </c>
      <c r="WQ324" s="26" t="s">
        <v>366</v>
      </c>
      <c r="WR324" s="26" t="s">
        <v>366</v>
      </c>
      <c r="WS324" s="26" t="s">
        <v>366</v>
      </c>
      <c r="WT324" s="26" t="s">
        <v>366</v>
      </c>
      <c r="WU324" s="26" t="s">
        <v>366</v>
      </c>
      <c r="WV324" s="26" t="s">
        <v>366</v>
      </c>
      <c r="WW324" s="26" t="s">
        <v>366</v>
      </c>
      <c r="WX324" s="26" t="s">
        <v>366</v>
      </c>
      <c r="WY324" s="26" t="s">
        <v>366</v>
      </c>
      <c r="WZ324" s="26" t="s">
        <v>366</v>
      </c>
      <c r="XA324" s="26" t="s">
        <v>366</v>
      </c>
      <c r="XB324" s="26" t="s">
        <v>366</v>
      </c>
      <c r="XC324" s="26" t="s">
        <v>366</v>
      </c>
      <c r="XD324" s="26" t="s">
        <v>366</v>
      </c>
      <c r="XE324" s="26" t="s">
        <v>366</v>
      </c>
      <c r="XF324" s="26" t="s">
        <v>366</v>
      </c>
      <c r="XG324" s="26" t="s">
        <v>366</v>
      </c>
      <c r="XH324" s="26" t="s">
        <v>366</v>
      </c>
      <c r="XI324" s="26" t="s">
        <v>366</v>
      </c>
      <c r="XJ324" s="26" t="s">
        <v>366</v>
      </c>
      <c r="XK324" s="26" t="s">
        <v>366</v>
      </c>
      <c r="XL324" s="26" t="s">
        <v>366</v>
      </c>
      <c r="XM324" s="26" t="s">
        <v>366</v>
      </c>
      <c r="XN324" s="26" t="s">
        <v>366</v>
      </c>
      <c r="XO324" s="26" t="s">
        <v>366</v>
      </c>
      <c r="XP324" s="26" t="s">
        <v>366</v>
      </c>
      <c r="XQ324" s="26" t="s">
        <v>366</v>
      </c>
      <c r="XR324" s="26" t="s">
        <v>366</v>
      </c>
      <c r="XS324" s="26" t="s">
        <v>366</v>
      </c>
      <c r="XT324" s="26" t="s">
        <v>366</v>
      </c>
      <c r="XU324" s="26" t="s">
        <v>366</v>
      </c>
      <c r="XV324" s="26" t="s">
        <v>366</v>
      </c>
      <c r="XW324" s="26" t="s">
        <v>366</v>
      </c>
      <c r="XX324" s="26" t="s">
        <v>366</v>
      </c>
      <c r="XY324" s="26" t="s">
        <v>366</v>
      </c>
      <c r="XZ324" s="26" t="s">
        <v>366</v>
      </c>
      <c r="YA324" s="26" t="s">
        <v>366</v>
      </c>
      <c r="YB324" s="26" t="s">
        <v>366</v>
      </c>
      <c r="YC324" s="26" t="s">
        <v>366</v>
      </c>
      <c r="YD324" s="26" t="s">
        <v>366</v>
      </c>
      <c r="YE324" s="26" t="s">
        <v>366</v>
      </c>
      <c r="YF324" s="26" t="s">
        <v>366</v>
      </c>
      <c r="YG324" s="26" t="s">
        <v>366</v>
      </c>
      <c r="YH324" s="26" t="s">
        <v>366</v>
      </c>
      <c r="YI324" s="26" t="s">
        <v>366</v>
      </c>
      <c r="YJ324" s="26" t="s">
        <v>366</v>
      </c>
      <c r="YK324" s="26" t="s">
        <v>366</v>
      </c>
      <c r="YL324" s="26" t="s">
        <v>366</v>
      </c>
      <c r="YM324" s="26" t="s">
        <v>366</v>
      </c>
      <c r="YN324" s="26" t="s">
        <v>366</v>
      </c>
      <c r="YO324" s="26" t="s">
        <v>366</v>
      </c>
      <c r="YP324" s="26" t="s">
        <v>366</v>
      </c>
      <c r="YQ324" s="26" t="s">
        <v>366</v>
      </c>
      <c r="YR324" s="26" t="s">
        <v>366</v>
      </c>
      <c r="YS324" s="26" t="s">
        <v>366</v>
      </c>
      <c r="YT324" s="26" t="s">
        <v>366</v>
      </c>
      <c r="YU324" s="26" t="s">
        <v>366</v>
      </c>
      <c r="YV324" s="26" t="s">
        <v>366</v>
      </c>
      <c r="YW324" s="26" t="s">
        <v>366</v>
      </c>
      <c r="YX324" s="26" t="s">
        <v>366</v>
      </c>
      <c r="YY324" s="26" t="s">
        <v>366</v>
      </c>
      <c r="YZ324" s="26" t="s">
        <v>366</v>
      </c>
      <c r="ZA324" s="26" t="s">
        <v>366</v>
      </c>
      <c r="ZB324" s="26" t="s">
        <v>366</v>
      </c>
      <c r="ZC324" s="26" t="s">
        <v>366</v>
      </c>
      <c r="ZD324" s="26" t="s">
        <v>366</v>
      </c>
      <c r="ZE324" s="26" t="s">
        <v>366</v>
      </c>
      <c r="ZF324" s="26" t="s">
        <v>366</v>
      </c>
      <c r="ZG324" s="26" t="s">
        <v>366</v>
      </c>
      <c r="ZH324" s="26" t="s">
        <v>366</v>
      </c>
      <c r="ZI324" s="26" t="s">
        <v>366</v>
      </c>
      <c r="ZJ324" s="26" t="s">
        <v>366</v>
      </c>
      <c r="ZK324" s="26" t="s">
        <v>366</v>
      </c>
      <c r="ZL324" s="26" t="s">
        <v>366</v>
      </c>
      <c r="ZM324" s="26" t="s">
        <v>366</v>
      </c>
      <c r="ZN324" s="26" t="s">
        <v>366</v>
      </c>
      <c r="ZO324" s="26" t="s">
        <v>366</v>
      </c>
      <c r="ZP324" s="26" t="s">
        <v>366</v>
      </c>
      <c r="ZQ324" s="26" t="s">
        <v>366</v>
      </c>
      <c r="ZR324" s="26" t="s">
        <v>366</v>
      </c>
      <c r="ZS324" s="26" t="s">
        <v>366</v>
      </c>
      <c r="ZT324" s="26" t="s">
        <v>366</v>
      </c>
      <c r="ZU324" s="26" t="s">
        <v>366</v>
      </c>
      <c r="ZV324" s="26" t="s">
        <v>366</v>
      </c>
      <c r="ZW324" s="26" t="s">
        <v>366</v>
      </c>
      <c r="ZX324" s="26" t="s">
        <v>366</v>
      </c>
      <c r="ZY324" s="26" t="s">
        <v>366</v>
      </c>
      <c r="ZZ324" s="26" t="s">
        <v>366</v>
      </c>
      <c r="AAA324" s="26" t="s">
        <v>366</v>
      </c>
      <c r="AAB324" s="26" t="s">
        <v>366</v>
      </c>
      <c r="AAC324" s="26" t="s">
        <v>366</v>
      </c>
      <c r="AAD324" s="26" t="s">
        <v>366</v>
      </c>
      <c r="AAE324" s="26" t="s">
        <v>366</v>
      </c>
      <c r="AAF324" s="26" t="s">
        <v>366</v>
      </c>
      <c r="AAG324" s="26" t="s">
        <v>366</v>
      </c>
      <c r="AAH324" s="26" t="s">
        <v>366</v>
      </c>
      <c r="AAI324" s="26" t="s">
        <v>366</v>
      </c>
      <c r="AAJ324" s="26" t="s">
        <v>366</v>
      </c>
      <c r="AAK324" s="26" t="s">
        <v>366</v>
      </c>
      <c r="AAL324" s="26" t="s">
        <v>366</v>
      </c>
      <c r="AAM324" s="26" t="s">
        <v>366</v>
      </c>
      <c r="AAN324" s="26" t="s">
        <v>366</v>
      </c>
      <c r="AAO324" s="26" t="s">
        <v>366</v>
      </c>
      <c r="AAP324" s="26" t="s">
        <v>366</v>
      </c>
      <c r="AAQ324" s="26" t="s">
        <v>366</v>
      </c>
      <c r="AAR324" s="26" t="s">
        <v>366</v>
      </c>
      <c r="AAS324" s="26" t="s">
        <v>366</v>
      </c>
      <c r="AAT324" s="26" t="s">
        <v>366</v>
      </c>
      <c r="AAU324" s="26" t="s">
        <v>366</v>
      </c>
      <c r="AAV324" s="26" t="s">
        <v>366</v>
      </c>
      <c r="AAW324" s="26" t="s">
        <v>366</v>
      </c>
      <c r="AAX324" s="26" t="s">
        <v>366</v>
      </c>
      <c r="AAY324" s="26" t="s">
        <v>366</v>
      </c>
      <c r="AAZ324" s="26" t="s">
        <v>366</v>
      </c>
      <c r="ABA324" s="26" t="s">
        <v>366</v>
      </c>
      <c r="ABB324" s="26" t="s">
        <v>366</v>
      </c>
      <c r="ABC324" s="26" t="s">
        <v>366</v>
      </c>
      <c r="ABD324" s="26" t="s">
        <v>366</v>
      </c>
      <c r="ABE324" s="26" t="s">
        <v>366</v>
      </c>
      <c r="ABF324" s="26" t="s">
        <v>366</v>
      </c>
      <c r="ABG324" s="26" t="s">
        <v>366</v>
      </c>
      <c r="ABH324" s="26" t="s">
        <v>366</v>
      </c>
      <c r="ABI324" s="26" t="s">
        <v>366</v>
      </c>
      <c r="ABJ324" s="26" t="s">
        <v>366</v>
      </c>
      <c r="ABK324" s="26" t="s">
        <v>366</v>
      </c>
      <c r="ABL324" s="26" t="s">
        <v>366</v>
      </c>
      <c r="ABM324" s="26" t="s">
        <v>366</v>
      </c>
      <c r="ABN324" s="26" t="s">
        <v>366</v>
      </c>
      <c r="ABO324" s="26" t="s">
        <v>366</v>
      </c>
      <c r="ABP324" s="26" t="s">
        <v>366</v>
      </c>
      <c r="ABQ324" s="26" t="s">
        <v>366</v>
      </c>
      <c r="ABR324" s="26" t="s">
        <v>366</v>
      </c>
      <c r="ABS324" s="26" t="s">
        <v>366</v>
      </c>
      <c r="ABT324" s="26" t="s">
        <v>366</v>
      </c>
      <c r="ABU324" s="26" t="s">
        <v>366</v>
      </c>
      <c r="ABV324" s="26" t="s">
        <v>366</v>
      </c>
      <c r="ABW324" s="26" t="s">
        <v>366</v>
      </c>
      <c r="ABX324" s="26" t="s">
        <v>366</v>
      </c>
      <c r="ABY324" s="26" t="s">
        <v>366</v>
      </c>
      <c r="ABZ324" s="26" t="s">
        <v>366</v>
      </c>
      <c r="ACA324" s="26" t="s">
        <v>366</v>
      </c>
      <c r="ACB324" s="26" t="s">
        <v>366</v>
      </c>
      <c r="ACC324" s="26" t="s">
        <v>366</v>
      </c>
      <c r="ACD324" s="26" t="s">
        <v>366</v>
      </c>
      <c r="ACE324" s="26" t="s">
        <v>366</v>
      </c>
      <c r="ACF324" s="26" t="s">
        <v>366</v>
      </c>
      <c r="ACG324" s="26" t="s">
        <v>366</v>
      </c>
      <c r="ACH324" s="26" t="s">
        <v>366</v>
      </c>
      <c r="ACI324" s="26" t="s">
        <v>366</v>
      </c>
      <c r="ACJ324" s="26" t="s">
        <v>366</v>
      </c>
      <c r="ACK324" s="26" t="s">
        <v>366</v>
      </c>
      <c r="ACL324" s="26" t="s">
        <v>366</v>
      </c>
      <c r="ACM324" s="26" t="s">
        <v>366</v>
      </c>
      <c r="ACN324" s="26" t="s">
        <v>366</v>
      </c>
      <c r="ACO324" s="26" t="s">
        <v>366</v>
      </c>
      <c r="ACP324" s="26" t="s">
        <v>366</v>
      </c>
      <c r="ACQ324" s="26" t="s">
        <v>366</v>
      </c>
      <c r="ACR324" s="26" t="s">
        <v>366</v>
      </c>
      <c r="ACS324" s="26" t="s">
        <v>366</v>
      </c>
      <c r="ACT324" s="26" t="s">
        <v>366</v>
      </c>
      <c r="ACU324" s="26" t="s">
        <v>366</v>
      </c>
      <c r="ACV324" s="26" t="s">
        <v>366</v>
      </c>
      <c r="ACW324" s="26" t="s">
        <v>366</v>
      </c>
      <c r="ACX324" s="26" t="s">
        <v>366</v>
      </c>
      <c r="ACY324" s="26" t="s">
        <v>366</v>
      </c>
      <c r="ACZ324" s="26" t="s">
        <v>366</v>
      </c>
      <c r="ADA324" s="26" t="s">
        <v>366</v>
      </c>
      <c r="ADB324" s="26" t="s">
        <v>366</v>
      </c>
      <c r="ADC324" s="26" t="s">
        <v>366</v>
      </c>
      <c r="ADD324" s="26" t="s">
        <v>366</v>
      </c>
      <c r="ADE324" s="26" t="s">
        <v>366</v>
      </c>
      <c r="ADF324" s="26" t="s">
        <v>366</v>
      </c>
      <c r="ADG324" s="26" t="s">
        <v>366</v>
      </c>
      <c r="ADH324" s="26" t="s">
        <v>366</v>
      </c>
      <c r="ADI324" s="26" t="s">
        <v>366</v>
      </c>
      <c r="ADJ324" s="26" t="s">
        <v>366</v>
      </c>
      <c r="ADK324" s="26" t="s">
        <v>366</v>
      </c>
      <c r="ADL324" s="26" t="s">
        <v>366</v>
      </c>
      <c r="ADM324" s="26" t="s">
        <v>366</v>
      </c>
      <c r="ADN324" s="26" t="s">
        <v>366</v>
      </c>
      <c r="ADO324" s="26" t="s">
        <v>366</v>
      </c>
      <c r="ADP324" s="26" t="s">
        <v>366</v>
      </c>
      <c r="ADQ324" s="26" t="s">
        <v>366</v>
      </c>
      <c r="ADR324" s="26" t="s">
        <v>366</v>
      </c>
      <c r="ADS324" s="26" t="s">
        <v>366</v>
      </c>
      <c r="ADT324" s="26" t="s">
        <v>366</v>
      </c>
      <c r="ADU324" s="26" t="s">
        <v>366</v>
      </c>
      <c r="ADV324" s="26" t="s">
        <v>366</v>
      </c>
      <c r="ADW324" s="26" t="s">
        <v>366</v>
      </c>
      <c r="ADX324" s="26" t="s">
        <v>366</v>
      </c>
      <c r="ADY324" s="26" t="s">
        <v>366</v>
      </c>
      <c r="ADZ324" s="26" t="s">
        <v>366</v>
      </c>
      <c r="AEA324" s="26" t="s">
        <v>366</v>
      </c>
      <c r="AEB324" s="26" t="s">
        <v>366</v>
      </c>
      <c r="AEC324" s="26" t="s">
        <v>366</v>
      </c>
      <c r="AED324" s="26" t="s">
        <v>366</v>
      </c>
      <c r="AEE324" s="26" t="s">
        <v>366</v>
      </c>
      <c r="AEF324" s="26" t="s">
        <v>366</v>
      </c>
      <c r="AEG324" s="26" t="s">
        <v>366</v>
      </c>
      <c r="AEH324" s="26" t="s">
        <v>366</v>
      </c>
      <c r="AEI324" s="26" t="s">
        <v>366</v>
      </c>
      <c r="AEJ324" s="26" t="s">
        <v>366</v>
      </c>
      <c r="AEK324" s="26" t="s">
        <v>366</v>
      </c>
      <c r="AEL324" s="26" t="s">
        <v>366</v>
      </c>
      <c r="AEM324" s="26" t="s">
        <v>366</v>
      </c>
      <c r="AEN324" s="26" t="s">
        <v>366</v>
      </c>
      <c r="AEO324" s="26" t="s">
        <v>366</v>
      </c>
      <c r="AEP324" s="26" t="s">
        <v>366</v>
      </c>
      <c r="AEQ324" s="26" t="s">
        <v>366</v>
      </c>
      <c r="AER324" s="26" t="s">
        <v>366</v>
      </c>
      <c r="AES324" s="26" t="s">
        <v>366</v>
      </c>
      <c r="AET324" s="26" t="s">
        <v>366</v>
      </c>
      <c r="AEU324" s="26" t="s">
        <v>366</v>
      </c>
      <c r="AEV324" s="26" t="s">
        <v>366</v>
      </c>
      <c r="AEW324" s="26" t="s">
        <v>366</v>
      </c>
      <c r="AEX324" s="26" t="s">
        <v>366</v>
      </c>
      <c r="AEY324" s="26" t="s">
        <v>366</v>
      </c>
      <c r="AEZ324" s="26" t="s">
        <v>366</v>
      </c>
      <c r="AFA324" s="26" t="s">
        <v>366</v>
      </c>
      <c r="AFB324" s="26" t="s">
        <v>366</v>
      </c>
      <c r="AFC324" s="26" t="s">
        <v>366</v>
      </c>
      <c r="AFD324" s="26" t="s">
        <v>366</v>
      </c>
      <c r="AFE324" s="26" t="s">
        <v>366</v>
      </c>
      <c r="AFF324" s="26" t="s">
        <v>366</v>
      </c>
      <c r="AFG324" s="26" t="s">
        <v>366</v>
      </c>
      <c r="AFH324" s="26" t="s">
        <v>366</v>
      </c>
      <c r="AFI324" s="26" t="s">
        <v>366</v>
      </c>
      <c r="AFJ324" s="26" t="s">
        <v>366</v>
      </c>
      <c r="AFK324" s="26" t="s">
        <v>366</v>
      </c>
      <c r="AFL324" s="26" t="s">
        <v>366</v>
      </c>
      <c r="AFM324" s="26" t="s">
        <v>366</v>
      </c>
      <c r="AFN324" s="26" t="s">
        <v>366</v>
      </c>
      <c r="AFO324" s="26" t="s">
        <v>366</v>
      </c>
      <c r="AFP324" s="26" t="s">
        <v>366</v>
      </c>
      <c r="AFQ324" s="26" t="s">
        <v>366</v>
      </c>
      <c r="AFR324" s="26" t="s">
        <v>366</v>
      </c>
      <c r="AFS324" s="26" t="s">
        <v>366</v>
      </c>
      <c r="AFT324" s="26" t="s">
        <v>366</v>
      </c>
      <c r="AFU324" s="26" t="s">
        <v>366</v>
      </c>
      <c r="AFV324" s="26" t="s">
        <v>366</v>
      </c>
      <c r="AFW324" s="26" t="s">
        <v>366</v>
      </c>
      <c r="AFX324" s="26" t="s">
        <v>366</v>
      </c>
      <c r="AFY324" s="26" t="s">
        <v>366</v>
      </c>
      <c r="AFZ324" s="26" t="s">
        <v>366</v>
      </c>
      <c r="AGA324" s="26" t="s">
        <v>366</v>
      </c>
      <c r="AGB324" s="26" t="s">
        <v>366</v>
      </c>
      <c r="AGC324" s="26" t="s">
        <v>366</v>
      </c>
      <c r="AGD324" s="26" t="s">
        <v>366</v>
      </c>
      <c r="AGE324" s="26" t="s">
        <v>366</v>
      </c>
      <c r="AGF324" s="26" t="s">
        <v>366</v>
      </c>
      <c r="AGG324" s="26" t="s">
        <v>366</v>
      </c>
      <c r="AGH324" s="26" t="s">
        <v>366</v>
      </c>
      <c r="AGI324" s="26" t="s">
        <v>366</v>
      </c>
      <c r="AGJ324" s="26" t="s">
        <v>366</v>
      </c>
      <c r="AGK324" s="26" t="s">
        <v>366</v>
      </c>
      <c r="AGL324" s="26" t="s">
        <v>366</v>
      </c>
      <c r="AGM324" s="26" t="s">
        <v>366</v>
      </c>
      <c r="AGN324" s="26" t="s">
        <v>366</v>
      </c>
      <c r="AGO324" s="26" t="s">
        <v>366</v>
      </c>
      <c r="AGP324" s="26" t="s">
        <v>366</v>
      </c>
      <c r="AGQ324" s="26" t="s">
        <v>366</v>
      </c>
      <c r="AGR324" s="26" t="s">
        <v>366</v>
      </c>
      <c r="AGS324" s="26" t="s">
        <v>366</v>
      </c>
      <c r="AGT324" s="26" t="s">
        <v>366</v>
      </c>
      <c r="AGU324" s="26" t="s">
        <v>366</v>
      </c>
      <c r="AGV324" s="26" t="s">
        <v>366</v>
      </c>
      <c r="AGW324" s="26" t="s">
        <v>366</v>
      </c>
      <c r="AGX324" s="26" t="s">
        <v>366</v>
      </c>
      <c r="AGY324" s="26" t="s">
        <v>366</v>
      </c>
      <c r="AGZ324" s="26" t="s">
        <v>366</v>
      </c>
      <c r="AHA324" s="26" t="s">
        <v>366</v>
      </c>
      <c r="AHB324" s="26" t="s">
        <v>366</v>
      </c>
      <c r="AHC324" s="26" t="s">
        <v>366</v>
      </c>
      <c r="AHD324" s="26" t="s">
        <v>366</v>
      </c>
      <c r="AHE324" s="26" t="s">
        <v>366</v>
      </c>
      <c r="AHF324" s="26" t="s">
        <v>366</v>
      </c>
      <c r="AHG324" s="26" t="s">
        <v>366</v>
      </c>
      <c r="AHH324" s="26" t="s">
        <v>366</v>
      </c>
      <c r="AHI324" s="26" t="s">
        <v>366</v>
      </c>
      <c r="AHJ324" s="26" t="s">
        <v>366</v>
      </c>
      <c r="AHK324" s="26" t="s">
        <v>366</v>
      </c>
      <c r="AHL324" s="26" t="s">
        <v>366</v>
      </c>
      <c r="AHM324" s="26" t="s">
        <v>366</v>
      </c>
      <c r="AHN324" s="26" t="s">
        <v>366</v>
      </c>
      <c r="AHO324" s="26" t="s">
        <v>366</v>
      </c>
      <c r="AHP324" s="26" t="s">
        <v>366</v>
      </c>
      <c r="AHQ324" s="26" t="s">
        <v>366</v>
      </c>
      <c r="AHR324" s="26" t="s">
        <v>366</v>
      </c>
      <c r="AHS324" s="26" t="s">
        <v>366</v>
      </c>
      <c r="AHT324" s="26" t="s">
        <v>366</v>
      </c>
      <c r="AHU324" s="26" t="s">
        <v>366</v>
      </c>
      <c r="AHV324" s="26" t="s">
        <v>366</v>
      </c>
      <c r="AHW324" s="26" t="s">
        <v>366</v>
      </c>
      <c r="AHX324" s="26" t="s">
        <v>366</v>
      </c>
      <c r="AHY324" s="26" t="s">
        <v>366</v>
      </c>
      <c r="AHZ324" s="26" t="s">
        <v>366</v>
      </c>
      <c r="AIA324" s="26" t="s">
        <v>366</v>
      </c>
      <c r="AIB324" s="26" t="s">
        <v>366</v>
      </c>
      <c r="AIC324" s="26" t="s">
        <v>366</v>
      </c>
      <c r="AID324" s="26" t="s">
        <v>366</v>
      </c>
      <c r="AIE324" s="26" t="s">
        <v>366</v>
      </c>
      <c r="AIF324" s="26" t="s">
        <v>366</v>
      </c>
      <c r="AIG324" s="26" t="s">
        <v>366</v>
      </c>
      <c r="AIH324" s="26" t="s">
        <v>366</v>
      </c>
      <c r="AII324" s="26" t="s">
        <v>366</v>
      </c>
      <c r="AIJ324" s="26" t="s">
        <v>366</v>
      </c>
      <c r="AIK324" s="26" t="s">
        <v>366</v>
      </c>
      <c r="AIL324" s="26" t="s">
        <v>366</v>
      </c>
      <c r="AIM324" s="26" t="s">
        <v>366</v>
      </c>
      <c r="AIN324" s="26" t="s">
        <v>366</v>
      </c>
      <c r="AIO324" s="26" t="s">
        <v>366</v>
      </c>
      <c r="AIP324" s="26" t="s">
        <v>366</v>
      </c>
      <c r="AIQ324" s="26" t="s">
        <v>366</v>
      </c>
      <c r="AIR324" s="26" t="s">
        <v>366</v>
      </c>
      <c r="AIS324" s="26" t="s">
        <v>366</v>
      </c>
      <c r="AIT324" s="26" t="s">
        <v>366</v>
      </c>
      <c r="AIU324" s="26" t="s">
        <v>366</v>
      </c>
      <c r="AIV324" s="26" t="s">
        <v>366</v>
      </c>
      <c r="AIW324" s="26" t="s">
        <v>366</v>
      </c>
      <c r="AIX324" s="26" t="s">
        <v>366</v>
      </c>
      <c r="AIY324" s="26" t="s">
        <v>366</v>
      </c>
      <c r="AIZ324" s="26" t="s">
        <v>366</v>
      </c>
      <c r="AJA324" s="26" t="s">
        <v>366</v>
      </c>
      <c r="AJB324" s="26" t="s">
        <v>366</v>
      </c>
      <c r="AJC324" s="26" t="s">
        <v>366</v>
      </c>
      <c r="AJD324" s="26" t="s">
        <v>366</v>
      </c>
      <c r="AJE324" s="26" t="s">
        <v>366</v>
      </c>
      <c r="AJF324" s="26" t="s">
        <v>366</v>
      </c>
      <c r="AJG324" s="26" t="s">
        <v>366</v>
      </c>
      <c r="AJH324" s="26" t="s">
        <v>366</v>
      </c>
      <c r="AJI324" s="26" t="s">
        <v>366</v>
      </c>
      <c r="AJJ324" s="26" t="s">
        <v>366</v>
      </c>
      <c r="AJK324" s="26" t="s">
        <v>366</v>
      </c>
      <c r="AJL324" s="26" t="s">
        <v>366</v>
      </c>
      <c r="AJM324" s="26" t="s">
        <v>366</v>
      </c>
      <c r="AJN324" s="26" t="s">
        <v>366</v>
      </c>
      <c r="AJO324" s="26" t="s">
        <v>366</v>
      </c>
      <c r="AJP324" s="26" t="s">
        <v>366</v>
      </c>
      <c r="AJQ324" s="26" t="s">
        <v>366</v>
      </c>
      <c r="AJR324" s="26" t="s">
        <v>366</v>
      </c>
      <c r="AJS324" s="26" t="s">
        <v>366</v>
      </c>
      <c r="AJT324" s="26" t="s">
        <v>366</v>
      </c>
      <c r="AJU324" s="26" t="s">
        <v>366</v>
      </c>
      <c r="AJV324" s="26" t="s">
        <v>366</v>
      </c>
      <c r="AJW324" s="26" t="s">
        <v>366</v>
      </c>
      <c r="AJX324" s="26" t="s">
        <v>366</v>
      </c>
      <c r="AJY324" s="26" t="s">
        <v>366</v>
      </c>
      <c r="AJZ324" s="26" t="s">
        <v>366</v>
      </c>
      <c r="AKA324" s="26" t="s">
        <v>366</v>
      </c>
      <c r="AKB324" s="26" t="s">
        <v>366</v>
      </c>
      <c r="AKC324" s="26" t="s">
        <v>366</v>
      </c>
      <c r="AKD324" s="26" t="s">
        <v>366</v>
      </c>
      <c r="AKE324" s="26" t="s">
        <v>366</v>
      </c>
      <c r="AKF324" s="26" t="s">
        <v>366</v>
      </c>
      <c r="AKG324" s="26" t="s">
        <v>366</v>
      </c>
      <c r="AKH324" s="26" t="s">
        <v>366</v>
      </c>
      <c r="AKI324" s="26" t="s">
        <v>366</v>
      </c>
      <c r="AKJ324" s="26" t="s">
        <v>366</v>
      </c>
      <c r="AKK324" s="26" t="s">
        <v>366</v>
      </c>
      <c r="AKL324" s="26" t="s">
        <v>366</v>
      </c>
      <c r="AKM324" s="26" t="s">
        <v>366</v>
      </c>
      <c r="AKN324" s="26" t="s">
        <v>366</v>
      </c>
      <c r="AKO324" s="26" t="s">
        <v>366</v>
      </c>
      <c r="AKP324" s="26" t="s">
        <v>366</v>
      </c>
      <c r="AKQ324" s="26" t="s">
        <v>366</v>
      </c>
      <c r="AKR324" s="26" t="s">
        <v>366</v>
      </c>
      <c r="AKS324" s="26" t="s">
        <v>366</v>
      </c>
      <c r="AKT324" s="26" t="s">
        <v>366</v>
      </c>
      <c r="AKU324" s="26" t="s">
        <v>366</v>
      </c>
      <c r="AKV324" s="26" t="s">
        <v>366</v>
      </c>
      <c r="AKW324" s="26" t="s">
        <v>366</v>
      </c>
      <c r="AKX324" s="26" t="s">
        <v>366</v>
      </c>
      <c r="AKY324" s="26" t="s">
        <v>366</v>
      </c>
      <c r="AKZ324" s="26" t="s">
        <v>366</v>
      </c>
      <c r="ALA324" s="26" t="s">
        <v>366</v>
      </c>
      <c r="ALB324" s="26" t="s">
        <v>366</v>
      </c>
      <c r="ALC324" s="26" t="s">
        <v>366</v>
      </c>
      <c r="ALD324" s="26" t="s">
        <v>366</v>
      </c>
      <c r="ALE324" s="26" t="s">
        <v>366</v>
      </c>
      <c r="ALF324" s="26" t="s">
        <v>366</v>
      </c>
      <c r="ALG324" s="26" t="s">
        <v>366</v>
      </c>
      <c r="ALH324" s="26" t="s">
        <v>366</v>
      </c>
      <c r="ALI324" s="26" t="s">
        <v>366</v>
      </c>
      <c r="ALJ324" s="26" t="s">
        <v>366</v>
      </c>
      <c r="ALK324" s="26" t="s">
        <v>366</v>
      </c>
      <c r="ALL324" s="26" t="s">
        <v>366</v>
      </c>
      <c r="ALM324" s="26" t="s">
        <v>366</v>
      </c>
      <c r="ALN324" s="26" t="s">
        <v>366</v>
      </c>
      <c r="ALO324" s="26" t="s">
        <v>366</v>
      </c>
      <c r="ALP324" s="26" t="s">
        <v>366</v>
      </c>
      <c r="ALQ324" s="26" t="s">
        <v>366</v>
      </c>
      <c r="ALR324" s="26" t="s">
        <v>366</v>
      </c>
      <c r="ALS324" s="26" t="s">
        <v>366</v>
      </c>
      <c r="ALT324" s="26" t="s">
        <v>366</v>
      </c>
      <c r="ALU324" s="26" t="s">
        <v>366</v>
      </c>
      <c r="ALV324" s="26" t="s">
        <v>366</v>
      </c>
      <c r="ALW324" s="26" t="s">
        <v>366</v>
      </c>
      <c r="ALX324" s="26" t="s">
        <v>366</v>
      </c>
      <c r="ALY324" s="26" t="s">
        <v>366</v>
      </c>
      <c r="ALZ324" s="26" t="s">
        <v>366</v>
      </c>
      <c r="AMA324" s="26" t="s">
        <v>366</v>
      </c>
      <c r="AMB324" s="26" t="s">
        <v>366</v>
      </c>
      <c r="AMC324" s="26" t="s">
        <v>366</v>
      </c>
      <c r="AMD324" s="26" t="s">
        <v>366</v>
      </c>
      <c r="AME324" s="26" t="s">
        <v>366</v>
      </c>
      <c r="AMF324" s="26" t="s">
        <v>366</v>
      </c>
      <c r="AMG324" s="26" t="s">
        <v>366</v>
      </c>
      <c r="AMH324" s="26" t="s">
        <v>366</v>
      </c>
      <c r="AMI324" s="26" t="s">
        <v>366</v>
      </c>
      <c r="AMJ324" s="26" t="s">
        <v>366</v>
      </c>
      <c r="AMK324" s="26" t="s">
        <v>366</v>
      </c>
      <c r="AML324" s="26" t="s">
        <v>366</v>
      </c>
      <c r="AMM324" s="26" t="s">
        <v>366</v>
      </c>
      <c r="AMN324" s="26" t="s">
        <v>366</v>
      </c>
      <c r="AMO324" s="26" t="s">
        <v>366</v>
      </c>
      <c r="AMP324" s="26" t="s">
        <v>366</v>
      </c>
      <c r="AMQ324" s="26" t="s">
        <v>366</v>
      </c>
      <c r="AMR324" s="26" t="s">
        <v>366</v>
      </c>
      <c r="AMS324" s="26" t="s">
        <v>366</v>
      </c>
      <c r="AMT324" s="26" t="s">
        <v>366</v>
      </c>
      <c r="AMU324" s="26" t="s">
        <v>366</v>
      </c>
      <c r="AMV324" s="26" t="s">
        <v>366</v>
      </c>
      <c r="AMW324" s="26" t="s">
        <v>366</v>
      </c>
      <c r="AMX324" s="26" t="s">
        <v>366</v>
      </c>
      <c r="AMY324" s="26" t="s">
        <v>366</v>
      </c>
      <c r="AMZ324" s="26" t="s">
        <v>366</v>
      </c>
      <c r="ANA324" s="26" t="s">
        <v>366</v>
      </c>
      <c r="ANB324" s="26" t="s">
        <v>366</v>
      </c>
      <c r="ANC324" s="26" t="s">
        <v>366</v>
      </c>
      <c r="AND324" s="26" t="s">
        <v>366</v>
      </c>
      <c r="ANE324" s="26" t="s">
        <v>366</v>
      </c>
      <c r="ANF324" s="26" t="s">
        <v>366</v>
      </c>
      <c r="ANG324" s="26" t="s">
        <v>366</v>
      </c>
      <c r="ANH324" s="26" t="s">
        <v>366</v>
      </c>
      <c r="ANI324" s="26" t="s">
        <v>366</v>
      </c>
      <c r="ANJ324" s="26" t="s">
        <v>366</v>
      </c>
      <c r="ANK324" s="26" t="s">
        <v>366</v>
      </c>
      <c r="ANL324" s="26" t="s">
        <v>366</v>
      </c>
      <c r="ANM324" s="26" t="s">
        <v>366</v>
      </c>
      <c r="ANN324" s="26" t="s">
        <v>366</v>
      </c>
      <c r="ANO324" s="26" t="s">
        <v>366</v>
      </c>
      <c r="ANP324" s="26" t="s">
        <v>366</v>
      </c>
      <c r="ANQ324" s="26" t="s">
        <v>366</v>
      </c>
      <c r="ANR324" s="26" t="s">
        <v>366</v>
      </c>
      <c r="ANS324" s="26" t="s">
        <v>366</v>
      </c>
      <c r="ANT324" s="26" t="s">
        <v>366</v>
      </c>
      <c r="ANU324" s="26" t="s">
        <v>366</v>
      </c>
      <c r="ANV324" s="26" t="s">
        <v>366</v>
      </c>
      <c r="ANW324" s="26" t="s">
        <v>366</v>
      </c>
      <c r="ANX324" s="26" t="s">
        <v>366</v>
      </c>
      <c r="ANY324" s="26" t="s">
        <v>366</v>
      </c>
      <c r="ANZ324" s="26" t="s">
        <v>366</v>
      </c>
      <c r="AOA324" s="26" t="s">
        <v>366</v>
      </c>
      <c r="AOB324" s="26" t="s">
        <v>366</v>
      </c>
      <c r="AOC324" s="26" t="s">
        <v>366</v>
      </c>
      <c r="AOD324" s="26" t="s">
        <v>366</v>
      </c>
      <c r="AOE324" s="26" t="s">
        <v>366</v>
      </c>
      <c r="AOF324" s="26" t="s">
        <v>366</v>
      </c>
      <c r="AOG324" s="26" t="s">
        <v>366</v>
      </c>
      <c r="AOH324" s="26" t="s">
        <v>366</v>
      </c>
      <c r="AOI324" s="26" t="s">
        <v>366</v>
      </c>
      <c r="AOJ324" s="26" t="s">
        <v>366</v>
      </c>
      <c r="AOK324" s="26" t="s">
        <v>366</v>
      </c>
      <c r="AOL324" s="26" t="s">
        <v>366</v>
      </c>
      <c r="AOM324" s="26" t="s">
        <v>366</v>
      </c>
      <c r="AON324" s="26" t="s">
        <v>366</v>
      </c>
      <c r="AOO324" s="26" t="s">
        <v>366</v>
      </c>
      <c r="AOP324" s="26" t="s">
        <v>366</v>
      </c>
      <c r="AOQ324" s="26" t="s">
        <v>366</v>
      </c>
      <c r="AOR324" s="26" t="s">
        <v>366</v>
      </c>
      <c r="AOS324" s="26" t="s">
        <v>366</v>
      </c>
      <c r="AOT324" s="26" t="s">
        <v>366</v>
      </c>
      <c r="AOU324" s="26" t="s">
        <v>366</v>
      </c>
      <c r="AOV324" s="26" t="s">
        <v>366</v>
      </c>
      <c r="AOW324" s="26" t="s">
        <v>366</v>
      </c>
      <c r="AOX324" s="26" t="s">
        <v>366</v>
      </c>
      <c r="AOY324" s="26" t="s">
        <v>366</v>
      </c>
      <c r="AOZ324" s="26" t="s">
        <v>366</v>
      </c>
      <c r="APA324" s="26" t="s">
        <v>366</v>
      </c>
      <c r="APB324" s="26" t="s">
        <v>366</v>
      </c>
      <c r="APC324" s="26" t="s">
        <v>366</v>
      </c>
      <c r="APD324" s="26" t="s">
        <v>366</v>
      </c>
      <c r="APE324" s="26" t="s">
        <v>366</v>
      </c>
      <c r="APF324" s="26" t="s">
        <v>366</v>
      </c>
      <c r="APG324" s="26" t="s">
        <v>366</v>
      </c>
      <c r="APH324" s="26" t="s">
        <v>366</v>
      </c>
      <c r="API324" s="26" t="s">
        <v>366</v>
      </c>
      <c r="APJ324" s="26" t="s">
        <v>366</v>
      </c>
      <c r="APK324" s="26" t="s">
        <v>366</v>
      </c>
      <c r="APL324" s="26" t="s">
        <v>366</v>
      </c>
      <c r="APM324" s="26" t="s">
        <v>366</v>
      </c>
      <c r="APN324" s="26" t="s">
        <v>366</v>
      </c>
      <c r="APO324" s="26" t="s">
        <v>366</v>
      </c>
      <c r="APP324" s="26" t="s">
        <v>366</v>
      </c>
      <c r="APQ324" s="26" t="s">
        <v>366</v>
      </c>
      <c r="APR324" s="26" t="s">
        <v>366</v>
      </c>
      <c r="APS324" s="26" t="s">
        <v>366</v>
      </c>
      <c r="APT324" s="26" t="s">
        <v>366</v>
      </c>
      <c r="APU324" s="26" t="s">
        <v>366</v>
      </c>
      <c r="APV324" s="26" t="s">
        <v>366</v>
      </c>
      <c r="APW324" s="26" t="s">
        <v>366</v>
      </c>
      <c r="APX324" s="26" t="s">
        <v>366</v>
      </c>
      <c r="APY324" s="26" t="s">
        <v>366</v>
      </c>
      <c r="APZ324" s="26" t="s">
        <v>366</v>
      </c>
      <c r="AQA324" s="26" t="s">
        <v>366</v>
      </c>
      <c r="AQB324" s="26" t="s">
        <v>366</v>
      </c>
      <c r="AQC324" s="26" t="s">
        <v>366</v>
      </c>
      <c r="AQD324" s="26" t="s">
        <v>366</v>
      </c>
      <c r="AQE324" s="26" t="s">
        <v>366</v>
      </c>
      <c r="AQF324" s="26" t="s">
        <v>366</v>
      </c>
      <c r="AQG324" s="26" t="s">
        <v>366</v>
      </c>
      <c r="AQH324" s="26" t="s">
        <v>366</v>
      </c>
      <c r="AQI324" s="26" t="s">
        <v>366</v>
      </c>
      <c r="AQJ324" s="26" t="s">
        <v>366</v>
      </c>
      <c r="AQK324" s="26" t="s">
        <v>366</v>
      </c>
      <c r="AQL324" s="26" t="s">
        <v>366</v>
      </c>
      <c r="AQM324" s="26" t="s">
        <v>366</v>
      </c>
      <c r="AQN324" s="26" t="s">
        <v>366</v>
      </c>
      <c r="AQO324" s="26" t="s">
        <v>366</v>
      </c>
      <c r="AQP324" s="26" t="s">
        <v>366</v>
      </c>
      <c r="AQQ324" s="26" t="s">
        <v>366</v>
      </c>
      <c r="AQR324" s="26" t="s">
        <v>366</v>
      </c>
      <c r="AQS324" s="26" t="s">
        <v>366</v>
      </c>
      <c r="AQT324" s="26" t="s">
        <v>366</v>
      </c>
      <c r="AQU324" s="26" t="s">
        <v>366</v>
      </c>
      <c r="AQV324" s="26" t="s">
        <v>366</v>
      </c>
      <c r="AQW324" s="26" t="s">
        <v>366</v>
      </c>
      <c r="AQX324" s="26" t="s">
        <v>366</v>
      </c>
      <c r="AQY324" s="26" t="s">
        <v>366</v>
      </c>
      <c r="AQZ324" s="26" t="s">
        <v>366</v>
      </c>
      <c r="ARA324" s="26" t="s">
        <v>366</v>
      </c>
      <c r="ARB324" s="26" t="s">
        <v>366</v>
      </c>
      <c r="ARC324" s="26" t="s">
        <v>366</v>
      </c>
      <c r="ARD324" s="26" t="s">
        <v>366</v>
      </c>
      <c r="ARE324" s="26" t="s">
        <v>366</v>
      </c>
      <c r="ARF324" s="26" t="s">
        <v>366</v>
      </c>
      <c r="ARG324" s="26" t="s">
        <v>366</v>
      </c>
      <c r="ARH324" s="26" t="s">
        <v>366</v>
      </c>
      <c r="ARI324" s="26" t="s">
        <v>366</v>
      </c>
      <c r="ARJ324" s="26" t="s">
        <v>366</v>
      </c>
      <c r="ARK324" s="26" t="s">
        <v>366</v>
      </c>
      <c r="ARL324" s="26" t="s">
        <v>366</v>
      </c>
      <c r="ARM324" s="26" t="s">
        <v>366</v>
      </c>
      <c r="ARN324" s="26" t="s">
        <v>366</v>
      </c>
      <c r="ARO324" s="26" t="s">
        <v>366</v>
      </c>
      <c r="ARP324" s="26" t="s">
        <v>366</v>
      </c>
      <c r="ARQ324" s="26" t="s">
        <v>366</v>
      </c>
      <c r="ARR324" s="26" t="s">
        <v>366</v>
      </c>
      <c r="ARS324" s="26" t="s">
        <v>366</v>
      </c>
      <c r="ART324" s="26" t="s">
        <v>366</v>
      </c>
      <c r="ARU324" s="26" t="s">
        <v>366</v>
      </c>
      <c r="ARV324" s="26" t="s">
        <v>366</v>
      </c>
      <c r="ARW324" s="26" t="s">
        <v>366</v>
      </c>
      <c r="ARX324" s="26" t="s">
        <v>366</v>
      </c>
      <c r="ARY324" s="26" t="s">
        <v>366</v>
      </c>
      <c r="ARZ324" s="26" t="s">
        <v>366</v>
      </c>
      <c r="ASA324" s="26" t="s">
        <v>366</v>
      </c>
      <c r="ASB324" s="26" t="s">
        <v>366</v>
      </c>
      <c r="ASC324" s="26" t="s">
        <v>366</v>
      </c>
      <c r="ASD324" s="26" t="s">
        <v>366</v>
      </c>
      <c r="ASE324" s="26" t="s">
        <v>366</v>
      </c>
      <c r="ASF324" s="26" t="s">
        <v>366</v>
      </c>
      <c r="ASG324" s="26" t="s">
        <v>366</v>
      </c>
      <c r="ASH324" s="26" t="s">
        <v>366</v>
      </c>
      <c r="ASI324" s="26" t="s">
        <v>366</v>
      </c>
      <c r="ASJ324" s="26" t="s">
        <v>366</v>
      </c>
      <c r="ASK324" s="26" t="s">
        <v>366</v>
      </c>
      <c r="ASL324" s="26" t="s">
        <v>366</v>
      </c>
      <c r="ASM324" s="26" t="s">
        <v>366</v>
      </c>
      <c r="ASN324" s="26" t="s">
        <v>366</v>
      </c>
      <c r="ASO324" s="26" t="s">
        <v>366</v>
      </c>
      <c r="ASP324" s="26" t="s">
        <v>366</v>
      </c>
      <c r="ASQ324" s="26" t="s">
        <v>366</v>
      </c>
      <c r="ASR324" s="26" t="s">
        <v>366</v>
      </c>
      <c r="ASS324" s="26" t="s">
        <v>366</v>
      </c>
      <c r="AST324" s="26" t="s">
        <v>366</v>
      </c>
      <c r="ASU324" s="26" t="s">
        <v>366</v>
      </c>
      <c r="ASV324" s="26" t="s">
        <v>366</v>
      </c>
      <c r="ASW324" s="26" t="s">
        <v>366</v>
      </c>
      <c r="ASX324" s="26" t="s">
        <v>366</v>
      </c>
      <c r="ASY324" s="26" t="s">
        <v>366</v>
      </c>
      <c r="ASZ324" s="26" t="s">
        <v>366</v>
      </c>
      <c r="ATA324" s="26" t="s">
        <v>366</v>
      </c>
      <c r="ATB324" s="26" t="s">
        <v>366</v>
      </c>
      <c r="ATC324" s="26" t="s">
        <v>366</v>
      </c>
      <c r="ATD324" s="26" t="s">
        <v>366</v>
      </c>
      <c r="ATE324" s="26" t="s">
        <v>366</v>
      </c>
      <c r="ATF324" s="26" t="s">
        <v>366</v>
      </c>
      <c r="ATG324" s="26" t="s">
        <v>366</v>
      </c>
      <c r="ATH324" s="26" t="s">
        <v>366</v>
      </c>
      <c r="ATI324" s="26" t="s">
        <v>366</v>
      </c>
      <c r="ATJ324" s="26" t="s">
        <v>366</v>
      </c>
      <c r="ATK324" s="26" t="s">
        <v>366</v>
      </c>
      <c r="ATL324" s="26" t="s">
        <v>366</v>
      </c>
      <c r="ATM324" s="26" t="s">
        <v>366</v>
      </c>
      <c r="ATN324" s="26" t="s">
        <v>366</v>
      </c>
      <c r="ATO324" s="26" t="s">
        <v>366</v>
      </c>
      <c r="ATP324" s="26" t="s">
        <v>366</v>
      </c>
      <c r="ATQ324" s="26" t="s">
        <v>366</v>
      </c>
      <c r="ATR324" s="26" t="s">
        <v>366</v>
      </c>
      <c r="ATS324" s="26" t="s">
        <v>366</v>
      </c>
      <c r="ATT324" s="26" t="s">
        <v>366</v>
      </c>
      <c r="ATU324" s="26" t="s">
        <v>366</v>
      </c>
      <c r="ATV324" s="26" t="s">
        <v>366</v>
      </c>
      <c r="ATW324" s="26" t="s">
        <v>366</v>
      </c>
      <c r="ATX324" s="26" t="s">
        <v>366</v>
      </c>
      <c r="ATY324" s="26" t="s">
        <v>366</v>
      </c>
      <c r="ATZ324" s="26" t="s">
        <v>366</v>
      </c>
      <c r="AUA324" s="26" t="s">
        <v>366</v>
      </c>
      <c r="AUB324" s="26" t="s">
        <v>366</v>
      </c>
      <c r="AUC324" s="26" t="s">
        <v>366</v>
      </c>
      <c r="AUD324" s="26" t="s">
        <v>366</v>
      </c>
      <c r="AUE324" s="26" t="s">
        <v>366</v>
      </c>
      <c r="AUF324" s="26" t="s">
        <v>366</v>
      </c>
      <c r="AUG324" s="26" t="s">
        <v>366</v>
      </c>
      <c r="AUH324" s="26" t="s">
        <v>366</v>
      </c>
      <c r="AUI324" s="26" t="s">
        <v>366</v>
      </c>
      <c r="AUJ324" s="26" t="s">
        <v>366</v>
      </c>
      <c r="AUK324" s="26" t="s">
        <v>366</v>
      </c>
      <c r="AUL324" s="26" t="s">
        <v>366</v>
      </c>
      <c r="AUM324" s="26" t="s">
        <v>366</v>
      </c>
      <c r="AUN324" s="26" t="s">
        <v>366</v>
      </c>
      <c r="AUO324" s="26" t="s">
        <v>366</v>
      </c>
      <c r="AUP324" s="26" t="s">
        <v>366</v>
      </c>
      <c r="AUQ324" s="26" t="s">
        <v>366</v>
      </c>
      <c r="AUR324" s="26" t="s">
        <v>366</v>
      </c>
      <c r="AUS324" s="26" t="s">
        <v>366</v>
      </c>
      <c r="AUT324" s="26" t="s">
        <v>366</v>
      </c>
      <c r="AUU324" s="26" t="s">
        <v>366</v>
      </c>
      <c r="AUV324" s="26" t="s">
        <v>366</v>
      </c>
      <c r="AUW324" s="26" t="s">
        <v>366</v>
      </c>
      <c r="AUX324" s="26" t="s">
        <v>366</v>
      </c>
      <c r="AUY324" s="26" t="s">
        <v>366</v>
      </c>
      <c r="AUZ324" s="26" t="s">
        <v>366</v>
      </c>
      <c r="AVA324" s="26" t="s">
        <v>366</v>
      </c>
      <c r="AVB324" s="26" t="s">
        <v>366</v>
      </c>
      <c r="AVC324" s="26" t="s">
        <v>366</v>
      </c>
      <c r="AVD324" s="26" t="s">
        <v>366</v>
      </c>
      <c r="AVE324" s="26" t="s">
        <v>366</v>
      </c>
      <c r="AVF324" s="26" t="s">
        <v>366</v>
      </c>
      <c r="AVG324" s="26" t="s">
        <v>366</v>
      </c>
      <c r="AVH324" s="26" t="s">
        <v>366</v>
      </c>
      <c r="AVI324" s="26" t="s">
        <v>366</v>
      </c>
      <c r="AVJ324" s="26" t="s">
        <v>366</v>
      </c>
      <c r="AVK324" s="26" t="s">
        <v>366</v>
      </c>
      <c r="AVL324" s="26" t="s">
        <v>366</v>
      </c>
      <c r="AVM324" s="26" t="s">
        <v>366</v>
      </c>
      <c r="AVN324" s="26" t="s">
        <v>366</v>
      </c>
      <c r="AVO324" s="26" t="s">
        <v>366</v>
      </c>
      <c r="AVP324" s="26" t="s">
        <v>366</v>
      </c>
      <c r="AVQ324" s="26" t="s">
        <v>366</v>
      </c>
      <c r="AVR324" s="26" t="s">
        <v>366</v>
      </c>
      <c r="AVS324" s="26" t="s">
        <v>366</v>
      </c>
      <c r="AVT324" s="26" t="s">
        <v>366</v>
      </c>
      <c r="AVU324" s="26" t="s">
        <v>366</v>
      </c>
      <c r="AVV324" s="26" t="s">
        <v>366</v>
      </c>
      <c r="AVW324" s="26" t="s">
        <v>366</v>
      </c>
      <c r="AVX324" s="26" t="s">
        <v>366</v>
      </c>
      <c r="AVY324" s="26" t="s">
        <v>366</v>
      </c>
      <c r="AVZ324" s="26" t="s">
        <v>366</v>
      </c>
      <c r="AWA324" s="26" t="s">
        <v>366</v>
      </c>
      <c r="AWB324" s="26" t="s">
        <v>366</v>
      </c>
      <c r="AWC324" s="26" t="s">
        <v>366</v>
      </c>
      <c r="AWD324" s="26" t="s">
        <v>366</v>
      </c>
      <c r="AWE324" s="26" t="s">
        <v>366</v>
      </c>
      <c r="AWF324" s="26" t="s">
        <v>366</v>
      </c>
      <c r="AWG324" s="26" t="s">
        <v>366</v>
      </c>
      <c r="AWH324" s="26" t="s">
        <v>366</v>
      </c>
      <c r="AWI324" s="26" t="s">
        <v>366</v>
      </c>
      <c r="AWJ324" s="26" t="s">
        <v>366</v>
      </c>
      <c r="AWK324" s="26" t="s">
        <v>366</v>
      </c>
      <c r="AWL324" s="26" t="s">
        <v>366</v>
      </c>
      <c r="AWM324" s="26" t="s">
        <v>366</v>
      </c>
      <c r="AWN324" s="26" t="s">
        <v>366</v>
      </c>
      <c r="AWO324" s="26" t="s">
        <v>366</v>
      </c>
      <c r="AWP324" s="26" t="s">
        <v>366</v>
      </c>
      <c r="AWQ324" s="26" t="s">
        <v>366</v>
      </c>
      <c r="AWR324" s="26" t="s">
        <v>366</v>
      </c>
      <c r="AWS324" s="26" t="s">
        <v>366</v>
      </c>
      <c r="AWT324" s="26" t="s">
        <v>366</v>
      </c>
      <c r="AWU324" s="26" t="s">
        <v>366</v>
      </c>
      <c r="AWV324" s="26" t="s">
        <v>366</v>
      </c>
      <c r="AWW324" s="26" t="s">
        <v>366</v>
      </c>
      <c r="AWX324" s="26" t="s">
        <v>366</v>
      </c>
      <c r="AWY324" s="26" t="s">
        <v>366</v>
      </c>
      <c r="AWZ324" s="26" t="s">
        <v>366</v>
      </c>
      <c r="AXA324" s="26" t="s">
        <v>366</v>
      </c>
      <c r="AXB324" s="26" t="s">
        <v>366</v>
      </c>
      <c r="AXC324" s="26" t="s">
        <v>366</v>
      </c>
      <c r="AXD324" s="26" t="s">
        <v>366</v>
      </c>
      <c r="AXE324" s="26" t="s">
        <v>366</v>
      </c>
      <c r="AXF324" s="26" t="s">
        <v>366</v>
      </c>
      <c r="AXG324" s="26" t="s">
        <v>366</v>
      </c>
      <c r="AXH324" s="26" t="s">
        <v>366</v>
      </c>
      <c r="AXI324" s="26" t="s">
        <v>366</v>
      </c>
      <c r="AXJ324" s="26" t="s">
        <v>366</v>
      </c>
      <c r="AXK324" s="26" t="s">
        <v>366</v>
      </c>
      <c r="AXL324" s="26" t="s">
        <v>366</v>
      </c>
      <c r="AXM324" s="26" t="s">
        <v>366</v>
      </c>
      <c r="AXN324" s="26" t="s">
        <v>366</v>
      </c>
      <c r="AXO324" s="26" t="s">
        <v>366</v>
      </c>
      <c r="AXP324" s="26" t="s">
        <v>366</v>
      </c>
      <c r="AXQ324" s="26" t="s">
        <v>366</v>
      </c>
      <c r="AXR324" s="26" t="s">
        <v>366</v>
      </c>
      <c r="AXS324" s="26" t="s">
        <v>366</v>
      </c>
      <c r="AXT324" s="26" t="s">
        <v>366</v>
      </c>
      <c r="AXU324" s="26" t="s">
        <v>366</v>
      </c>
      <c r="AXV324" s="26" t="s">
        <v>366</v>
      </c>
      <c r="AXW324" s="26" t="s">
        <v>366</v>
      </c>
      <c r="AXX324" s="26" t="s">
        <v>366</v>
      </c>
      <c r="AXY324" s="26" t="s">
        <v>366</v>
      </c>
      <c r="AXZ324" s="26" t="s">
        <v>366</v>
      </c>
      <c r="AYA324" s="26" t="s">
        <v>366</v>
      </c>
      <c r="AYB324" s="26" t="s">
        <v>366</v>
      </c>
      <c r="AYC324" s="26" t="s">
        <v>366</v>
      </c>
      <c r="AYD324" s="26" t="s">
        <v>366</v>
      </c>
      <c r="AYE324" s="26" t="s">
        <v>366</v>
      </c>
      <c r="AYF324" s="26" t="s">
        <v>366</v>
      </c>
      <c r="AYG324" s="26" t="s">
        <v>366</v>
      </c>
      <c r="AYH324" s="26" t="s">
        <v>366</v>
      </c>
      <c r="AYI324" s="26" t="s">
        <v>366</v>
      </c>
      <c r="AYJ324" s="26" t="s">
        <v>366</v>
      </c>
      <c r="AYK324" s="26" t="s">
        <v>366</v>
      </c>
      <c r="AYL324" s="26" t="s">
        <v>366</v>
      </c>
      <c r="AYM324" s="26" t="s">
        <v>366</v>
      </c>
      <c r="AYN324" s="26" t="s">
        <v>366</v>
      </c>
      <c r="AYO324" s="26" t="s">
        <v>366</v>
      </c>
      <c r="AYP324" s="26" t="s">
        <v>366</v>
      </c>
      <c r="AYQ324" s="26" t="s">
        <v>366</v>
      </c>
      <c r="AYR324" s="26" t="s">
        <v>366</v>
      </c>
      <c r="AYS324" s="26" t="s">
        <v>366</v>
      </c>
      <c r="AYT324" s="26" t="s">
        <v>366</v>
      </c>
      <c r="AYU324" s="26" t="s">
        <v>366</v>
      </c>
      <c r="AYV324" s="26" t="s">
        <v>366</v>
      </c>
      <c r="AYW324" s="26" t="s">
        <v>366</v>
      </c>
      <c r="AYX324" s="26" t="s">
        <v>366</v>
      </c>
      <c r="AYY324" s="26" t="s">
        <v>366</v>
      </c>
      <c r="AYZ324" s="26" t="s">
        <v>366</v>
      </c>
      <c r="AZA324" s="26" t="s">
        <v>366</v>
      </c>
      <c r="AZB324" s="26" t="s">
        <v>366</v>
      </c>
      <c r="AZC324" s="26" t="s">
        <v>366</v>
      </c>
      <c r="AZD324" s="26" t="s">
        <v>366</v>
      </c>
      <c r="AZE324" s="26" t="s">
        <v>366</v>
      </c>
      <c r="AZF324" s="26" t="s">
        <v>366</v>
      </c>
      <c r="AZG324" s="26" t="s">
        <v>366</v>
      </c>
      <c r="AZH324" s="26" t="s">
        <v>366</v>
      </c>
      <c r="AZI324" s="26" t="s">
        <v>366</v>
      </c>
      <c r="AZJ324" s="26" t="s">
        <v>366</v>
      </c>
      <c r="AZK324" s="26" t="s">
        <v>366</v>
      </c>
      <c r="AZL324" s="26" t="s">
        <v>366</v>
      </c>
      <c r="AZM324" s="26" t="s">
        <v>366</v>
      </c>
      <c r="AZN324" s="26" t="s">
        <v>366</v>
      </c>
      <c r="AZO324" s="26" t="s">
        <v>366</v>
      </c>
      <c r="AZP324" s="26" t="s">
        <v>366</v>
      </c>
      <c r="AZQ324" s="26" t="s">
        <v>366</v>
      </c>
      <c r="AZR324" s="26" t="s">
        <v>366</v>
      </c>
      <c r="AZS324" s="26" t="s">
        <v>366</v>
      </c>
      <c r="AZT324" s="26" t="s">
        <v>366</v>
      </c>
      <c r="AZU324" s="26" t="s">
        <v>366</v>
      </c>
      <c r="AZV324" s="26" t="s">
        <v>366</v>
      </c>
      <c r="AZW324" s="26" t="s">
        <v>366</v>
      </c>
      <c r="AZX324" s="26" t="s">
        <v>366</v>
      </c>
      <c r="AZY324" s="26" t="s">
        <v>366</v>
      </c>
      <c r="AZZ324" s="26" t="s">
        <v>366</v>
      </c>
      <c r="BAA324" s="26" t="s">
        <v>366</v>
      </c>
      <c r="BAB324" s="26" t="s">
        <v>366</v>
      </c>
      <c r="BAC324" s="26" t="s">
        <v>366</v>
      </c>
      <c r="BAD324" s="26" t="s">
        <v>366</v>
      </c>
      <c r="BAE324" s="26" t="s">
        <v>366</v>
      </c>
      <c r="BAF324" s="26" t="s">
        <v>366</v>
      </c>
      <c r="BAG324" s="26" t="s">
        <v>366</v>
      </c>
      <c r="BAH324" s="26" t="s">
        <v>366</v>
      </c>
      <c r="BAI324" s="26" t="s">
        <v>366</v>
      </c>
      <c r="BAJ324" s="26" t="s">
        <v>366</v>
      </c>
      <c r="BAK324" s="26" t="s">
        <v>366</v>
      </c>
      <c r="BAL324" s="26" t="s">
        <v>366</v>
      </c>
      <c r="BAM324" s="26" t="s">
        <v>366</v>
      </c>
      <c r="BAN324" s="26" t="s">
        <v>366</v>
      </c>
      <c r="BAO324" s="26" t="s">
        <v>366</v>
      </c>
      <c r="BAP324" s="26" t="s">
        <v>366</v>
      </c>
      <c r="BAQ324" s="26" t="s">
        <v>366</v>
      </c>
      <c r="BAR324" s="26" t="s">
        <v>366</v>
      </c>
      <c r="BAS324" s="26" t="s">
        <v>366</v>
      </c>
      <c r="BAT324" s="26" t="s">
        <v>366</v>
      </c>
      <c r="BAU324" s="26" t="s">
        <v>366</v>
      </c>
      <c r="BAV324" s="26" t="s">
        <v>366</v>
      </c>
      <c r="BAW324" s="26" t="s">
        <v>366</v>
      </c>
      <c r="BAX324" s="26" t="s">
        <v>366</v>
      </c>
      <c r="BAY324" s="26" t="s">
        <v>366</v>
      </c>
      <c r="BAZ324" s="26" t="s">
        <v>366</v>
      </c>
      <c r="BBA324" s="26" t="s">
        <v>366</v>
      </c>
      <c r="BBB324" s="26" t="s">
        <v>366</v>
      </c>
      <c r="BBC324" s="26" t="s">
        <v>366</v>
      </c>
      <c r="BBD324" s="26" t="s">
        <v>366</v>
      </c>
      <c r="BBE324" s="26" t="s">
        <v>366</v>
      </c>
      <c r="BBF324" s="26" t="s">
        <v>366</v>
      </c>
      <c r="BBG324" s="26" t="s">
        <v>366</v>
      </c>
      <c r="BBH324" s="26" t="s">
        <v>366</v>
      </c>
      <c r="BBI324" s="26" t="s">
        <v>366</v>
      </c>
      <c r="BBJ324" s="26" t="s">
        <v>366</v>
      </c>
      <c r="BBK324" s="26" t="s">
        <v>366</v>
      </c>
      <c r="BBL324" s="26" t="s">
        <v>366</v>
      </c>
      <c r="BBM324" s="26" t="s">
        <v>366</v>
      </c>
      <c r="BBN324" s="26" t="s">
        <v>366</v>
      </c>
      <c r="BBO324" s="26" t="s">
        <v>366</v>
      </c>
      <c r="BBP324" s="26" t="s">
        <v>366</v>
      </c>
      <c r="BBQ324" s="26" t="s">
        <v>366</v>
      </c>
      <c r="BBR324" s="26" t="s">
        <v>366</v>
      </c>
      <c r="BBS324" s="26" t="s">
        <v>366</v>
      </c>
      <c r="BBT324" s="26" t="s">
        <v>366</v>
      </c>
      <c r="BBU324" s="26" t="s">
        <v>366</v>
      </c>
      <c r="BBV324" s="26" t="s">
        <v>366</v>
      </c>
      <c r="BBW324" s="26" t="s">
        <v>366</v>
      </c>
      <c r="BBX324" s="26" t="s">
        <v>366</v>
      </c>
      <c r="BBY324" s="26" t="s">
        <v>366</v>
      </c>
      <c r="BBZ324" s="26" t="s">
        <v>366</v>
      </c>
      <c r="BCA324" s="26" t="s">
        <v>366</v>
      </c>
      <c r="BCB324" s="26" t="s">
        <v>366</v>
      </c>
      <c r="BCC324" s="26" t="s">
        <v>366</v>
      </c>
      <c r="BCD324" s="26" t="s">
        <v>366</v>
      </c>
      <c r="BCE324" s="26" t="s">
        <v>366</v>
      </c>
      <c r="BCF324" s="26" t="s">
        <v>366</v>
      </c>
      <c r="BCG324" s="26" t="s">
        <v>366</v>
      </c>
      <c r="BCH324" s="26" t="s">
        <v>366</v>
      </c>
      <c r="BCI324" s="26" t="s">
        <v>366</v>
      </c>
      <c r="BCJ324" s="26" t="s">
        <v>366</v>
      </c>
      <c r="BCK324" s="26" t="s">
        <v>366</v>
      </c>
      <c r="BCL324" s="26" t="s">
        <v>366</v>
      </c>
      <c r="BCM324" s="26" t="s">
        <v>366</v>
      </c>
      <c r="BCN324" s="26" t="s">
        <v>366</v>
      </c>
      <c r="BCO324" s="26" t="s">
        <v>366</v>
      </c>
      <c r="BCP324" s="26" t="s">
        <v>366</v>
      </c>
      <c r="BCQ324" s="26" t="s">
        <v>366</v>
      </c>
      <c r="BCR324" s="26" t="s">
        <v>366</v>
      </c>
      <c r="BCS324" s="26" t="s">
        <v>366</v>
      </c>
      <c r="BCT324" s="26" t="s">
        <v>366</v>
      </c>
      <c r="BCU324" s="26" t="s">
        <v>366</v>
      </c>
      <c r="BCV324" s="26" t="s">
        <v>366</v>
      </c>
      <c r="BCW324" s="26" t="s">
        <v>366</v>
      </c>
      <c r="BCX324" s="26" t="s">
        <v>366</v>
      </c>
      <c r="BCY324" s="26" t="s">
        <v>366</v>
      </c>
      <c r="BCZ324" s="26" t="s">
        <v>366</v>
      </c>
      <c r="BDA324" s="26" t="s">
        <v>366</v>
      </c>
      <c r="BDB324" s="26" t="s">
        <v>366</v>
      </c>
      <c r="BDC324" s="26" t="s">
        <v>366</v>
      </c>
      <c r="BDD324" s="26" t="s">
        <v>366</v>
      </c>
      <c r="BDE324" s="26" t="s">
        <v>366</v>
      </c>
      <c r="BDF324" s="26" t="s">
        <v>366</v>
      </c>
      <c r="BDG324" s="26" t="s">
        <v>366</v>
      </c>
      <c r="BDH324" s="26" t="s">
        <v>366</v>
      </c>
      <c r="BDI324" s="26" t="s">
        <v>366</v>
      </c>
      <c r="BDJ324" s="26" t="s">
        <v>366</v>
      </c>
      <c r="BDK324" s="26" t="s">
        <v>366</v>
      </c>
      <c r="BDL324" s="26" t="s">
        <v>366</v>
      </c>
      <c r="BDM324" s="26" t="s">
        <v>366</v>
      </c>
      <c r="BDN324" s="26" t="s">
        <v>366</v>
      </c>
      <c r="BDO324" s="26" t="s">
        <v>366</v>
      </c>
      <c r="BDP324" s="26" t="s">
        <v>366</v>
      </c>
      <c r="BDQ324" s="26" t="s">
        <v>366</v>
      </c>
      <c r="BDR324" s="26" t="s">
        <v>366</v>
      </c>
      <c r="BDS324" s="26" t="s">
        <v>366</v>
      </c>
      <c r="BDT324" s="26" t="s">
        <v>366</v>
      </c>
      <c r="BDU324" s="26" t="s">
        <v>366</v>
      </c>
      <c r="BDV324" s="26" t="s">
        <v>366</v>
      </c>
      <c r="BDW324" s="26" t="s">
        <v>366</v>
      </c>
      <c r="BDX324" s="26" t="s">
        <v>366</v>
      </c>
      <c r="BDY324" s="26" t="s">
        <v>366</v>
      </c>
      <c r="BDZ324" s="26" t="s">
        <v>366</v>
      </c>
      <c r="BEA324" s="26" t="s">
        <v>366</v>
      </c>
      <c r="BEB324" s="26" t="s">
        <v>366</v>
      </c>
      <c r="BEC324" s="26" t="s">
        <v>366</v>
      </c>
      <c r="BED324" s="26" t="s">
        <v>366</v>
      </c>
      <c r="BEE324" s="26" t="s">
        <v>366</v>
      </c>
      <c r="BEF324" s="26" t="s">
        <v>366</v>
      </c>
      <c r="BEG324" s="26" t="s">
        <v>366</v>
      </c>
      <c r="BEH324" s="26" t="s">
        <v>366</v>
      </c>
      <c r="BEI324" s="26" t="s">
        <v>366</v>
      </c>
      <c r="BEJ324" s="26" t="s">
        <v>366</v>
      </c>
      <c r="BEK324" s="26" t="s">
        <v>366</v>
      </c>
      <c r="BEL324" s="26" t="s">
        <v>366</v>
      </c>
      <c r="BEM324" s="26" t="s">
        <v>366</v>
      </c>
      <c r="BEN324" s="26" t="s">
        <v>366</v>
      </c>
      <c r="BEO324" s="26" t="s">
        <v>366</v>
      </c>
      <c r="BEP324" s="26" t="s">
        <v>366</v>
      </c>
      <c r="BEQ324" s="26" t="s">
        <v>366</v>
      </c>
      <c r="BER324" s="26" t="s">
        <v>366</v>
      </c>
      <c r="BES324" s="26" t="s">
        <v>366</v>
      </c>
      <c r="BET324" s="26" t="s">
        <v>366</v>
      </c>
      <c r="BEU324" s="26" t="s">
        <v>366</v>
      </c>
      <c r="BEV324" s="26" t="s">
        <v>366</v>
      </c>
      <c r="BEW324" s="26" t="s">
        <v>366</v>
      </c>
      <c r="BEX324" s="26" t="s">
        <v>366</v>
      </c>
      <c r="BEY324" s="26" t="s">
        <v>366</v>
      </c>
      <c r="BEZ324" s="26" t="s">
        <v>366</v>
      </c>
      <c r="BFA324" s="26" t="s">
        <v>366</v>
      </c>
      <c r="BFB324" s="26" t="s">
        <v>366</v>
      </c>
      <c r="BFC324" s="26" t="s">
        <v>366</v>
      </c>
      <c r="BFD324" s="26" t="s">
        <v>366</v>
      </c>
      <c r="BFE324" s="26" t="s">
        <v>366</v>
      </c>
      <c r="BFF324" s="26" t="s">
        <v>366</v>
      </c>
      <c r="BFG324" s="26" t="s">
        <v>366</v>
      </c>
      <c r="BFH324" s="26" t="s">
        <v>366</v>
      </c>
      <c r="BFI324" s="26" t="s">
        <v>366</v>
      </c>
      <c r="BFJ324" s="26" t="s">
        <v>366</v>
      </c>
      <c r="BFK324" s="26" t="s">
        <v>366</v>
      </c>
      <c r="BFL324" s="26" t="s">
        <v>366</v>
      </c>
      <c r="BFM324" s="26" t="s">
        <v>366</v>
      </c>
      <c r="BFN324" s="26" t="s">
        <v>366</v>
      </c>
      <c r="BFO324" s="26" t="s">
        <v>366</v>
      </c>
      <c r="BFP324" s="26" t="s">
        <v>366</v>
      </c>
      <c r="BFQ324" s="26" t="s">
        <v>366</v>
      </c>
      <c r="BFR324" s="26" t="s">
        <v>366</v>
      </c>
      <c r="BFS324" s="26" t="s">
        <v>366</v>
      </c>
      <c r="BFT324" s="26" t="s">
        <v>366</v>
      </c>
      <c r="BFU324" s="26" t="s">
        <v>366</v>
      </c>
      <c r="BFV324" s="26" t="s">
        <v>366</v>
      </c>
      <c r="BFW324" s="26" t="s">
        <v>366</v>
      </c>
      <c r="BFX324" s="26" t="s">
        <v>366</v>
      </c>
      <c r="BFY324" s="26" t="s">
        <v>366</v>
      </c>
      <c r="BFZ324" s="26" t="s">
        <v>366</v>
      </c>
      <c r="BGA324" s="26" t="s">
        <v>366</v>
      </c>
      <c r="BGB324" s="26" t="s">
        <v>366</v>
      </c>
      <c r="BGC324" s="26" t="s">
        <v>366</v>
      </c>
      <c r="BGD324" s="26" t="s">
        <v>366</v>
      </c>
      <c r="BGE324" s="26" t="s">
        <v>366</v>
      </c>
      <c r="BGF324" s="26" t="s">
        <v>366</v>
      </c>
      <c r="BGG324" s="26" t="s">
        <v>366</v>
      </c>
      <c r="BGH324" s="26" t="s">
        <v>366</v>
      </c>
      <c r="BGI324" s="26" t="s">
        <v>366</v>
      </c>
      <c r="BGJ324" s="26" t="s">
        <v>366</v>
      </c>
      <c r="BGK324" s="26" t="s">
        <v>366</v>
      </c>
      <c r="BGL324" s="26" t="s">
        <v>366</v>
      </c>
      <c r="BGM324" s="26" t="s">
        <v>366</v>
      </c>
      <c r="BGN324" s="26" t="s">
        <v>366</v>
      </c>
      <c r="BGO324" s="26" t="s">
        <v>366</v>
      </c>
      <c r="BGP324" s="26" t="s">
        <v>366</v>
      </c>
      <c r="BGQ324" s="26" t="s">
        <v>366</v>
      </c>
      <c r="BGR324" s="26" t="s">
        <v>366</v>
      </c>
      <c r="BGS324" s="26" t="s">
        <v>366</v>
      </c>
      <c r="BGT324" s="26" t="s">
        <v>366</v>
      </c>
      <c r="BGU324" s="26" t="s">
        <v>366</v>
      </c>
      <c r="BGV324" s="26" t="s">
        <v>366</v>
      </c>
      <c r="BGW324" s="26" t="s">
        <v>366</v>
      </c>
      <c r="BGX324" s="26" t="s">
        <v>366</v>
      </c>
      <c r="BGY324" s="26" t="s">
        <v>366</v>
      </c>
      <c r="BGZ324" s="26" t="s">
        <v>366</v>
      </c>
      <c r="BHA324" s="26" t="s">
        <v>366</v>
      </c>
      <c r="BHB324" s="26" t="s">
        <v>366</v>
      </c>
      <c r="BHC324" s="26" t="s">
        <v>366</v>
      </c>
      <c r="BHD324" s="26" t="s">
        <v>366</v>
      </c>
      <c r="BHE324" s="26" t="s">
        <v>366</v>
      </c>
      <c r="BHF324" s="26" t="s">
        <v>366</v>
      </c>
      <c r="BHG324" s="26" t="s">
        <v>366</v>
      </c>
      <c r="BHH324" s="26" t="s">
        <v>366</v>
      </c>
      <c r="BHI324" s="26" t="s">
        <v>366</v>
      </c>
      <c r="BHJ324" s="26" t="s">
        <v>366</v>
      </c>
      <c r="BHK324" s="26" t="s">
        <v>366</v>
      </c>
      <c r="BHL324" s="26" t="s">
        <v>366</v>
      </c>
      <c r="BHM324" s="26" t="s">
        <v>366</v>
      </c>
      <c r="BHN324" s="26" t="s">
        <v>366</v>
      </c>
      <c r="BHO324" s="26" t="s">
        <v>366</v>
      </c>
      <c r="BHP324" s="26" t="s">
        <v>366</v>
      </c>
      <c r="BHQ324" s="26" t="s">
        <v>366</v>
      </c>
      <c r="BHR324" s="26" t="s">
        <v>366</v>
      </c>
      <c r="BHS324" s="26" t="s">
        <v>366</v>
      </c>
      <c r="BHT324" s="26" t="s">
        <v>366</v>
      </c>
      <c r="BHU324" s="26" t="s">
        <v>366</v>
      </c>
      <c r="BHV324" s="26" t="s">
        <v>366</v>
      </c>
      <c r="BHW324" s="26" t="s">
        <v>366</v>
      </c>
      <c r="BHX324" s="26" t="s">
        <v>366</v>
      </c>
      <c r="BHY324" s="26" t="s">
        <v>366</v>
      </c>
      <c r="BHZ324" s="26" t="s">
        <v>366</v>
      </c>
      <c r="BIA324" s="26" t="s">
        <v>366</v>
      </c>
      <c r="BIB324" s="26" t="s">
        <v>366</v>
      </c>
      <c r="BIC324" s="26" t="s">
        <v>366</v>
      </c>
      <c r="BID324" s="26" t="s">
        <v>366</v>
      </c>
      <c r="BIE324" s="26" t="s">
        <v>366</v>
      </c>
      <c r="BIF324" s="26" t="s">
        <v>366</v>
      </c>
      <c r="BIG324" s="26" t="s">
        <v>366</v>
      </c>
      <c r="BIH324" s="26" t="s">
        <v>366</v>
      </c>
      <c r="BII324" s="26" t="s">
        <v>366</v>
      </c>
      <c r="BIJ324" s="26" t="s">
        <v>366</v>
      </c>
      <c r="BIK324" s="26" t="s">
        <v>366</v>
      </c>
      <c r="BIL324" s="26" t="s">
        <v>366</v>
      </c>
      <c r="BIM324" s="26" t="s">
        <v>366</v>
      </c>
      <c r="BIN324" s="26" t="s">
        <v>366</v>
      </c>
      <c r="BIO324" s="26" t="s">
        <v>366</v>
      </c>
      <c r="BIP324" s="26" t="s">
        <v>366</v>
      </c>
      <c r="BIQ324" s="26" t="s">
        <v>366</v>
      </c>
      <c r="BIR324" s="26" t="s">
        <v>366</v>
      </c>
      <c r="BIS324" s="26" t="s">
        <v>366</v>
      </c>
      <c r="BIT324" s="26" t="s">
        <v>366</v>
      </c>
      <c r="BIU324" s="26" t="s">
        <v>366</v>
      </c>
      <c r="BIV324" s="26" t="s">
        <v>366</v>
      </c>
      <c r="BIW324" s="26" t="s">
        <v>366</v>
      </c>
      <c r="BIX324" s="26" t="s">
        <v>366</v>
      </c>
      <c r="BIY324" s="26" t="s">
        <v>366</v>
      </c>
      <c r="BIZ324" s="26" t="s">
        <v>366</v>
      </c>
      <c r="BJA324" s="26" t="s">
        <v>366</v>
      </c>
      <c r="BJB324" s="26" t="s">
        <v>366</v>
      </c>
      <c r="BJC324" s="26" t="s">
        <v>366</v>
      </c>
      <c r="BJD324" s="26" t="s">
        <v>366</v>
      </c>
      <c r="BJE324" s="26" t="s">
        <v>366</v>
      </c>
      <c r="BJF324" s="26" t="s">
        <v>366</v>
      </c>
      <c r="BJG324" s="26" t="s">
        <v>366</v>
      </c>
      <c r="BJH324" s="26" t="s">
        <v>366</v>
      </c>
      <c r="BJI324" s="26" t="s">
        <v>366</v>
      </c>
      <c r="BJJ324" s="26" t="s">
        <v>366</v>
      </c>
      <c r="BJK324" s="26" t="s">
        <v>366</v>
      </c>
      <c r="BJL324" s="26" t="s">
        <v>366</v>
      </c>
      <c r="BJM324" s="26" t="s">
        <v>366</v>
      </c>
      <c r="BJN324" s="26" t="s">
        <v>366</v>
      </c>
      <c r="BJO324" s="26" t="s">
        <v>366</v>
      </c>
      <c r="BJP324" s="26" t="s">
        <v>366</v>
      </c>
      <c r="BJQ324" s="26" t="s">
        <v>366</v>
      </c>
      <c r="BJR324" s="26" t="s">
        <v>366</v>
      </c>
      <c r="BJS324" s="26" t="s">
        <v>366</v>
      </c>
      <c r="BJT324" s="26" t="s">
        <v>366</v>
      </c>
      <c r="BJU324" s="26" t="s">
        <v>366</v>
      </c>
      <c r="BJV324" s="26" t="s">
        <v>366</v>
      </c>
      <c r="BJW324" s="26" t="s">
        <v>366</v>
      </c>
      <c r="BJX324" s="26" t="s">
        <v>366</v>
      </c>
      <c r="BJY324" s="26" t="s">
        <v>366</v>
      </c>
      <c r="BJZ324" s="26" t="s">
        <v>366</v>
      </c>
      <c r="BKA324" s="26" t="s">
        <v>366</v>
      </c>
      <c r="BKB324" s="26" t="s">
        <v>366</v>
      </c>
      <c r="BKC324" s="26" t="s">
        <v>366</v>
      </c>
      <c r="BKD324" s="26" t="s">
        <v>366</v>
      </c>
      <c r="BKE324" s="26" t="s">
        <v>366</v>
      </c>
      <c r="BKF324" s="26" t="s">
        <v>366</v>
      </c>
      <c r="BKG324" s="26" t="s">
        <v>366</v>
      </c>
      <c r="BKH324" s="26" t="s">
        <v>366</v>
      </c>
      <c r="BKI324" s="26" t="s">
        <v>366</v>
      </c>
      <c r="BKJ324" s="26" t="s">
        <v>366</v>
      </c>
      <c r="BKK324" s="26" t="s">
        <v>366</v>
      </c>
      <c r="BKL324" s="26" t="s">
        <v>366</v>
      </c>
      <c r="BKM324" s="26" t="s">
        <v>366</v>
      </c>
      <c r="BKN324" s="26" t="s">
        <v>366</v>
      </c>
      <c r="BKO324" s="26" t="s">
        <v>366</v>
      </c>
      <c r="BKP324" s="26" t="s">
        <v>366</v>
      </c>
      <c r="BKQ324" s="26" t="s">
        <v>366</v>
      </c>
      <c r="BKR324" s="26" t="s">
        <v>366</v>
      </c>
      <c r="BKS324" s="26" t="s">
        <v>366</v>
      </c>
      <c r="BKT324" s="26" t="s">
        <v>366</v>
      </c>
      <c r="BKU324" s="26" t="s">
        <v>366</v>
      </c>
      <c r="BKV324" s="26" t="s">
        <v>366</v>
      </c>
      <c r="BKW324" s="26" t="s">
        <v>366</v>
      </c>
      <c r="BKX324" s="26" t="s">
        <v>366</v>
      </c>
      <c r="BKY324" s="26" t="s">
        <v>366</v>
      </c>
      <c r="BKZ324" s="26" t="s">
        <v>366</v>
      </c>
      <c r="BLA324" s="26" t="s">
        <v>366</v>
      </c>
      <c r="BLB324" s="26" t="s">
        <v>366</v>
      </c>
      <c r="BLC324" s="26" t="s">
        <v>366</v>
      </c>
      <c r="BLD324" s="26" t="s">
        <v>366</v>
      </c>
      <c r="BLE324" s="26" t="s">
        <v>366</v>
      </c>
      <c r="BLF324" s="26" t="s">
        <v>366</v>
      </c>
      <c r="BLG324" s="26" t="s">
        <v>366</v>
      </c>
      <c r="BLH324" s="26" t="s">
        <v>366</v>
      </c>
      <c r="BLI324" s="26" t="s">
        <v>366</v>
      </c>
      <c r="BLJ324" s="26" t="s">
        <v>366</v>
      </c>
      <c r="BLK324" s="26" t="s">
        <v>366</v>
      </c>
      <c r="BLL324" s="26" t="s">
        <v>366</v>
      </c>
      <c r="BLM324" s="26" t="s">
        <v>366</v>
      </c>
      <c r="BLN324" s="26" t="s">
        <v>366</v>
      </c>
      <c r="BLO324" s="26" t="s">
        <v>366</v>
      </c>
      <c r="BLP324" s="26" t="s">
        <v>366</v>
      </c>
      <c r="BLQ324" s="26" t="s">
        <v>366</v>
      </c>
      <c r="BLR324" s="26" t="s">
        <v>366</v>
      </c>
      <c r="BLS324" s="26" t="s">
        <v>366</v>
      </c>
      <c r="BLT324" s="26" t="s">
        <v>366</v>
      </c>
      <c r="BLU324" s="26" t="s">
        <v>366</v>
      </c>
      <c r="BLV324" s="26" t="s">
        <v>366</v>
      </c>
      <c r="BLW324" s="26" t="s">
        <v>366</v>
      </c>
      <c r="BLX324" s="26" t="s">
        <v>366</v>
      </c>
      <c r="BLY324" s="26" t="s">
        <v>366</v>
      </c>
      <c r="BLZ324" s="26" t="s">
        <v>366</v>
      </c>
      <c r="BMA324" s="26" t="s">
        <v>366</v>
      </c>
      <c r="BMB324" s="26" t="s">
        <v>366</v>
      </c>
      <c r="BMC324" s="26" t="s">
        <v>366</v>
      </c>
      <c r="BMD324" s="26" t="s">
        <v>366</v>
      </c>
      <c r="BME324" s="26" t="s">
        <v>366</v>
      </c>
      <c r="BMF324" s="26" t="s">
        <v>366</v>
      </c>
      <c r="BMG324" s="26" t="s">
        <v>366</v>
      </c>
      <c r="BMH324" s="26" t="s">
        <v>366</v>
      </c>
      <c r="BMI324" s="26" t="s">
        <v>366</v>
      </c>
      <c r="BMJ324" s="26" t="s">
        <v>366</v>
      </c>
      <c r="BMK324" s="26" t="s">
        <v>366</v>
      </c>
      <c r="BML324" s="26" t="s">
        <v>366</v>
      </c>
      <c r="BMM324" s="26" t="s">
        <v>366</v>
      </c>
      <c r="BMN324" s="26" t="s">
        <v>366</v>
      </c>
      <c r="BMO324" s="26" t="s">
        <v>366</v>
      </c>
      <c r="BMP324" s="26" t="s">
        <v>366</v>
      </c>
      <c r="BMQ324" s="26" t="s">
        <v>366</v>
      </c>
      <c r="BMR324" s="26" t="s">
        <v>366</v>
      </c>
      <c r="BMS324" s="26" t="s">
        <v>366</v>
      </c>
      <c r="BMT324" s="26" t="s">
        <v>366</v>
      </c>
      <c r="BMU324" s="26" t="s">
        <v>366</v>
      </c>
      <c r="BMV324" s="26" t="s">
        <v>366</v>
      </c>
      <c r="BMW324" s="26" t="s">
        <v>366</v>
      </c>
      <c r="BMX324" s="26" t="s">
        <v>366</v>
      </c>
      <c r="BMY324" s="26" t="s">
        <v>366</v>
      </c>
      <c r="BMZ324" s="26" t="s">
        <v>366</v>
      </c>
      <c r="BNA324" s="26" t="s">
        <v>366</v>
      </c>
      <c r="BNB324" s="26" t="s">
        <v>366</v>
      </c>
      <c r="BNC324" s="26" t="s">
        <v>366</v>
      </c>
      <c r="BND324" s="26" t="s">
        <v>366</v>
      </c>
      <c r="BNE324" s="26" t="s">
        <v>366</v>
      </c>
      <c r="BNF324" s="26" t="s">
        <v>366</v>
      </c>
      <c r="BNG324" s="26" t="s">
        <v>366</v>
      </c>
      <c r="BNH324" s="26" t="s">
        <v>366</v>
      </c>
      <c r="BNI324" s="26" t="s">
        <v>366</v>
      </c>
      <c r="BNJ324" s="26" t="s">
        <v>366</v>
      </c>
      <c r="BNK324" s="26" t="s">
        <v>366</v>
      </c>
      <c r="BNL324" s="26" t="s">
        <v>366</v>
      </c>
      <c r="BNM324" s="26" t="s">
        <v>366</v>
      </c>
      <c r="BNN324" s="26" t="s">
        <v>366</v>
      </c>
      <c r="BNO324" s="26" t="s">
        <v>366</v>
      </c>
      <c r="BNP324" s="26" t="s">
        <v>366</v>
      </c>
      <c r="BNQ324" s="26" t="s">
        <v>366</v>
      </c>
      <c r="BNR324" s="26" t="s">
        <v>366</v>
      </c>
      <c r="BNS324" s="26" t="s">
        <v>366</v>
      </c>
      <c r="BNT324" s="26" t="s">
        <v>366</v>
      </c>
      <c r="BNU324" s="26" t="s">
        <v>366</v>
      </c>
      <c r="BNV324" s="26" t="s">
        <v>366</v>
      </c>
      <c r="BNW324" s="26" t="s">
        <v>366</v>
      </c>
      <c r="BNX324" s="26" t="s">
        <v>366</v>
      </c>
      <c r="BNY324" s="26" t="s">
        <v>366</v>
      </c>
      <c r="BNZ324" s="26" t="s">
        <v>366</v>
      </c>
      <c r="BOA324" s="26" t="s">
        <v>366</v>
      </c>
      <c r="BOB324" s="26" t="s">
        <v>366</v>
      </c>
      <c r="BOC324" s="26" t="s">
        <v>366</v>
      </c>
      <c r="BOD324" s="26" t="s">
        <v>366</v>
      </c>
      <c r="BOE324" s="26" t="s">
        <v>366</v>
      </c>
      <c r="BOF324" s="26" t="s">
        <v>366</v>
      </c>
      <c r="BOG324" s="26" t="s">
        <v>366</v>
      </c>
      <c r="BOH324" s="26" t="s">
        <v>366</v>
      </c>
      <c r="BOI324" s="26" t="s">
        <v>366</v>
      </c>
      <c r="BOJ324" s="26" t="s">
        <v>366</v>
      </c>
      <c r="BOK324" s="26" t="s">
        <v>366</v>
      </c>
      <c r="BOL324" s="26" t="s">
        <v>366</v>
      </c>
      <c r="BOM324" s="26" t="s">
        <v>366</v>
      </c>
      <c r="BON324" s="26" t="s">
        <v>366</v>
      </c>
      <c r="BOO324" s="26" t="s">
        <v>366</v>
      </c>
      <c r="BOP324" s="26" t="s">
        <v>366</v>
      </c>
      <c r="BOQ324" s="26" t="s">
        <v>366</v>
      </c>
      <c r="BOR324" s="26" t="s">
        <v>366</v>
      </c>
      <c r="BOS324" s="26" t="s">
        <v>366</v>
      </c>
      <c r="BOT324" s="26" t="s">
        <v>366</v>
      </c>
      <c r="BOU324" s="26" t="s">
        <v>366</v>
      </c>
      <c r="BOV324" s="26" t="s">
        <v>366</v>
      </c>
      <c r="BOW324" s="26" t="s">
        <v>366</v>
      </c>
      <c r="BOX324" s="26" t="s">
        <v>366</v>
      </c>
      <c r="BOY324" s="26" t="s">
        <v>366</v>
      </c>
      <c r="BOZ324" s="26" t="s">
        <v>366</v>
      </c>
      <c r="BPA324" s="26" t="s">
        <v>366</v>
      </c>
      <c r="BPB324" s="26" t="s">
        <v>366</v>
      </c>
      <c r="BPC324" s="26" t="s">
        <v>366</v>
      </c>
      <c r="BPD324" s="26" t="s">
        <v>366</v>
      </c>
      <c r="BPE324" s="26" t="s">
        <v>366</v>
      </c>
      <c r="BPF324" s="26" t="s">
        <v>366</v>
      </c>
      <c r="BPG324" s="26" t="s">
        <v>366</v>
      </c>
      <c r="BPH324" s="26" t="s">
        <v>366</v>
      </c>
      <c r="BPI324" s="26" t="s">
        <v>366</v>
      </c>
      <c r="BPJ324" s="26" t="s">
        <v>366</v>
      </c>
      <c r="BPK324" s="26" t="s">
        <v>366</v>
      </c>
      <c r="BPL324" s="26" t="s">
        <v>366</v>
      </c>
      <c r="BPM324" s="26" t="s">
        <v>366</v>
      </c>
      <c r="BPN324" s="26" t="s">
        <v>366</v>
      </c>
      <c r="BPO324" s="26" t="s">
        <v>366</v>
      </c>
      <c r="BPP324" s="26" t="s">
        <v>366</v>
      </c>
      <c r="BPQ324" s="26" t="s">
        <v>366</v>
      </c>
      <c r="BPR324" s="26" t="s">
        <v>366</v>
      </c>
      <c r="BPS324" s="26" t="s">
        <v>366</v>
      </c>
      <c r="BPT324" s="26" t="s">
        <v>366</v>
      </c>
      <c r="BPU324" s="26" t="s">
        <v>366</v>
      </c>
      <c r="BPV324" s="26" t="s">
        <v>366</v>
      </c>
      <c r="BPW324" s="26" t="s">
        <v>366</v>
      </c>
      <c r="BPX324" s="26" t="s">
        <v>366</v>
      </c>
      <c r="BPY324" s="26" t="s">
        <v>366</v>
      </c>
      <c r="BPZ324" s="26" t="s">
        <v>366</v>
      </c>
      <c r="BQA324" s="26" t="s">
        <v>366</v>
      </c>
      <c r="BQB324" s="26" t="s">
        <v>366</v>
      </c>
      <c r="BQC324" s="26" t="s">
        <v>366</v>
      </c>
      <c r="BQD324" s="26" t="s">
        <v>366</v>
      </c>
      <c r="BQE324" s="26" t="s">
        <v>366</v>
      </c>
      <c r="BQF324" s="26" t="s">
        <v>366</v>
      </c>
      <c r="BQG324" s="26" t="s">
        <v>366</v>
      </c>
      <c r="BQH324" s="26" t="s">
        <v>366</v>
      </c>
      <c r="BQI324" s="26" t="s">
        <v>366</v>
      </c>
      <c r="BQJ324" s="26" t="s">
        <v>366</v>
      </c>
      <c r="BQK324" s="26" t="s">
        <v>366</v>
      </c>
      <c r="BQL324" s="26" t="s">
        <v>366</v>
      </c>
      <c r="BQM324" s="26" t="s">
        <v>366</v>
      </c>
      <c r="BQN324" s="26" t="s">
        <v>366</v>
      </c>
      <c r="BQO324" s="26" t="s">
        <v>366</v>
      </c>
      <c r="BQP324" s="26" t="s">
        <v>366</v>
      </c>
      <c r="BQQ324" s="26" t="s">
        <v>366</v>
      </c>
      <c r="BQR324" s="26" t="s">
        <v>366</v>
      </c>
      <c r="BQS324" s="26" t="s">
        <v>366</v>
      </c>
      <c r="BQT324" s="26" t="s">
        <v>366</v>
      </c>
      <c r="BQU324" s="26" t="s">
        <v>366</v>
      </c>
      <c r="BQV324" s="26" t="s">
        <v>366</v>
      </c>
      <c r="BQW324" s="26" t="s">
        <v>366</v>
      </c>
      <c r="BQX324" s="26" t="s">
        <v>366</v>
      </c>
      <c r="BQY324" s="26" t="s">
        <v>366</v>
      </c>
      <c r="BQZ324" s="26" t="s">
        <v>366</v>
      </c>
      <c r="BRA324" s="26" t="s">
        <v>366</v>
      </c>
      <c r="BRB324" s="26" t="s">
        <v>366</v>
      </c>
      <c r="BRC324" s="26" t="s">
        <v>366</v>
      </c>
      <c r="BRD324" s="26" t="s">
        <v>366</v>
      </c>
      <c r="BRE324" s="26" t="s">
        <v>366</v>
      </c>
      <c r="BRF324" s="26" t="s">
        <v>366</v>
      </c>
      <c r="BRG324" s="26" t="s">
        <v>366</v>
      </c>
      <c r="BRH324" s="26" t="s">
        <v>366</v>
      </c>
      <c r="BRI324" s="26" t="s">
        <v>366</v>
      </c>
      <c r="BRJ324" s="26" t="s">
        <v>366</v>
      </c>
      <c r="BRK324" s="26" t="s">
        <v>366</v>
      </c>
      <c r="BRL324" s="26" t="s">
        <v>366</v>
      </c>
      <c r="BRM324" s="26" t="s">
        <v>366</v>
      </c>
      <c r="BRN324" s="26" t="s">
        <v>366</v>
      </c>
      <c r="BRO324" s="26" t="s">
        <v>366</v>
      </c>
      <c r="BRP324" s="26" t="s">
        <v>366</v>
      </c>
      <c r="BRQ324" s="26" t="s">
        <v>366</v>
      </c>
      <c r="BRR324" s="26" t="s">
        <v>366</v>
      </c>
      <c r="BRS324" s="26" t="s">
        <v>366</v>
      </c>
      <c r="BRT324" s="26" t="s">
        <v>366</v>
      </c>
      <c r="BRU324" s="26" t="s">
        <v>366</v>
      </c>
      <c r="BRV324" s="26" t="s">
        <v>366</v>
      </c>
      <c r="BRW324" s="26" t="s">
        <v>366</v>
      </c>
      <c r="BRX324" s="26" t="s">
        <v>366</v>
      </c>
      <c r="BRY324" s="26" t="s">
        <v>366</v>
      </c>
      <c r="BRZ324" s="26" t="s">
        <v>366</v>
      </c>
      <c r="BSA324" s="26" t="s">
        <v>366</v>
      </c>
      <c r="BSB324" s="26" t="s">
        <v>366</v>
      </c>
      <c r="BSC324" s="26" t="s">
        <v>366</v>
      </c>
      <c r="BSD324" s="26" t="s">
        <v>366</v>
      </c>
      <c r="BSE324" s="26" t="s">
        <v>366</v>
      </c>
      <c r="BSF324" s="26" t="s">
        <v>366</v>
      </c>
      <c r="BSG324" s="26" t="s">
        <v>366</v>
      </c>
      <c r="BSH324" s="26" t="s">
        <v>366</v>
      </c>
      <c r="BSI324" s="26" t="s">
        <v>366</v>
      </c>
      <c r="BSJ324" s="26" t="s">
        <v>366</v>
      </c>
      <c r="BSK324" s="26" t="s">
        <v>366</v>
      </c>
      <c r="BSL324" s="26" t="s">
        <v>366</v>
      </c>
      <c r="BSM324" s="26" t="s">
        <v>366</v>
      </c>
      <c r="BSN324" s="26" t="s">
        <v>366</v>
      </c>
      <c r="BSO324" s="26" t="s">
        <v>366</v>
      </c>
      <c r="BSP324" s="26" t="s">
        <v>366</v>
      </c>
      <c r="BSQ324" s="26" t="s">
        <v>366</v>
      </c>
      <c r="BSR324" s="26" t="s">
        <v>366</v>
      </c>
      <c r="BSS324" s="26" t="s">
        <v>366</v>
      </c>
      <c r="BST324" s="26" t="s">
        <v>366</v>
      </c>
      <c r="BSU324" s="26" t="s">
        <v>366</v>
      </c>
      <c r="BSV324" s="26" t="s">
        <v>366</v>
      </c>
      <c r="BSW324" s="26" t="s">
        <v>366</v>
      </c>
      <c r="BSX324" s="26" t="s">
        <v>366</v>
      </c>
      <c r="BSY324" s="26" t="s">
        <v>366</v>
      </c>
      <c r="BSZ324" s="26" t="s">
        <v>366</v>
      </c>
      <c r="BTA324" s="26" t="s">
        <v>366</v>
      </c>
      <c r="BTB324" s="26" t="s">
        <v>366</v>
      </c>
      <c r="BTC324" s="26" t="s">
        <v>366</v>
      </c>
      <c r="BTD324" s="26" t="s">
        <v>366</v>
      </c>
      <c r="BTE324" s="26" t="s">
        <v>366</v>
      </c>
      <c r="BTF324" s="26" t="s">
        <v>366</v>
      </c>
      <c r="BTG324" s="26" t="s">
        <v>366</v>
      </c>
      <c r="BTH324" s="26" t="s">
        <v>366</v>
      </c>
      <c r="BTI324" s="26" t="s">
        <v>366</v>
      </c>
      <c r="BTJ324" s="26" t="s">
        <v>366</v>
      </c>
      <c r="BTK324" s="26" t="s">
        <v>366</v>
      </c>
      <c r="BTL324" s="26" t="s">
        <v>366</v>
      </c>
      <c r="BTM324" s="26" t="s">
        <v>366</v>
      </c>
      <c r="BTN324" s="26" t="s">
        <v>366</v>
      </c>
      <c r="BTO324" s="26" t="s">
        <v>366</v>
      </c>
      <c r="BTP324" s="26" t="s">
        <v>366</v>
      </c>
      <c r="BTQ324" s="26" t="s">
        <v>366</v>
      </c>
      <c r="BTR324" s="26" t="s">
        <v>366</v>
      </c>
      <c r="BTS324" s="26" t="s">
        <v>366</v>
      </c>
      <c r="BTT324" s="26" t="s">
        <v>366</v>
      </c>
      <c r="BTU324" s="26" t="s">
        <v>366</v>
      </c>
      <c r="BTV324" s="26" t="s">
        <v>366</v>
      </c>
      <c r="BTW324" s="26" t="s">
        <v>366</v>
      </c>
      <c r="BTX324" s="26" t="s">
        <v>366</v>
      </c>
      <c r="BTY324" s="26" t="s">
        <v>366</v>
      </c>
      <c r="BTZ324" s="26" t="s">
        <v>366</v>
      </c>
      <c r="BUA324" s="26" t="s">
        <v>366</v>
      </c>
      <c r="BUB324" s="26" t="s">
        <v>366</v>
      </c>
      <c r="BUC324" s="26" t="s">
        <v>366</v>
      </c>
      <c r="BUD324" s="26" t="s">
        <v>366</v>
      </c>
      <c r="BUE324" s="26" t="s">
        <v>366</v>
      </c>
      <c r="BUF324" s="26" t="s">
        <v>366</v>
      </c>
      <c r="BUG324" s="26" t="s">
        <v>366</v>
      </c>
      <c r="BUH324" s="26" t="s">
        <v>366</v>
      </c>
      <c r="BUI324" s="26" t="s">
        <v>366</v>
      </c>
      <c r="BUJ324" s="26" t="s">
        <v>366</v>
      </c>
      <c r="BUK324" s="26" t="s">
        <v>366</v>
      </c>
      <c r="BUL324" s="26" t="s">
        <v>366</v>
      </c>
      <c r="BUM324" s="26" t="s">
        <v>366</v>
      </c>
      <c r="BUN324" s="26" t="s">
        <v>366</v>
      </c>
      <c r="BUO324" s="26" t="s">
        <v>366</v>
      </c>
      <c r="BUP324" s="26" t="s">
        <v>366</v>
      </c>
      <c r="BUQ324" s="26" t="s">
        <v>366</v>
      </c>
      <c r="BUR324" s="26" t="s">
        <v>366</v>
      </c>
      <c r="BUS324" s="26" t="s">
        <v>366</v>
      </c>
      <c r="BUT324" s="26" t="s">
        <v>366</v>
      </c>
      <c r="BUU324" s="26" t="s">
        <v>366</v>
      </c>
      <c r="BUV324" s="26" t="s">
        <v>366</v>
      </c>
      <c r="BUW324" s="26" t="s">
        <v>366</v>
      </c>
      <c r="BUX324" s="26" t="s">
        <v>366</v>
      </c>
      <c r="BUY324" s="26" t="s">
        <v>366</v>
      </c>
      <c r="BUZ324" s="26" t="s">
        <v>366</v>
      </c>
      <c r="BVA324" s="26" t="s">
        <v>366</v>
      </c>
      <c r="BVB324" s="26" t="s">
        <v>366</v>
      </c>
      <c r="BVC324" s="26" t="s">
        <v>366</v>
      </c>
      <c r="BVD324" s="26" t="s">
        <v>366</v>
      </c>
      <c r="BVE324" s="26" t="s">
        <v>366</v>
      </c>
      <c r="BVF324" s="26" t="s">
        <v>366</v>
      </c>
      <c r="BVG324" s="26" t="s">
        <v>366</v>
      </c>
      <c r="BVH324" s="26" t="s">
        <v>366</v>
      </c>
      <c r="BVI324" s="26" t="s">
        <v>366</v>
      </c>
      <c r="BVJ324" s="26" t="s">
        <v>366</v>
      </c>
      <c r="BVK324" s="26" t="s">
        <v>366</v>
      </c>
      <c r="BVL324" s="26" t="s">
        <v>366</v>
      </c>
      <c r="BVM324" s="26" t="s">
        <v>366</v>
      </c>
      <c r="BVN324" s="26" t="s">
        <v>366</v>
      </c>
      <c r="BVO324" s="26" t="s">
        <v>366</v>
      </c>
      <c r="BVP324" s="26" t="s">
        <v>366</v>
      </c>
      <c r="BVQ324" s="26" t="s">
        <v>366</v>
      </c>
      <c r="BVR324" s="26" t="s">
        <v>366</v>
      </c>
      <c r="BVS324" s="26" t="s">
        <v>366</v>
      </c>
      <c r="BVT324" s="26" t="s">
        <v>366</v>
      </c>
      <c r="BVU324" s="26" t="s">
        <v>366</v>
      </c>
      <c r="BVV324" s="26" t="s">
        <v>366</v>
      </c>
      <c r="BVW324" s="26" t="s">
        <v>366</v>
      </c>
      <c r="BVX324" s="26" t="s">
        <v>366</v>
      </c>
      <c r="BVY324" s="26" t="s">
        <v>366</v>
      </c>
      <c r="BVZ324" s="26" t="s">
        <v>366</v>
      </c>
      <c r="BWA324" s="26" t="s">
        <v>366</v>
      </c>
      <c r="BWB324" s="26" t="s">
        <v>366</v>
      </c>
      <c r="BWC324" s="26" t="s">
        <v>366</v>
      </c>
      <c r="BWD324" s="26" t="s">
        <v>366</v>
      </c>
      <c r="BWE324" s="26" t="s">
        <v>366</v>
      </c>
      <c r="BWF324" s="26" t="s">
        <v>366</v>
      </c>
      <c r="BWG324" s="26" t="s">
        <v>366</v>
      </c>
      <c r="BWH324" s="26" t="s">
        <v>366</v>
      </c>
      <c r="BWI324" s="26" t="s">
        <v>366</v>
      </c>
      <c r="BWJ324" s="26" t="s">
        <v>366</v>
      </c>
      <c r="BWK324" s="26" t="s">
        <v>366</v>
      </c>
      <c r="BWL324" s="26" t="s">
        <v>366</v>
      </c>
      <c r="BWM324" s="26" t="s">
        <v>366</v>
      </c>
      <c r="BWN324" s="26" t="s">
        <v>366</v>
      </c>
      <c r="BWO324" s="26" t="s">
        <v>366</v>
      </c>
      <c r="BWP324" s="26" t="s">
        <v>366</v>
      </c>
      <c r="BWQ324" s="26" t="s">
        <v>366</v>
      </c>
      <c r="BWR324" s="26" t="s">
        <v>366</v>
      </c>
      <c r="BWS324" s="26" t="s">
        <v>366</v>
      </c>
      <c r="BWT324" s="26" t="s">
        <v>366</v>
      </c>
      <c r="BWU324" s="26" t="s">
        <v>366</v>
      </c>
      <c r="BWV324" s="26" t="s">
        <v>366</v>
      </c>
      <c r="BWW324" s="26" t="s">
        <v>366</v>
      </c>
      <c r="BWX324" s="26" t="s">
        <v>366</v>
      </c>
      <c r="BWY324" s="26" t="s">
        <v>366</v>
      </c>
      <c r="BWZ324" s="26" t="s">
        <v>366</v>
      </c>
      <c r="BXA324" s="26" t="s">
        <v>366</v>
      </c>
      <c r="BXB324" s="26" t="s">
        <v>366</v>
      </c>
      <c r="BXC324" s="26" t="s">
        <v>366</v>
      </c>
      <c r="BXD324" s="26" t="s">
        <v>366</v>
      </c>
      <c r="BXE324" s="26" t="s">
        <v>366</v>
      </c>
      <c r="BXF324" s="26" t="s">
        <v>366</v>
      </c>
      <c r="BXG324" s="26" t="s">
        <v>366</v>
      </c>
      <c r="BXH324" s="26" t="s">
        <v>366</v>
      </c>
      <c r="BXI324" s="26" t="s">
        <v>366</v>
      </c>
      <c r="BXJ324" s="26" t="s">
        <v>366</v>
      </c>
      <c r="BXK324" s="26" t="s">
        <v>366</v>
      </c>
      <c r="BXL324" s="26" t="s">
        <v>366</v>
      </c>
      <c r="BXM324" s="26" t="s">
        <v>366</v>
      </c>
      <c r="BXN324" s="26" t="s">
        <v>366</v>
      </c>
      <c r="BXO324" s="26" t="s">
        <v>366</v>
      </c>
      <c r="BXP324" s="26" t="s">
        <v>366</v>
      </c>
      <c r="BXQ324" s="26" t="s">
        <v>366</v>
      </c>
      <c r="BXR324" s="26" t="s">
        <v>366</v>
      </c>
      <c r="BXS324" s="26" t="s">
        <v>366</v>
      </c>
      <c r="BXT324" s="26" t="s">
        <v>366</v>
      </c>
      <c r="BXU324" s="26" t="s">
        <v>366</v>
      </c>
      <c r="BXV324" s="26" t="s">
        <v>366</v>
      </c>
      <c r="BXW324" s="26" t="s">
        <v>366</v>
      </c>
      <c r="BXX324" s="26" t="s">
        <v>366</v>
      </c>
      <c r="BXY324" s="26" t="s">
        <v>366</v>
      </c>
      <c r="BXZ324" s="26" t="s">
        <v>366</v>
      </c>
      <c r="BYA324" s="26" t="s">
        <v>366</v>
      </c>
      <c r="BYB324" s="26" t="s">
        <v>366</v>
      </c>
      <c r="BYC324" s="26" t="s">
        <v>366</v>
      </c>
      <c r="BYD324" s="26" t="s">
        <v>366</v>
      </c>
      <c r="BYE324" s="26" t="s">
        <v>366</v>
      </c>
      <c r="BYF324" s="26" t="s">
        <v>366</v>
      </c>
      <c r="BYG324" s="26" t="s">
        <v>366</v>
      </c>
      <c r="BYH324" s="26" t="s">
        <v>366</v>
      </c>
      <c r="BYI324" s="26" t="s">
        <v>366</v>
      </c>
      <c r="BYJ324" s="26" t="s">
        <v>366</v>
      </c>
      <c r="BYK324" s="26" t="s">
        <v>366</v>
      </c>
      <c r="BYL324" s="26" t="s">
        <v>366</v>
      </c>
      <c r="BYM324" s="26" t="s">
        <v>366</v>
      </c>
      <c r="BYN324" s="26" t="s">
        <v>366</v>
      </c>
      <c r="BYO324" s="26" t="s">
        <v>366</v>
      </c>
      <c r="BYP324" s="26" t="s">
        <v>366</v>
      </c>
      <c r="BYQ324" s="26" t="s">
        <v>366</v>
      </c>
      <c r="BYR324" s="26" t="s">
        <v>366</v>
      </c>
      <c r="BYS324" s="26" t="s">
        <v>366</v>
      </c>
      <c r="BYT324" s="26" t="s">
        <v>366</v>
      </c>
      <c r="BYU324" s="26" t="s">
        <v>366</v>
      </c>
      <c r="BYV324" s="26" t="s">
        <v>366</v>
      </c>
      <c r="BYW324" s="26" t="s">
        <v>366</v>
      </c>
      <c r="BYX324" s="26" t="s">
        <v>366</v>
      </c>
      <c r="BYY324" s="26" t="s">
        <v>366</v>
      </c>
      <c r="BYZ324" s="26" t="s">
        <v>366</v>
      </c>
      <c r="BZA324" s="26" t="s">
        <v>366</v>
      </c>
      <c r="BZB324" s="26" t="s">
        <v>366</v>
      </c>
      <c r="BZC324" s="26" t="s">
        <v>366</v>
      </c>
      <c r="BZD324" s="26" t="s">
        <v>366</v>
      </c>
      <c r="BZE324" s="26" t="s">
        <v>366</v>
      </c>
      <c r="BZF324" s="26" t="s">
        <v>366</v>
      </c>
      <c r="BZG324" s="26" t="s">
        <v>366</v>
      </c>
      <c r="BZH324" s="26" t="s">
        <v>366</v>
      </c>
      <c r="BZI324" s="26" t="s">
        <v>366</v>
      </c>
      <c r="BZJ324" s="26" t="s">
        <v>366</v>
      </c>
      <c r="BZK324" s="26" t="s">
        <v>366</v>
      </c>
      <c r="BZL324" s="26" t="s">
        <v>366</v>
      </c>
      <c r="BZM324" s="26" t="s">
        <v>366</v>
      </c>
      <c r="BZN324" s="26" t="s">
        <v>366</v>
      </c>
      <c r="BZO324" s="26" t="s">
        <v>366</v>
      </c>
      <c r="BZP324" s="26" t="s">
        <v>366</v>
      </c>
      <c r="BZQ324" s="26" t="s">
        <v>366</v>
      </c>
      <c r="BZR324" s="26" t="s">
        <v>366</v>
      </c>
      <c r="BZS324" s="26" t="s">
        <v>366</v>
      </c>
      <c r="BZT324" s="26" t="s">
        <v>366</v>
      </c>
      <c r="BZU324" s="26" t="s">
        <v>366</v>
      </c>
      <c r="BZV324" s="26" t="s">
        <v>366</v>
      </c>
      <c r="BZW324" s="26" t="s">
        <v>366</v>
      </c>
      <c r="BZX324" s="26" t="s">
        <v>366</v>
      </c>
      <c r="BZY324" s="26" t="s">
        <v>366</v>
      </c>
      <c r="BZZ324" s="26" t="s">
        <v>366</v>
      </c>
      <c r="CAA324" s="26" t="s">
        <v>366</v>
      </c>
      <c r="CAB324" s="26" t="s">
        <v>366</v>
      </c>
      <c r="CAC324" s="26" t="s">
        <v>366</v>
      </c>
      <c r="CAD324" s="26" t="s">
        <v>366</v>
      </c>
      <c r="CAE324" s="26" t="s">
        <v>366</v>
      </c>
      <c r="CAF324" s="26" t="s">
        <v>366</v>
      </c>
      <c r="CAG324" s="26" t="s">
        <v>366</v>
      </c>
      <c r="CAH324" s="26" t="s">
        <v>366</v>
      </c>
      <c r="CAI324" s="26" t="s">
        <v>366</v>
      </c>
      <c r="CAJ324" s="26" t="s">
        <v>366</v>
      </c>
      <c r="CAK324" s="26" t="s">
        <v>366</v>
      </c>
      <c r="CAL324" s="26" t="s">
        <v>366</v>
      </c>
      <c r="CAM324" s="26" t="s">
        <v>366</v>
      </c>
      <c r="CAN324" s="26" t="s">
        <v>366</v>
      </c>
      <c r="CAO324" s="26" t="s">
        <v>366</v>
      </c>
      <c r="CAP324" s="26" t="s">
        <v>366</v>
      </c>
      <c r="CAQ324" s="26" t="s">
        <v>366</v>
      </c>
      <c r="CAR324" s="26" t="s">
        <v>366</v>
      </c>
      <c r="CAS324" s="26" t="s">
        <v>366</v>
      </c>
      <c r="CAT324" s="26" t="s">
        <v>366</v>
      </c>
      <c r="CAU324" s="26" t="s">
        <v>366</v>
      </c>
      <c r="CAV324" s="26" t="s">
        <v>366</v>
      </c>
      <c r="CAW324" s="26" t="s">
        <v>366</v>
      </c>
      <c r="CAX324" s="26" t="s">
        <v>366</v>
      </c>
      <c r="CAY324" s="26" t="s">
        <v>366</v>
      </c>
      <c r="CAZ324" s="26" t="s">
        <v>366</v>
      </c>
      <c r="CBA324" s="26" t="s">
        <v>366</v>
      </c>
      <c r="CBB324" s="26" t="s">
        <v>366</v>
      </c>
      <c r="CBC324" s="26" t="s">
        <v>366</v>
      </c>
      <c r="CBD324" s="26" t="s">
        <v>366</v>
      </c>
      <c r="CBE324" s="26" t="s">
        <v>366</v>
      </c>
      <c r="CBF324" s="26" t="s">
        <v>366</v>
      </c>
      <c r="CBG324" s="26" t="s">
        <v>366</v>
      </c>
      <c r="CBH324" s="26" t="s">
        <v>366</v>
      </c>
      <c r="CBI324" s="26" t="s">
        <v>366</v>
      </c>
      <c r="CBJ324" s="26" t="s">
        <v>366</v>
      </c>
      <c r="CBK324" s="26" t="s">
        <v>366</v>
      </c>
      <c r="CBL324" s="26" t="s">
        <v>366</v>
      </c>
      <c r="CBM324" s="26" t="s">
        <v>366</v>
      </c>
      <c r="CBN324" s="26" t="s">
        <v>366</v>
      </c>
      <c r="CBO324" s="26" t="s">
        <v>366</v>
      </c>
      <c r="CBP324" s="26" t="s">
        <v>366</v>
      </c>
      <c r="CBQ324" s="26" t="s">
        <v>366</v>
      </c>
      <c r="CBR324" s="26" t="s">
        <v>366</v>
      </c>
      <c r="CBS324" s="26" t="s">
        <v>366</v>
      </c>
      <c r="CBT324" s="26" t="s">
        <v>366</v>
      </c>
      <c r="CBU324" s="26" t="s">
        <v>366</v>
      </c>
      <c r="CBV324" s="26" t="s">
        <v>366</v>
      </c>
      <c r="CBW324" s="26" t="s">
        <v>366</v>
      </c>
      <c r="CBX324" s="26" t="s">
        <v>366</v>
      </c>
      <c r="CBY324" s="26" t="s">
        <v>366</v>
      </c>
      <c r="CBZ324" s="26" t="s">
        <v>366</v>
      </c>
      <c r="CCA324" s="26" t="s">
        <v>366</v>
      </c>
      <c r="CCB324" s="26" t="s">
        <v>366</v>
      </c>
      <c r="CCC324" s="26" t="s">
        <v>366</v>
      </c>
      <c r="CCD324" s="26" t="s">
        <v>366</v>
      </c>
      <c r="CCE324" s="26" t="s">
        <v>366</v>
      </c>
      <c r="CCF324" s="26" t="s">
        <v>366</v>
      </c>
      <c r="CCG324" s="26" t="s">
        <v>366</v>
      </c>
      <c r="CCH324" s="26" t="s">
        <v>366</v>
      </c>
      <c r="CCI324" s="26" t="s">
        <v>366</v>
      </c>
      <c r="CCJ324" s="26" t="s">
        <v>366</v>
      </c>
      <c r="CCK324" s="26" t="s">
        <v>366</v>
      </c>
      <c r="CCL324" s="26" t="s">
        <v>366</v>
      </c>
      <c r="CCM324" s="26" t="s">
        <v>366</v>
      </c>
      <c r="CCN324" s="26" t="s">
        <v>366</v>
      </c>
      <c r="CCO324" s="26" t="s">
        <v>366</v>
      </c>
      <c r="CCP324" s="26" t="s">
        <v>366</v>
      </c>
      <c r="CCQ324" s="26" t="s">
        <v>366</v>
      </c>
      <c r="CCR324" s="26" t="s">
        <v>366</v>
      </c>
      <c r="CCS324" s="26" t="s">
        <v>366</v>
      </c>
      <c r="CCT324" s="26" t="s">
        <v>366</v>
      </c>
      <c r="CCU324" s="26" t="s">
        <v>366</v>
      </c>
      <c r="CCV324" s="26" t="s">
        <v>366</v>
      </c>
      <c r="CCW324" s="26" t="s">
        <v>366</v>
      </c>
      <c r="CCX324" s="26" t="s">
        <v>366</v>
      </c>
      <c r="CCY324" s="26" t="s">
        <v>366</v>
      </c>
      <c r="CCZ324" s="26" t="s">
        <v>366</v>
      </c>
      <c r="CDA324" s="26" t="s">
        <v>366</v>
      </c>
      <c r="CDB324" s="26" t="s">
        <v>366</v>
      </c>
      <c r="CDC324" s="26" t="s">
        <v>366</v>
      </c>
      <c r="CDD324" s="26" t="s">
        <v>366</v>
      </c>
      <c r="CDE324" s="26" t="s">
        <v>366</v>
      </c>
      <c r="CDF324" s="26" t="s">
        <v>366</v>
      </c>
      <c r="CDG324" s="26" t="s">
        <v>366</v>
      </c>
      <c r="CDH324" s="26" t="s">
        <v>366</v>
      </c>
      <c r="CDI324" s="26" t="s">
        <v>366</v>
      </c>
      <c r="CDJ324" s="26" t="s">
        <v>366</v>
      </c>
      <c r="CDK324" s="26" t="s">
        <v>366</v>
      </c>
      <c r="CDL324" s="26" t="s">
        <v>366</v>
      </c>
      <c r="CDM324" s="26" t="s">
        <v>366</v>
      </c>
      <c r="CDN324" s="26" t="s">
        <v>366</v>
      </c>
      <c r="CDO324" s="26" t="s">
        <v>366</v>
      </c>
      <c r="CDP324" s="26" t="s">
        <v>366</v>
      </c>
      <c r="CDQ324" s="26" t="s">
        <v>366</v>
      </c>
      <c r="CDR324" s="26" t="s">
        <v>366</v>
      </c>
      <c r="CDS324" s="26" t="s">
        <v>366</v>
      </c>
      <c r="CDT324" s="26" t="s">
        <v>366</v>
      </c>
      <c r="CDU324" s="26" t="s">
        <v>366</v>
      </c>
      <c r="CDV324" s="26" t="s">
        <v>366</v>
      </c>
      <c r="CDW324" s="26" t="s">
        <v>366</v>
      </c>
      <c r="CDX324" s="26" t="s">
        <v>366</v>
      </c>
      <c r="CDY324" s="26" t="s">
        <v>366</v>
      </c>
      <c r="CDZ324" s="26" t="s">
        <v>366</v>
      </c>
      <c r="CEA324" s="26" t="s">
        <v>366</v>
      </c>
      <c r="CEB324" s="26" t="s">
        <v>366</v>
      </c>
      <c r="CEC324" s="26" t="s">
        <v>366</v>
      </c>
      <c r="CED324" s="26" t="s">
        <v>366</v>
      </c>
      <c r="CEE324" s="26" t="s">
        <v>366</v>
      </c>
      <c r="CEF324" s="26" t="s">
        <v>366</v>
      </c>
      <c r="CEG324" s="26" t="s">
        <v>366</v>
      </c>
      <c r="CEH324" s="26" t="s">
        <v>366</v>
      </c>
      <c r="CEI324" s="26" t="s">
        <v>366</v>
      </c>
      <c r="CEJ324" s="26" t="s">
        <v>366</v>
      </c>
      <c r="CEK324" s="26" t="s">
        <v>366</v>
      </c>
      <c r="CEL324" s="26" t="s">
        <v>366</v>
      </c>
      <c r="CEM324" s="26" t="s">
        <v>366</v>
      </c>
      <c r="CEN324" s="26" t="s">
        <v>366</v>
      </c>
      <c r="CEO324" s="26" t="s">
        <v>366</v>
      </c>
      <c r="CEP324" s="26" t="s">
        <v>366</v>
      </c>
      <c r="CEQ324" s="26" t="s">
        <v>366</v>
      </c>
      <c r="CER324" s="26" t="s">
        <v>366</v>
      </c>
      <c r="CES324" s="26" t="s">
        <v>366</v>
      </c>
      <c r="CET324" s="26" t="s">
        <v>366</v>
      </c>
      <c r="CEU324" s="26" t="s">
        <v>366</v>
      </c>
      <c r="CEV324" s="26" t="s">
        <v>366</v>
      </c>
      <c r="CEW324" s="26" t="s">
        <v>366</v>
      </c>
      <c r="CEX324" s="26" t="s">
        <v>366</v>
      </c>
      <c r="CEY324" s="26" t="s">
        <v>366</v>
      </c>
      <c r="CEZ324" s="26" t="s">
        <v>366</v>
      </c>
      <c r="CFA324" s="26" t="s">
        <v>366</v>
      </c>
      <c r="CFB324" s="26" t="s">
        <v>366</v>
      </c>
      <c r="CFC324" s="26" t="s">
        <v>366</v>
      </c>
      <c r="CFD324" s="26" t="s">
        <v>366</v>
      </c>
      <c r="CFE324" s="26" t="s">
        <v>366</v>
      </c>
      <c r="CFF324" s="26" t="s">
        <v>366</v>
      </c>
      <c r="CFG324" s="26" t="s">
        <v>366</v>
      </c>
      <c r="CFH324" s="26" t="s">
        <v>366</v>
      </c>
      <c r="CFI324" s="26" t="s">
        <v>366</v>
      </c>
      <c r="CFJ324" s="26" t="s">
        <v>366</v>
      </c>
      <c r="CFK324" s="26" t="s">
        <v>366</v>
      </c>
      <c r="CFL324" s="26" t="s">
        <v>366</v>
      </c>
      <c r="CFM324" s="26" t="s">
        <v>366</v>
      </c>
      <c r="CFN324" s="26" t="s">
        <v>366</v>
      </c>
      <c r="CFO324" s="26" t="s">
        <v>366</v>
      </c>
      <c r="CFP324" s="26" t="s">
        <v>366</v>
      </c>
      <c r="CFQ324" s="26" t="s">
        <v>366</v>
      </c>
      <c r="CFR324" s="26" t="s">
        <v>366</v>
      </c>
      <c r="CFS324" s="26" t="s">
        <v>366</v>
      </c>
      <c r="CFT324" s="26" t="s">
        <v>366</v>
      </c>
      <c r="CFU324" s="26" t="s">
        <v>366</v>
      </c>
      <c r="CFV324" s="26" t="s">
        <v>366</v>
      </c>
      <c r="CFW324" s="26" t="s">
        <v>366</v>
      </c>
      <c r="CFX324" s="26" t="s">
        <v>366</v>
      </c>
      <c r="CFY324" s="26" t="s">
        <v>366</v>
      </c>
      <c r="CFZ324" s="26" t="s">
        <v>366</v>
      </c>
      <c r="CGA324" s="26" t="s">
        <v>366</v>
      </c>
      <c r="CGB324" s="26" t="s">
        <v>366</v>
      </c>
      <c r="CGC324" s="26" t="s">
        <v>366</v>
      </c>
      <c r="CGD324" s="26" t="s">
        <v>366</v>
      </c>
      <c r="CGE324" s="26" t="s">
        <v>366</v>
      </c>
      <c r="CGF324" s="26" t="s">
        <v>366</v>
      </c>
      <c r="CGG324" s="26" t="s">
        <v>366</v>
      </c>
      <c r="CGH324" s="26" t="s">
        <v>366</v>
      </c>
      <c r="CGI324" s="26" t="s">
        <v>366</v>
      </c>
      <c r="CGJ324" s="26" t="s">
        <v>366</v>
      </c>
      <c r="CGK324" s="26" t="s">
        <v>366</v>
      </c>
      <c r="CGL324" s="26" t="s">
        <v>366</v>
      </c>
      <c r="CGM324" s="26" t="s">
        <v>366</v>
      </c>
      <c r="CGN324" s="26" t="s">
        <v>366</v>
      </c>
      <c r="CGO324" s="26" t="s">
        <v>366</v>
      </c>
      <c r="CGP324" s="26" t="s">
        <v>366</v>
      </c>
      <c r="CGQ324" s="26" t="s">
        <v>366</v>
      </c>
      <c r="CGR324" s="26" t="s">
        <v>366</v>
      </c>
      <c r="CGS324" s="26" t="s">
        <v>366</v>
      </c>
      <c r="CGT324" s="26" t="s">
        <v>366</v>
      </c>
      <c r="CGU324" s="26" t="s">
        <v>366</v>
      </c>
      <c r="CGV324" s="26" t="s">
        <v>366</v>
      </c>
      <c r="CGW324" s="26" t="s">
        <v>366</v>
      </c>
      <c r="CGX324" s="26" t="s">
        <v>366</v>
      </c>
      <c r="CGY324" s="26" t="s">
        <v>366</v>
      </c>
      <c r="CGZ324" s="26" t="s">
        <v>366</v>
      </c>
      <c r="CHA324" s="26" t="s">
        <v>366</v>
      </c>
      <c r="CHB324" s="26" t="s">
        <v>366</v>
      </c>
      <c r="CHC324" s="26" t="s">
        <v>366</v>
      </c>
      <c r="CHD324" s="26" t="s">
        <v>366</v>
      </c>
      <c r="CHE324" s="26" t="s">
        <v>366</v>
      </c>
      <c r="CHF324" s="26" t="s">
        <v>366</v>
      </c>
      <c r="CHG324" s="26" t="s">
        <v>366</v>
      </c>
      <c r="CHH324" s="26" t="s">
        <v>366</v>
      </c>
      <c r="CHI324" s="26" t="s">
        <v>366</v>
      </c>
      <c r="CHJ324" s="26" t="s">
        <v>366</v>
      </c>
      <c r="CHK324" s="26" t="s">
        <v>366</v>
      </c>
      <c r="CHL324" s="26" t="s">
        <v>366</v>
      </c>
      <c r="CHM324" s="26" t="s">
        <v>366</v>
      </c>
      <c r="CHN324" s="26" t="s">
        <v>366</v>
      </c>
      <c r="CHO324" s="26" t="s">
        <v>366</v>
      </c>
      <c r="CHP324" s="26" t="s">
        <v>366</v>
      </c>
      <c r="CHQ324" s="26" t="s">
        <v>366</v>
      </c>
      <c r="CHR324" s="26" t="s">
        <v>366</v>
      </c>
      <c r="CHS324" s="26" t="s">
        <v>366</v>
      </c>
      <c r="CHT324" s="26" t="s">
        <v>366</v>
      </c>
      <c r="CHU324" s="26" t="s">
        <v>366</v>
      </c>
      <c r="CHV324" s="26" t="s">
        <v>366</v>
      </c>
      <c r="CHW324" s="26" t="s">
        <v>366</v>
      </c>
      <c r="CHX324" s="26" t="s">
        <v>366</v>
      </c>
      <c r="CHY324" s="26" t="s">
        <v>366</v>
      </c>
      <c r="CHZ324" s="26" t="s">
        <v>366</v>
      </c>
      <c r="CIA324" s="26" t="s">
        <v>366</v>
      </c>
      <c r="CIB324" s="26" t="s">
        <v>366</v>
      </c>
      <c r="CIC324" s="26" t="s">
        <v>366</v>
      </c>
      <c r="CID324" s="26" t="s">
        <v>366</v>
      </c>
      <c r="CIE324" s="26" t="s">
        <v>366</v>
      </c>
      <c r="CIF324" s="26" t="s">
        <v>366</v>
      </c>
      <c r="CIG324" s="26" t="s">
        <v>366</v>
      </c>
      <c r="CIH324" s="26" t="s">
        <v>366</v>
      </c>
      <c r="CII324" s="26" t="s">
        <v>366</v>
      </c>
      <c r="CIJ324" s="26" t="s">
        <v>366</v>
      </c>
      <c r="CIK324" s="26" t="s">
        <v>366</v>
      </c>
      <c r="CIL324" s="26" t="s">
        <v>366</v>
      </c>
      <c r="CIM324" s="26" t="s">
        <v>366</v>
      </c>
      <c r="CIN324" s="26" t="s">
        <v>366</v>
      </c>
      <c r="CIO324" s="26" t="s">
        <v>366</v>
      </c>
      <c r="CIP324" s="26" t="s">
        <v>366</v>
      </c>
      <c r="CIQ324" s="26" t="s">
        <v>366</v>
      </c>
      <c r="CIR324" s="26" t="s">
        <v>366</v>
      </c>
      <c r="CIS324" s="26" t="s">
        <v>366</v>
      </c>
      <c r="CIT324" s="26" t="s">
        <v>366</v>
      </c>
      <c r="CIU324" s="26" t="s">
        <v>366</v>
      </c>
      <c r="CIV324" s="26" t="s">
        <v>366</v>
      </c>
      <c r="CIW324" s="26" t="s">
        <v>366</v>
      </c>
      <c r="CIX324" s="26" t="s">
        <v>366</v>
      </c>
      <c r="CIY324" s="26" t="s">
        <v>366</v>
      </c>
      <c r="CIZ324" s="26" t="s">
        <v>366</v>
      </c>
      <c r="CJA324" s="26" t="s">
        <v>366</v>
      </c>
      <c r="CJB324" s="26" t="s">
        <v>366</v>
      </c>
      <c r="CJC324" s="26" t="s">
        <v>366</v>
      </c>
      <c r="CJD324" s="26" t="s">
        <v>366</v>
      </c>
      <c r="CJE324" s="26" t="s">
        <v>366</v>
      </c>
      <c r="CJF324" s="26" t="s">
        <v>366</v>
      </c>
      <c r="CJG324" s="26" t="s">
        <v>366</v>
      </c>
      <c r="CJH324" s="26" t="s">
        <v>366</v>
      </c>
      <c r="CJI324" s="26" t="s">
        <v>366</v>
      </c>
      <c r="CJJ324" s="26" t="s">
        <v>366</v>
      </c>
      <c r="CJK324" s="26" t="s">
        <v>366</v>
      </c>
      <c r="CJL324" s="26" t="s">
        <v>366</v>
      </c>
      <c r="CJM324" s="26" t="s">
        <v>366</v>
      </c>
      <c r="CJN324" s="26" t="s">
        <v>366</v>
      </c>
      <c r="CJO324" s="26" t="s">
        <v>366</v>
      </c>
      <c r="CJP324" s="26" t="s">
        <v>366</v>
      </c>
      <c r="CJQ324" s="26" t="s">
        <v>366</v>
      </c>
      <c r="CJR324" s="26" t="s">
        <v>366</v>
      </c>
      <c r="CJS324" s="26" t="s">
        <v>366</v>
      </c>
      <c r="CJT324" s="26" t="s">
        <v>366</v>
      </c>
      <c r="CJU324" s="26" t="s">
        <v>366</v>
      </c>
      <c r="CJV324" s="26" t="s">
        <v>366</v>
      </c>
      <c r="CJW324" s="26" t="s">
        <v>366</v>
      </c>
      <c r="CJX324" s="26" t="s">
        <v>366</v>
      </c>
      <c r="CJY324" s="26" t="s">
        <v>366</v>
      </c>
      <c r="CJZ324" s="26" t="s">
        <v>366</v>
      </c>
      <c r="CKA324" s="26" t="s">
        <v>366</v>
      </c>
      <c r="CKB324" s="26" t="s">
        <v>366</v>
      </c>
      <c r="CKC324" s="26" t="s">
        <v>366</v>
      </c>
      <c r="CKD324" s="26" t="s">
        <v>366</v>
      </c>
      <c r="CKE324" s="26" t="s">
        <v>366</v>
      </c>
      <c r="CKF324" s="26" t="s">
        <v>366</v>
      </c>
      <c r="CKG324" s="26" t="s">
        <v>366</v>
      </c>
      <c r="CKH324" s="26" t="s">
        <v>366</v>
      </c>
      <c r="CKI324" s="26" t="s">
        <v>366</v>
      </c>
      <c r="CKJ324" s="26" t="s">
        <v>366</v>
      </c>
      <c r="CKK324" s="26" t="s">
        <v>366</v>
      </c>
      <c r="CKL324" s="26" t="s">
        <v>366</v>
      </c>
      <c r="CKM324" s="26" t="s">
        <v>366</v>
      </c>
      <c r="CKN324" s="26" t="s">
        <v>366</v>
      </c>
      <c r="CKO324" s="26" t="s">
        <v>366</v>
      </c>
      <c r="CKP324" s="26" t="s">
        <v>366</v>
      </c>
      <c r="CKQ324" s="26" t="s">
        <v>366</v>
      </c>
      <c r="CKR324" s="26" t="s">
        <v>366</v>
      </c>
      <c r="CKS324" s="26" t="s">
        <v>366</v>
      </c>
      <c r="CKT324" s="26" t="s">
        <v>366</v>
      </c>
      <c r="CKU324" s="26" t="s">
        <v>366</v>
      </c>
      <c r="CKV324" s="26" t="s">
        <v>366</v>
      </c>
      <c r="CKW324" s="26" t="s">
        <v>366</v>
      </c>
      <c r="CKX324" s="26" t="s">
        <v>366</v>
      </c>
      <c r="CKY324" s="26" t="s">
        <v>366</v>
      </c>
      <c r="CKZ324" s="26" t="s">
        <v>366</v>
      </c>
      <c r="CLA324" s="26" t="s">
        <v>366</v>
      </c>
      <c r="CLB324" s="26" t="s">
        <v>366</v>
      </c>
      <c r="CLC324" s="26" t="s">
        <v>366</v>
      </c>
      <c r="CLD324" s="26" t="s">
        <v>366</v>
      </c>
      <c r="CLE324" s="26" t="s">
        <v>366</v>
      </c>
      <c r="CLF324" s="26" t="s">
        <v>366</v>
      </c>
      <c r="CLG324" s="26" t="s">
        <v>366</v>
      </c>
      <c r="CLH324" s="26" t="s">
        <v>366</v>
      </c>
      <c r="CLI324" s="26" t="s">
        <v>366</v>
      </c>
      <c r="CLJ324" s="26" t="s">
        <v>366</v>
      </c>
      <c r="CLK324" s="26" t="s">
        <v>366</v>
      </c>
      <c r="CLL324" s="26" t="s">
        <v>366</v>
      </c>
      <c r="CLM324" s="26" t="s">
        <v>366</v>
      </c>
      <c r="CLN324" s="26" t="s">
        <v>366</v>
      </c>
      <c r="CLO324" s="26" t="s">
        <v>366</v>
      </c>
      <c r="CLP324" s="26" t="s">
        <v>366</v>
      </c>
      <c r="CLQ324" s="26" t="s">
        <v>366</v>
      </c>
      <c r="CLR324" s="26" t="s">
        <v>366</v>
      </c>
      <c r="CLS324" s="26" t="s">
        <v>366</v>
      </c>
      <c r="CLT324" s="26" t="s">
        <v>366</v>
      </c>
      <c r="CLU324" s="26" t="s">
        <v>366</v>
      </c>
      <c r="CLV324" s="26" t="s">
        <v>366</v>
      </c>
      <c r="CLW324" s="26" t="s">
        <v>366</v>
      </c>
      <c r="CLX324" s="26" t="s">
        <v>366</v>
      </c>
      <c r="CLY324" s="26" t="s">
        <v>366</v>
      </c>
      <c r="CLZ324" s="26" t="s">
        <v>366</v>
      </c>
      <c r="CMA324" s="26" t="s">
        <v>366</v>
      </c>
      <c r="CMB324" s="26" t="s">
        <v>366</v>
      </c>
      <c r="CMC324" s="26" t="s">
        <v>366</v>
      </c>
      <c r="CMD324" s="26" t="s">
        <v>366</v>
      </c>
      <c r="CME324" s="26" t="s">
        <v>366</v>
      </c>
      <c r="CMF324" s="26" t="s">
        <v>366</v>
      </c>
      <c r="CMG324" s="26" t="s">
        <v>366</v>
      </c>
      <c r="CMH324" s="26" t="s">
        <v>366</v>
      </c>
      <c r="CMI324" s="26" t="s">
        <v>366</v>
      </c>
      <c r="CMJ324" s="26" t="s">
        <v>366</v>
      </c>
      <c r="CMK324" s="26" t="s">
        <v>366</v>
      </c>
      <c r="CML324" s="26" t="s">
        <v>366</v>
      </c>
      <c r="CMM324" s="26" t="s">
        <v>366</v>
      </c>
      <c r="CMN324" s="26" t="s">
        <v>366</v>
      </c>
      <c r="CMO324" s="26" t="s">
        <v>366</v>
      </c>
      <c r="CMP324" s="26" t="s">
        <v>366</v>
      </c>
      <c r="CMQ324" s="26" t="s">
        <v>366</v>
      </c>
      <c r="CMR324" s="26" t="s">
        <v>366</v>
      </c>
      <c r="CMS324" s="26" t="s">
        <v>366</v>
      </c>
      <c r="CMT324" s="26" t="s">
        <v>366</v>
      </c>
      <c r="CMU324" s="26" t="s">
        <v>366</v>
      </c>
      <c r="CMV324" s="26" t="s">
        <v>366</v>
      </c>
      <c r="CMW324" s="26" t="s">
        <v>366</v>
      </c>
      <c r="CMX324" s="26" t="s">
        <v>366</v>
      </c>
      <c r="CMY324" s="26" t="s">
        <v>366</v>
      </c>
      <c r="CMZ324" s="26" t="s">
        <v>366</v>
      </c>
      <c r="CNA324" s="26" t="s">
        <v>366</v>
      </c>
      <c r="CNB324" s="26" t="s">
        <v>366</v>
      </c>
      <c r="CNC324" s="26" t="s">
        <v>366</v>
      </c>
      <c r="CND324" s="26" t="s">
        <v>366</v>
      </c>
      <c r="CNE324" s="26" t="s">
        <v>366</v>
      </c>
      <c r="CNF324" s="26" t="s">
        <v>366</v>
      </c>
      <c r="CNG324" s="26" t="s">
        <v>366</v>
      </c>
      <c r="CNH324" s="26" t="s">
        <v>366</v>
      </c>
      <c r="CNI324" s="26" t="s">
        <v>366</v>
      </c>
      <c r="CNJ324" s="26" t="s">
        <v>366</v>
      </c>
      <c r="CNK324" s="26" t="s">
        <v>366</v>
      </c>
      <c r="CNL324" s="26" t="s">
        <v>366</v>
      </c>
      <c r="CNM324" s="26" t="s">
        <v>366</v>
      </c>
      <c r="CNN324" s="26" t="s">
        <v>366</v>
      </c>
      <c r="CNO324" s="26" t="s">
        <v>366</v>
      </c>
      <c r="CNP324" s="26" t="s">
        <v>366</v>
      </c>
      <c r="CNQ324" s="26" t="s">
        <v>366</v>
      </c>
      <c r="CNR324" s="26" t="s">
        <v>366</v>
      </c>
      <c r="CNS324" s="26" t="s">
        <v>366</v>
      </c>
      <c r="CNT324" s="26" t="s">
        <v>366</v>
      </c>
      <c r="CNU324" s="26" t="s">
        <v>366</v>
      </c>
      <c r="CNV324" s="26" t="s">
        <v>366</v>
      </c>
      <c r="CNW324" s="26" t="s">
        <v>366</v>
      </c>
      <c r="CNX324" s="26" t="s">
        <v>366</v>
      </c>
      <c r="CNY324" s="26" t="s">
        <v>366</v>
      </c>
      <c r="CNZ324" s="26" t="s">
        <v>366</v>
      </c>
      <c r="COA324" s="26" t="s">
        <v>366</v>
      </c>
      <c r="COB324" s="26" t="s">
        <v>366</v>
      </c>
      <c r="COC324" s="26" t="s">
        <v>366</v>
      </c>
      <c r="COD324" s="26" t="s">
        <v>366</v>
      </c>
      <c r="COE324" s="26" t="s">
        <v>366</v>
      </c>
      <c r="COF324" s="26" t="s">
        <v>366</v>
      </c>
      <c r="COG324" s="26" t="s">
        <v>366</v>
      </c>
      <c r="COH324" s="26" t="s">
        <v>366</v>
      </c>
      <c r="COI324" s="26" t="s">
        <v>366</v>
      </c>
      <c r="COJ324" s="26" t="s">
        <v>366</v>
      </c>
      <c r="COK324" s="26" t="s">
        <v>366</v>
      </c>
      <c r="COL324" s="26" t="s">
        <v>366</v>
      </c>
      <c r="COM324" s="26" t="s">
        <v>366</v>
      </c>
      <c r="CON324" s="26" t="s">
        <v>366</v>
      </c>
      <c r="COO324" s="26" t="s">
        <v>366</v>
      </c>
      <c r="COP324" s="26" t="s">
        <v>366</v>
      </c>
      <c r="COQ324" s="26" t="s">
        <v>366</v>
      </c>
      <c r="COR324" s="26" t="s">
        <v>366</v>
      </c>
      <c r="COS324" s="26" t="s">
        <v>366</v>
      </c>
      <c r="COT324" s="26" t="s">
        <v>366</v>
      </c>
      <c r="COU324" s="26" t="s">
        <v>366</v>
      </c>
      <c r="COV324" s="26" t="s">
        <v>366</v>
      </c>
      <c r="COW324" s="26" t="s">
        <v>366</v>
      </c>
      <c r="COX324" s="26" t="s">
        <v>366</v>
      </c>
      <c r="COY324" s="26" t="s">
        <v>366</v>
      </c>
      <c r="COZ324" s="26" t="s">
        <v>366</v>
      </c>
      <c r="CPA324" s="26" t="s">
        <v>366</v>
      </c>
      <c r="CPB324" s="26" t="s">
        <v>366</v>
      </c>
      <c r="CPC324" s="26" t="s">
        <v>366</v>
      </c>
      <c r="CPD324" s="26" t="s">
        <v>366</v>
      </c>
      <c r="CPE324" s="26" t="s">
        <v>366</v>
      </c>
      <c r="CPF324" s="26" t="s">
        <v>366</v>
      </c>
      <c r="CPG324" s="26" t="s">
        <v>366</v>
      </c>
      <c r="CPH324" s="26" t="s">
        <v>366</v>
      </c>
      <c r="CPI324" s="26" t="s">
        <v>366</v>
      </c>
      <c r="CPJ324" s="26" t="s">
        <v>366</v>
      </c>
      <c r="CPK324" s="26" t="s">
        <v>366</v>
      </c>
      <c r="CPL324" s="26" t="s">
        <v>366</v>
      </c>
      <c r="CPM324" s="26" t="s">
        <v>366</v>
      </c>
      <c r="CPN324" s="26" t="s">
        <v>366</v>
      </c>
      <c r="CPO324" s="26" t="s">
        <v>366</v>
      </c>
      <c r="CPP324" s="26" t="s">
        <v>366</v>
      </c>
      <c r="CPQ324" s="26" t="s">
        <v>366</v>
      </c>
      <c r="CPR324" s="26" t="s">
        <v>366</v>
      </c>
      <c r="CPS324" s="26" t="s">
        <v>366</v>
      </c>
      <c r="CPT324" s="26" t="s">
        <v>366</v>
      </c>
      <c r="CPU324" s="26" t="s">
        <v>366</v>
      </c>
      <c r="CPV324" s="26" t="s">
        <v>366</v>
      </c>
      <c r="CPW324" s="26" t="s">
        <v>366</v>
      </c>
      <c r="CPX324" s="26" t="s">
        <v>366</v>
      </c>
      <c r="CPY324" s="26" t="s">
        <v>366</v>
      </c>
      <c r="CPZ324" s="26" t="s">
        <v>366</v>
      </c>
      <c r="CQA324" s="26" t="s">
        <v>366</v>
      </c>
      <c r="CQB324" s="26" t="s">
        <v>366</v>
      </c>
      <c r="CQC324" s="26" t="s">
        <v>366</v>
      </c>
      <c r="CQD324" s="26" t="s">
        <v>366</v>
      </c>
      <c r="CQE324" s="26" t="s">
        <v>366</v>
      </c>
      <c r="CQF324" s="26" t="s">
        <v>366</v>
      </c>
      <c r="CQG324" s="26" t="s">
        <v>366</v>
      </c>
      <c r="CQH324" s="26" t="s">
        <v>366</v>
      </c>
      <c r="CQI324" s="26" t="s">
        <v>366</v>
      </c>
      <c r="CQJ324" s="26" t="s">
        <v>366</v>
      </c>
      <c r="CQK324" s="26" t="s">
        <v>366</v>
      </c>
      <c r="CQL324" s="26" t="s">
        <v>366</v>
      </c>
      <c r="CQM324" s="26" t="s">
        <v>366</v>
      </c>
      <c r="CQN324" s="26" t="s">
        <v>366</v>
      </c>
      <c r="CQO324" s="26" t="s">
        <v>366</v>
      </c>
      <c r="CQP324" s="26" t="s">
        <v>366</v>
      </c>
      <c r="CQQ324" s="26" t="s">
        <v>366</v>
      </c>
      <c r="CQR324" s="26" t="s">
        <v>366</v>
      </c>
      <c r="CQS324" s="26" t="s">
        <v>366</v>
      </c>
      <c r="CQT324" s="26" t="s">
        <v>366</v>
      </c>
      <c r="CQU324" s="26" t="s">
        <v>366</v>
      </c>
      <c r="CQV324" s="26" t="s">
        <v>366</v>
      </c>
      <c r="CQW324" s="26" t="s">
        <v>366</v>
      </c>
      <c r="CQX324" s="26" t="s">
        <v>366</v>
      </c>
      <c r="CQY324" s="26" t="s">
        <v>366</v>
      </c>
      <c r="CQZ324" s="26" t="s">
        <v>366</v>
      </c>
      <c r="CRA324" s="26" t="s">
        <v>366</v>
      </c>
      <c r="CRB324" s="26" t="s">
        <v>366</v>
      </c>
      <c r="CRC324" s="26" t="s">
        <v>366</v>
      </c>
      <c r="CRD324" s="26" t="s">
        <v>366</v>
      </c>
      <c r="CRE324" s="26" t="s">
        <v>366</v>
      </c>
      <c r="CRF324" s="26" t="s">
        <v>366</v>
      </c>
      <c r="CRG324" s="26" t="s">
        <v>366</v>
      </c>
      <c r="CRH324" s="26" t="s">
        <v>366</v>
      </c>
      <c r="CRI324" s="26" t="s">
        <v>366</v>
      </c>
      <c r="CRJ324" s="26" t="s">
        <v>366</v>
      </c>
      <c r="CRK324" s="26" t="s">
        <v>366</v>
      </c>
      <c r="CRL324" s="26" t="s">
        <v>366</v>
      </c>
      <c r="CRM324" s="26" t="s">
        <v>366</v>
      </c>
      <c r="CRN324" s="26" t="s">
        <v>366</v>
      </c>
      <c r="CRO324" s="26" t="s">
        <v>366</v>
      </c>
      <c r="CRP324" s="26" t="s">
        <v>366</v>
      </c>
      <c r="CRQ324" s="26" t="s">
        <v>366</v>
      </c>
      <c r="CRR324" s="26" t="s">
        <v>366</v>
      </c>
      <c r="CRS324" s="26" t="s">
        <v>366</v>
      </c>
      <c r="CRT324" s="26" t="s">
        <v>366</v>
      </c>
      <c r="CRU324" s="26" t="s">
        <v>366</v>
      </c>
      <c r="CRV324" s="26" t="s">
        <v>366</v>
      </c>
      <c r="CRW324" s="26" t="s">
        <v>366</v>
      </c>
      <c r="CRX324" s="26" t="s">
        <v>366</v>
      </c>
      <c r="CRY324" s="26" t="s">
        <v>366</v>
      </c>
      <c r="CRZ324" s="26" t="s">
        <v>366</v>
      </c>
      <c r="CSA324" s="26" t="s">
        <v>366</v>
      </c>
      <c r="CSB324" s="26" t="s">
        <v>366</v>
      </c>
      <c r="CSC324" s="26" t="s">
        <v>366</v>
      </c>
      <c r="CSD324" s="26" t="s">
        <v>366</v>
      </c>
      <c r="CSE324" s="26" t="s">
        <v>366</v>
      </c>
      <c r="CSF324" s="26" t="s">
        <v>366</v>
      </c>
      <c r="CSG324" s="26" t="s">
        <v>366</v>
      </c>
      <c r="CSH324" s="26" t="s">
        <v>366</v>
      </c>
      <c r="CSI324" s="26" t="s">
        <v>366</v>
      </c>
      <c r="CSJ324" s="26" t="s">
        <v>366</v>
      </c>
      <c r="CSK324" s="26" t="s">
        <v>366</v>
      </c>
      <c r="CSL324" s="26" t="s">
        <v>366</v>
      </c>
      <c r="CSM324" s="26" t="s">
        <v>366</v>
      </c>
      <c r="CSN324" s="26" t="s">
        <v>366</v>
      </c>
      <c r="CSO324" s="26" t="s">
        <v>366</v>
      </c>
      <c r="CSP324" s="26" t="s">
        <v>366</v>
      </c>
      <c r="CSQ324" s="26" t="s">
        <v>366</v>
      </c>
      <c r="CSR324" s="26" t="s">
        <v>366</v>
      </c>
      <c r="CSS324" s="26" t="s">
        <v>366</v>
      </c>
      <c r="CST324" s="26" t="s">
        <v>366</v>
      </c>
      <c r="CSU324" s="26" t="s">
        <v>366</v>
      </c>
      <c r="CSV324" s="26" t="s">
        <v>366</v>
      </c>
      <c r="CSW324" s="26" t="s">
        <v>366</v>
      </c>
      <c r="CSX324" s="26" t="s">
        <v>366</v>
      </c>
      <c r="CSY324" s="26" t="s">
        <v>366</v>
      </c>
      <c r="CSZ324" s="26" t="s">
        <v>366</v>
      </c>
      <c r="CTA324" s="26" t="s">
        <v>366</v>
      </c>
      <c r="CTB324" s="26" t="s">
        <v>366</v>
      </c>
      <c r="CTC324" s="26" t="s">
        <v>366</v>
      </c>
      <c r="CTD324" s="26" t="s">
        <v>366</v>
      </c>
      <c r="CTE324" s="26" t="s">
        <v>366</v>
      </c>
      <c r="CTF324" s="26" t="s">
        <v>366</v>
      </c>
      <c r="CTG324" s="26" t="s">
        <v>366</v>
      </c>
      <c r="CTH324" s="26" t="s">
        <v>366</v>
      </c>
      <c r="CTI324" s="26" t="s">
        <v>366</v>
      </c>
      <c r="CTJ324" s="26" t="s">
        <v>366</v>
      </c>
      <c r="CTK324" s="26" t="s">
        <v>366</v>
      </c>
      <c r="CTL324" s="26" t="s">
        <v>366</v>
      </c>
      <c r="CTM324" s="26" t="s">
        <v>366</v>
      </c>
      <c r="CTN324" s="26" t="s">
        <v>366</v>
      </c>
      <c r="CTO324" s="26" t="s">
        <v>366</v>
      </c>
      <c r="CTP324" s="26" t="s">
        <v>366</v>
      </c>
      <c r="CTQ324" s="26" t="s">
        <v>366</v>
      </c>
      <c r="CTR324" s="26" t="s">
        <v>366</v>
      </c>
      <c r="CTS324" s="26" t="s">
        <v>366</v>
      </c>
      <c r="CTT324" s="26" t="s">
        <v>366</v>
      </c>
      <c r="CTU324" s="26" t="s">
        <v>366</v>
      </c>
      <c r="CTV324" s="26" t="s">
        <v>366</v>
      </c>
      <c r="CTW324" s="26" t="s">
        <v>366</v>
      </c>
      <c r="CTX324" s="26" t="s">
        <v>366</v>
      </c>
      <c r="CTY324" s="26" t="s">
        <v>366</v>
      </c>
      <c r="CTZ324" s="26" t="s">
        <v>366</v>
      </c>
      <c r="CUA324" s="26" t="s">
        <v>366</v>
      </c>
      <c r="CUB324" s="26" t="s">
        <v>366</v>
      </c>
      <c r="CUC324" s="26" t="s">
        <v>366</v>
      </c>
      <c r="CUD324" s="26" t="s">
        <v>366</v>
      </c>
      <c r="CUE324" s="26" t="s">
        <v>366</v>
      </c>
      <c r="CUF324" s="26" t="s">
        <v>366</v>
      </c>
      <c r="CUG324" s="26" t="s">
        <v>366</v>
      </c>
      <c r="CUH324" s="26" t="s">
        <v>366</v>
      </c>
      <c r="CUI324" s="26" t="s">
        <v>366</v>
      </c>
      <c r="CUJ324" s="26" t="s">
        <v>366</v>
      </c>
      <c r="CUK324" s="26" t="s">
        <v>366</v>
      </c>
      <c r="CUL324" s="26" t="s">
        <v>366</v>
      </c>
      <c r="CUM324" s="26" t="s">
        <v>366</v>
      </c>
      <c r="CUN324" s="26" t="s">
        <v>366</v>
      </c>
      <c r="CUO324" s="26" t="s">
        <v>366</v>
      </c>
      <c r="CUP324" s="26" t="s">
        <v>366</v>
      </c>
      <c r="CUQ324" s="26" t="s">
        <v>366</v>
      </c>
      <c r="CUR324" s="26" t="s">
        <v>366</v>
      </c>
      <c r="CUS324" s="26" t="s">
        <v>366</v>
      </c>
      <c r="CUT324" s="26" t="s">
        <v>366</v>
      </c>
      <c r="CUU324" s="26" t="s">
        <v>366</v>
      </c>
      <c r="CUV324" s="26" t="s">
        <v>366</v>
      </c>
      <c r="CUW324" s="26" t="s">
        <v>366</v>
      </c>
      <c r="CUX324" s="26" t="s">
        <v>366</v>
      </c>
      <c r="CUY324" s="26" t="s">
        <v>366</v>
      </c>
      <c r="CUZ324" s="26" t="s">
        <v>366</v>
      </c>
      <c r="CVA324" s="26" t="s">
        <v>366</v>
      </c>
      <c r="CVB324" s="26" t="s">
        <v>366</v>
      </c>
      <c r="CVC324" s="26" t="s">
        <v>366</v>
      </c>
      <c r="CVD324" s="26" t="s">
        <v>366</v>
      </c>
      <c r="CVE324" s="26" t="s">
        <v>366</v>
      </c>
      <c r="CVF324" s="26" t="s">
        <v>366</v>
      </c>
      <c r="CVG324" s="26" t="s">
        <v>366</v>
      </c>
      <c r="CVH324" s="26" t="s">
        <v>366</v>
      </c>
      <c r="CVI324" s="26" t="s">
        <v>366</v>
      </c>
      <c r="CVJ324" s="26" t="s">
        <v>366</v>
      </c>
      <c r="CVK324" s="26" t="s">
        <v>366</v>
      </c>
      <c r="CVL324" s="26" t="s">
        <v>366</v>
      </c>
      <c r="CVM324" s="26" t="s">
        <v>366</v>
      </c>
      <c r="CVN324" s="26" t="s">
        <v>366</v>
      </c>
      <c r="CVO324" s="26" t="s">
        <v>366</v>
      </c>
      <c r="CVP324" s="26" t="s">
        <v>366</v>
      </c>
      <c r="CVQ324" s="26" t="s">
        <v>366</v>
      </c>
      <c r="CVR324" s="26" t="s">
        <v>366</v>
      </c>
      <c r="CVS324" s="26" t="s">
        <v>366</v>
      </c>
      <c r="CVT324" s="26" t="s">
        <v>366</v>
      </c>
      <c r="CVU324" s="26" t="s">
        <v>366</v>
      </c>
      <c r="CVV324" s="26" t="s">
        <v>366</v>
      </c>
      <c r="CVW324" s="26" t="s">
        <v>366</v>
      </c>
      <c r="CVX324" s="26" t="s">
        <v>366</v>
      </c>
      <c r="CVY324" s="26" t="s">
        <v>366</v>
      </c>
      <c r="CVZ324" s="26" t="s">
        <v>366</v>
      </c>
      <c r="CWA324" s="26" t="s">
        <v>366</v>
      </c>
      <c r="CWB324" s="26" t="s">
        <v>366</v>
      </c>
      <c r="CWC324" s="26" t="s">
        <v>366</v>
      </c>
      <c r="CWD324" s="26" t="s">
        <v>366</v>
      </c>
      <c r="CWE324" s="26" t="s">
        <v>366</v>
      </c>
      <c r="CWF324" s="26" t="s">
        <v>366</v>
      </c>
      <c r="CWG324" s="26" t="s">
        <v>366</v>
      </c>
      <c r="CWH324" s="26" t="s">
        <v>366</v>
      </c>
      <c r="CWI324" s="26" t="s">
        <v>366</v>
      </c>
      <c r="CWJ324" s="26" t="s">
        <v>366</v>
      </c>
      <c r="CWK324" s="26" t="s">
        <v>366</v>
      </c>
      <c r="CWL324" s="26" t="s">
        <v>366</v>
      </c>
      <c r="CWM324" s="26" t="s">
        <v>366</v>
      </c>
      <c r="CWN324" s="26" t="s">
        <v>366</v>
      </c>
      <c r="CWO324" s="26" t="s">
        <v>366</v>
      </c>
      <c r="CWP324" s="26" t="s">
        <v>366</v>
      </c>
      <c r="CWQ324" s="26" t="s">
        <v>366</v>
      </c>
      <c r="CWR324" s="26" t="s">
        <v>366</v>
      </c>
      <c r="CWS324" s="26" t="s">
        <v>366</v>
      </c>
      <c r="CWT324" s="26" t="s">
        <v>366</v>
      </c>
      <c r="CWU324" s="26" t="s">
        <v>366</v>
      </c>
      <c r="CWV324" s="26" t="s">
        <v>366</v>
      </c>
      <c r="CWW324" s="26" t="s">
        <v>366</v>
      </c>
      <c r="CWX324" s="26" t="s">
        <v>366</v>
      </c>
      <c r="CWY324" s="26" t="s">
        <v>366</v>
      </c>
      <c r="CWZ324" s="26" t="s">
        <v>366</v>
      </c>
      <c r="CXA324" s="26" t="s">
        <v>366</v>
      </c>
      <c r="CXB324" s="26" t="s">
        <v>366</v>
      </c>
      <c r="CXC324" s="26" t="s">
        <v>366</v>
      </c>
      <c r="CXD324" s="26" t="s">
        <v>366</v>
      </c>
      <c r="CXE324" s="26" t="s">
        <v>366</v>
      </c>
      <c r="CXF324" s="26" t="s">
        <v>366</v>
      </c>
      <c r="CXG324" s="26" t="s">
        <v>366</v>
      </c>
      <c r="CXH324" s="26" t="s">
        <v>366</v>
      </c>
      <c r="CXI324" s="26" t="s">
        <v>366</v>
      </c>
      <c r="CXJ324" s="26" t="s">
        <v>366</v>
      </c>
      <c r="CXK324" s="26" t="s">
        <v>366</v>
      </c>
      <c r="CXL324" s="26" t="s">
        <v>366</v>
      </c>
      <c r="CXM324" s="26" t="s">
        <v>366</v>
      </c>
      <c r="CXN324" s="26" t="s">
        <v>366</v>
      </c>
      <c r="CXO324" s="26" t="s">
        <v>366</v>
      </c>
      <c r="CXP324" s="26" t="s">
        <v>366</v>
      </c>
      <c r="CXQ324" s="26" t="s">
        <v>366</v>
      </c>
      <c r="CXR324" s="26" t="s">
        <v>366</v>
      </c>
      <c r="CXS324" s="26" t="s">
        <v>366</v>
      </c>
      <c r="CXT324" s="26" t="s">
        <v>366</v>
      </c>
      <c r="CXU324" s="26" t="s">
        <v>366</v>
      </c>
      <c r="CXV324" s="26" t="s">
        <v>366</v>
      </c>
      <c r="CXW324" s="26" t="s">
        <v>366</v>
      </c>
      <c r="CXX324" s="26" t="s">
        <v>366</v>
      </c>
      <c r="CXY324" s="26" t="s">
        <v>366</v>
      </c>
      <c r="CXZ324" s="26" t="s">
        <v>366</v>
      </c>
      <c r="CYA324" s="26" t="s">
        <v>366</v>
      </c>
      <c r="CYB324" s="26" t="s">
        <v>366</v>
      </c>
      <c r="CYC324" s="26" t="s">
        <v>366</v>
      </c>
      <c r="CYD324" s="26" t="s">
        <v>366</v>
      </c>
      <c r="CYE324" s="26" t="s">
        <v>366</v>
      </c>
      <c r="CYF324" s="26" t="s">
        <v>366</v>
      </c>
      <c r="CYG324" s="26" t="s">
        <v>366</v>
      </c>
      <c r="CYH324" s="26" t="s">
        <v>366</v>
      </c>
      <c r="CYI324" s="26" t="s">
        <v>366</v>
      </c>
      <c r="CYJ324" s="26" t="s">
        <v>366</v>
      </c>
      <c r="CYK324" s="26" t="s">
        <v>366</v>
      </c>
      <c r="CYL324" s="26" t="s">
        <v>366</v>
      </c>
      <c r="CYM324" s="26" t="s">
        <v>366</v>
      </c>
      <c r="CYN324" s="26" t="s">
        <v>366</v>
      </c>
      <c r="CYO324" s="26" t="s">
        <v>366</v>
      </c>
      <c r="CYP324" s="26" t="s">
        <v>366</v>
      </c>
      <c r="CYQ324" s="26" t="s">
        <v>366</v>
      </c>
      <c r="CYR324" s="26" t="s">
        <v>366</v>
      </c>
      <c r="CYS324" s="26" t="s">
        <v>366</v>
      </c>
      <c r="CYT324" s="26" t="s">
        <v>366</v>
      </c>
      <c r="CYU324" s="26" t="s">
        <v>366</v>
      </c>
      <c r="CYV324" s="26" t="s">
        <v>366</v>
      </c>
      <c r="CYW324" s="26" t="s">
        <v>366</v>
      </c>
      <c r="CYX324" s="26" t="s">
        <v>366</v>
      </c>
      <c r="CYY324" s="26" t="s">
        <v>366</v>
      </c>
      <c r="CYZ324" s="26" t="s">
        <v>366</v>
      </c>
      <c r="CZA324" s="26" t="s">
        <v>366</v>
      </c>
      <c r="CZB324" s="26" t="s">
        <v>366</v>
      </c>
      <c r="CZC324" s="26" t="s">
        <v>366</v>
      </c>
      <c r="CZD324" s="26" t="s">
        <v>366</v>
      </c>
      <c r="CZE324" s="26" t="s">
        <v>366</v>
      </c>
      <c r="CZF324" s="26" t="s">
        <v>366</v>
      </c>
      <c r="CZG324" s="26" t="s">
        <v>366</v>
      </c>
      <c r="CZH324" s="26" t="s">
        <v>366</v>
      </c>
      <c r="CZI324" s="26" t="s">
        <v>366</v>
      </c>
      <c r="CZJ324" s="26" t="s">
        <v>366</v>
      </c>
      <c r="CZK324" s="26" t="s">
        <v>366</v>
      </c>
      <c r="CZL324" s="26" t="s">
        <v>366</v>
      </c>
      <c r="CZM324" s="26" t="s">
        <v>366</v>
      </c>
      <c r="CZN324" s="26" t="s">
        <v>366</v>
      </c>
      <c r="CZO324" s="26" t="s">
        <v>366</v>
      </c>
      <c r="CZP324" s="26" t="s">
        <v>366</v>
      </c>
      <c r="CZQ324" s="26" t="s">
        <v>366</v>
      </c>
      <c r="CZR324" s="26" t="s">
        <v>366</v>
      </c>
      <c r="CZS324" s="26" t="s">
        <v>366</v>
      </c>
      <c r="CZT324" s="26" t="s">
        <v>366</v>
      </c>
      <c r="CZU324" s="26" t="s">
        <v>366</v>
      </c>
      <c r="CZV324" s="26" t="s">
        <v>366</v>
      </c>
      <c r="CZW324" s="26" t="s">
        <v>366</v>
      </c>
      <c r="CZX324" s="26" t="s">
        <v>366</v>
      </c>
      <c r="CZY324" s="26" t="s">
        <v>366</v>
      </c>
      <c r="CZZ324" s="26" t="s">
        <v>366</v>
      </c>
      <c r="DAA324" s="26" t="s">
        <v>366</v>
      </c>
      <c r="DAB324" s="26" t="s">
        <v>366</v>
      </c>
      <c r="DAC324" s="26" t="s">
        <v>366</v>
      </c>
      <c r="DAD324" s="26" t="s">
        <v>366</v>
      </c>
      <c r="DAE324" s="26" t="s">
        <v>366</v>
      </c>
      <c r="DAF324" s="26" t="s">
        <v>366</v>
      </c>
      <c r="DAG324" s="26" t="s">
        <v>366</v>
      </c>
      <c r="DAH324" s="26" t="s">
        <v>366</v>
      </c>
      <c r="DAI324" s="26" t="s">
        <v>366</v>
      </c>
      <c r="DAJ324" s="26" t="s">
        <v>366</v>
      </c>
      <c r="DAK324" s="26" t="s">
        <v>366</v>
      </c>
      <c r="DAL324" s="26" t="s">
        <v>366</v>
      </c>
      <c r="DAM324" s="26" t="s">
        <v>366</v>
      </c>
      <c r="DAN324" s="26" t="s">
        <v>366</v>
      </c>
      <c r="DAO324" s="26" t="s">
        <v>366</v>
      </c>
      <c r="DAP324" s="26" t="s">
        <v>366</v>
      </c>
      <c r="DAQ324" s="26" t="s">
        <v>366</v>
      </c>
      <c r="DAR324" s="26" t="s">
        <v>366</v>
      </c>
      <c r="DAS324" s="26" t="s">
        <v>366</v>
      </c>
      <c r="DAT324" s="26" t="s">
        <v>366</v>
      </c>
      <c r="DAU324" s="26" t="s">
        <v>366</v>
      </c>
      <c r="DAV324" s="26" t="s">
        <v>366</v>
      </c>
      <c r="DAW324" s="26" t="s">
        <v>366</v>
      </c>
      <c r="DAX324" s="26" t="s">
        <v>366</v>
      </c>
      <c r="DAY324" s="26" t="s">
        <v>366</v>
      </c>
      <c r="DAZ324" s="26" t="s">
        <v>366</v>
      </c>
      <c r="DBA324" s="26" t="s">
        <v>366</v>
      </c>
      <c r="DBB324" s="26" t="s">
        <v>366</v>
      </c>
      <c r="DBC324" s="26" t="s">
        <v>366</v>
      </c>
      <c r="DBD324" s="26" t="s">
        <v>366</v>
      </c>
      <c r="DBE324" s="26" t="s">
        <v>366</v>
      </c>
      <c r="DBF324" s="26" t="s">
        <v>366</v>
      </c>
      <c r="DBG324" s="26" t="s">
        <v>366</v>
      </c>
      <c r="DBH324" s="26" t="s">
        <v>366</v>
      </c>
      <c r="DBI324" s="26" t="s">
        <v>366</v>
      </c>
      <c r="DBJ324" s="26" t="s">
        <v>366</v>
      </c>
      <c r="DBK324" s="26" t="s">
        <v>366</v>
      </c>
      <c r="DBL324" s="26" t="s">
        <v>366</v>
      </c>
      <c r="DBM324" s="26" t="s">
        <v>366</v>
      </c>
      <c r="DBN324" s="26" t="s">
        <v>366</v>
      </c>
      <c r="DBO324" s="26" t="s">
        <v>366</v>
      </c>
      <c r="DBP324" s="26" t="s">
        <v>366</v>
      </c>
      <c r="DBQ324" s="26" t="s">
        <v>366</v>
      </c>
      <c r="DBR324" s="26" t="s">
        <v>366</v>
      </c>
      <c r="DBS324" s="26" t="s">
        <v>366</v>
      </c>
      <c r="DBT324" s="26" t="s">
        <v>366</v>
      </c>
      <c r="DBU324" s="26" t="s">
        <v>366</v>
      </c>
      <c r="DBV324" s="26" t="s">
        <v>366</v>
      </c>
      <c r="DBW324" s="26" t="s">
        <v>366</v>
      </c>
      <c r="DBX324" s="26" t="s">
        <v>366</v>
      </c>
      <c r="DBY324" s="26" t="s">
        <v>366</v>
      </c>
      <c r="DBZ324" s="26" t="s">
        <v>366</v>
      </c>
      <c r="DCA324" s="26" t="s">
        <v>366</v>
      </c>
      <c r="DCB324" s="26" t="s">
        <v>366</v>
      </c>
      <c r="DCC324" s="26" t="s">
        <v>366</v>
      </c>
      <c r="DCD324" s="26" t="s">
        <v>366</v>
      </c>
      <c r="DCE324" s="26" t="s">
        <v>366</v>
      </c>
      <c r="DCF324" s="26" t="s">
        <v>366</v>
      </c>
      <c r="DCG324" s="26" t="s">
        <v>366</v>
      </c>
      <c r="DCH324" s="26" t="s">
        <v>366</v>
      </c>
      <c r="DCI324" s="26" t="s">
        <v>366</v>
      </c>
      <c r="DCJ324" s="26" t="s">
        <v>366</v>
      </c>
      <c r="DCK324" s="26" t="s">
        <v>366</v>
      </c>
      <c r="DCL324" s="26" t="s">
        <v>366</v>
      </c>
      <c r="DCM324" s="26" t="s">
        <v>366</v>
      </c>
      <c r="DCN324" s="26" t="s">
        <v>366</v>
      </c>
      <c r="DCO324" s="26" t="s">
        <v>366</v>
      </c>
      <c r="DCP324" s="26" t="s">
        <v>366</v>
      </c>
      <c r="DCQ324" s="26" t="s">
        <v>366</v>
      </c>
      <c r="DCR324" s="26" t="s">
        <v>366</v>
      </c>
      <c r="DCS324" s="26" t="s">
        <v>366</v>
      </c>
      <c r="DCT324" s="26" t="s">
        <v>366</v>
      </c>
      <c r="DCU324" s="26" t="s">
        <v>366</v>
      </c>
      <c r="DCV324" s="26" t="s">
        <v>366</v>
      </c>
      <c r="DCW324" s="26" t="s">
        <v>366</v>
      </c>
      <c r="DCX324" s="26" t="s">
        <v>366</v>
      </c>
      <c r="DCY324" s="26" t="s">
        <v>366</v>
      </c>
      <c r="DCZ324" s="26" t="s">
        <v>366</v>
      </c>
      <c r="DDA324" s="26" t="s">
        <v>366</v>
      </c>
      <c r="DDB324" s="26" t="s">
        <v>366</v>
      </c>
      <c r="DDC324" s="26" t="s">
        <v>366</v>
      </c>
      <c r="DDD324" s="26" t="s">
        <v>366</v>
      </c>
      <c r="DDE324" s="26" t="s">
        <v>366</v>
      </c>
      <c r="DDF324" s="26" t="s">
        <v>366</v>
      </c>
      <c r="DDG324" s="26" t="s">
        <v>366</v>
      </c>
      <c r="DDH324" s="26" t="s">
        <v>366</v>
      </c>
      <c r="DDI324" s="26" t="s">
        <v>366</v>
      </c>
      <c r="DDJ324" s="26" t="s">
        <v>366</v>
      </c>
      <c r="DDK324" s="26" t="s">
        <v>366</v>
      </c>
      <c r="DDL324" s="26" t="s">
        <v>366</v>
      </c>
      <c r="DDM324" s="26" t="s">
        <v>366</v>
      </c>
      <c r="DDN324" s="26" t="s">
        <v>366</v>
      </c>
      <c r="DDO324" s="26" t="s">
        <v>366</v>
      </c>
      <c r="DDP324" s="26" t="s">
        <v>366</v>
      </c>
      <c r="DDQ324" s="26" t="s">
        <v>366</v>
      </c>
      <c r="DDR324" s="26" t="s">
        <v>366</v>
      </c>
      <c r="DDS324" s="26" t="s">
        <v>366</v>
      </c>
      <c r="DDT324" s="26" t="s">
        <v>366</v>
      </c>
      <c r="DDU324" s="26" t="s">
        <v>366</v>
      </c>
      <c r="DDV324" s="26" t="s">
        <v>366</v>
      </c>
      <c r="DDW324" s="26" t="s">
        <v>366</v>
      </c>
      <c r="DDX324" s="26" t="s">
        <v>366</v>
      </c>
      <c r="DDY324" s="26" t="s">
        <v>366</v>
      </c>
      <c r="DDZ324" s="26" t="s">
        <v>366</v>
      </c>
      <c r="DEA324" s="26" t="s">
        <v>366</v>
      </c>
      <c r="DEB324" s="26" t="s">
        <v>366</v>
      </c>
      <c r="DEC324" s="26" t="s">
        <v>366</v>
      </c>
      <c r="DED324" s="26" t="s">
        <v>366</v>
      </c>
      <c r="DEE324" s="26" t="s">
        <v>366</v>
      </c>
      <c r="DEF324" s="26" t="s">
        <v>366</v>
      </c>
      <c r="DEG324" s="26" t="s">
        <v>366</v>
      </c>
      <c r="DEH324" s="26" t="s">
        <v>366</v>
      </c>
      <c r="DEI324" s="26" t="s">
        <v>366</v>
      </c>
      <c r="DEJ324" s="26" t="s">
        <v>366</v>
      </c>
      <c r="DEK324" s="26" t="s">
        <v>366</v>
      </c>
      <c r="DEL324" s="26" t="s">
        <v>366</v>
      </c>
      <c r="DEM324" s="26" t="s">
        <v>366</v>
      </c>
      <c r="DEN324" s="26" t="s">
        <v>366</v>
      </c>
      <c r="DEO324" s="26" t="s">
        <v>366</v>
      </c>
      <c r="DEP324" s="26" t="s">
        <v>366</v>
      </c>
      <c r="DEQ324" s="26" t="s">
        <v>366</v>
      </c>
      <c r="DER324" s="26" t="s">
        <v>366</v>
      </c>
      <c r="DES324" s="26" t="s">
        <v>366</v>
      </c>
      <c r="DET324" s="26" t="s">
        <v>366</v>
      </c>
      <c r="DEU324" s="26" t="s">
        <v>366</v>
      </c>
      <c r="DEV324" s="26" t="s">
        <v>366</v>
      </c>
      <c r="DEW324" s="26" t="s">
        <v>366</v>
      </c>
      <c r="DEX324" s="26" t="s">
        <v>366</v>
      </c>
      <c r="DEY324" s="26" t="s">
        <v>366</v>
      </c>
      <c r="DEZ324" s="26" t="s">
        <v>366</v>
      </c>
      <c r="DFA324" s="26" t="s">
        <v>366</v>
      </c>
      <c r="DFB324" s="26" t="s">
        <v>366</v>
      </c>
      <c r="DFC324" s="26" t="s">
        <v>366</v>
      </c>
      <c r="DFD324" s="26" t="s">
        <v>366</v>
      </c>
      <c r="DFE324" s="26" t="s">
        <v>366</v>
      </c>
      <c r="DFF324" s="26" t="s">
        <v>366</v>
      </c>
      <c r="DFG324" s="26" t="s">
        <v>366</v>
      </c>
      <c r="DFH324" s="26" t="s">
        <v>366</v>
      </c>
      <c r="DFI324" s="26" t="s">
        <v>366</v>
      </c>
      <c r="DFJ324" s="26" t="s">
        <v>366</v>
      </c>
      <c r="DFK324" s="26" t="s">
        <v>366</v>
      </c>
      <c r="DFL324" s="26" t="s">
        <v>366</v>
      </c>
      <c r="DFM324" s="26" t="s">
        <v>366</v>
      </c>
      <c r="DFN324" s="26" t="s">
        <v>366</v>
      </c>
      <c r="DFO324" s="26" t="s">
        <v>366</v>
      </c>
      <c r="DFP324" s="26" t="s">
        <v>366</v>
      </c>
      <c r="DFQ324" s="26" t="s">
        <v>366</v>
      </c>
      <c r="DFR324" s="26" t="s">
        <v>366</v>
      </c>
      <c r="DFS324" s="26" t="s">
        <v>366</v>
      </c>
      <c r="DFT324" s="26" t="s">
        <v>366</v>
      </c>
      <c r="DFU324" s="26" t="s">
        <v>366</v>
      </c>
      <c r="DFV324" s="26" t="s">
        <v>366</v>
      </c>
      <c r="DFW324" s="26" t="s">
        <v>366</v>
      </c>
      <c r="DFX324" s="26" t="s">
        <v>366</v>
      </c>
      <c r="DFY324" s="26" t="s">
        <v>366</v>
      </c>
      <c r="DFZ324" s="26" t="s">
        <v>366</v>
      </c>
      <c r="DGA324" s="26" t="s">
        <v>366</v>
      </c>
      <c r="DGB324" s="26" t="s">
        <v>366</v>
      </c>
      <c r="DGC324" s="26" t="s">
        <v>366</v>
      </c>
      <c r="DGD324" s="26" t="s">
        <v>366</v>
      </c>
      <c r="DGE324" s="26" t="s">
        <v>366</v>
      </c>
      <c r="DGF324" s="26" t="s">
        <v>366</v>
      </c>
      <c r="DGG324" s="26" t="s">
        <v>366</v>
      </c>
      <c r="DGH324" s="26" t="s">
        <v>366</v>
      </c>
      <c r="DGI324" s="26" t="s">
        <v>366</v>
      </c>
      <c r="DGJ324" s="26" t="s">
        <v>366</v>
      </c>
      <c r="DGK324" s="26" t="s">
        <v>366</v>
      </c>
      <c r="DGL324" s="26" t="s">
        <v>366</v>
      </c>
      <c r="DGM324" s="26" t="s">
        <v>366</v>
      </c>
      <c r="DGN324" s="26" t="s">
        <v>366</v>
      </c>
      <c r="DGO324" s="26" t="s">
        <v>366</v>
      </c>
      <c r="DGP324" s="26" t="s">
        <v>366</v>
      </c>
      <c r="DGQ324" s="26" t="s">
        <v>366</v>
      </c>
      <c r="DGR324" s="26" t="s">
        <v>366</v>
      </c>
      <c r="DGS324" s="26" t="s">
        <v>366</v>
      </c>
      <c r="DGT324" s="26" t="s">
        <v>366</v>
      </c>
      <c r="DGU324" s="26" t="s">
        <v>366</v>
      </c>
      <c r="DGV324" s="26" t="s">
        <v>366</v>
      </c>
      <c r="DGW324" s="26" t="s">
        <v>366</v>
      </c>
      <c r="DGX324" s="26" t="s">
        <v>366</v>
      </c>
      <c r="DGY324" s="26" t="s">
        <v>366</v>
      </c>
      <c r="DGZ324" s="26" t="s">
        <v>366</v>
      </c>
      <c r="DHA324" s="26" t="s">
        <v>366</v>
      </c>
      <c r="DHB324" s="26" t="s">
        <v>366</v>
      </c>
      <c r="DHC324" s="26" t="s">
        <v>366</v>
      </c>
      <c r="DHD324" s="26" t="s">
        <v>366</v>
      </c>
      <c r="DHE324" s="26" t="s">
        <v>366</v>
      </c>
      <c r="DHF324" s="26" t="s">
        <v>366</v>
      </c>
      <c r="DHG324" s="26" t="s">
        <v>366</v>
      </c>
      <c r="DHH324" s="26" t="s">
        <v>366</v>
      </c>
      <c r="DHI324" s="26" t="s">
        <v>366</v>
      </c>
      <c r="DHJ324" s="26" t="s">
        <v>366</v>
      </c>
      <c r="DHK324" s="26" t="s">
        <v>366</v>
      </c>
      <c r="DHL324" s="26" t="s">
        <v>366</v>
      </c>
      <c r="DHM324" s="26" t="s">
        <v>366</v>
      </c>
      <c r="DHN324" s="26" t="s">
        <v>366</v>
      </c>
      <c r="DHO324" s="26" t="s">
        <v>366</v>
      </c>
      <c r="DHP324" s="26" t="s">
        <v>366</v>
      </c>
      <c r="DHQ324" s="26" t="s">
        <v>366</v>
      </c>
      <c r="DHR324" s="26" t="s">
        <v>366</v>
      </c>
      <c r="DHS324" s="26" t="s">
        <v>366</v>
      </c>
      <c r="DHT324" s="26" t="s">
        <v>366</v>
      </c>
      <c r="DHU324" s="26" t="s">
        <v>366</v>
      </c>
      <c r="DHV324" s="26" t="s">
        <v>366</v>
      </c>
      <c r="DHW324" s="26" t="s">
        <v>366</v>
      </c>
      <c r="DHX324" s="26" t="s">
        <v>366</v>
      </c>
      <c r="DHY324" s="26" t="s">
        <v>366</v>
      </c>
      <c r="DHZ324" s="26" t="s">
        <v>366</v>
      </c>
      <c r="DIA324" s="26" t="s">
        <v>366</v>
      </c>
      <c r="DIB324" s="26" t="s">
        <v>366</v>
      </c>
      <c r="DIC324" s="26" t="s">
        <v>366</v>
      </c>
      <c r="DID324" s="26" t="s">
        <v>366</v>
      </c>
      <c r="DIE324" s="26" t="s">
        <v>366</v>
      </c>
      <c r="DIF324" s="26" t="s">
        <v>366</v>
      </c>
      <c r="DIG324" s="26" t="s">
        <v>366</v>
      </c>
      <c r="DIH324" s="26" t="s">
        <v>366</v>
      </c>
      <c r="DII324" s="26" t="s">
        <v>366</v>
      </c>
      <c r="DIJ324" s="26" t="s">
        <v>366</v>
      </c>
      <c r="DIK324" s="26" t="s">
        <v>366</v>
      </c>
      <c r="DIL324" s="26" t="s">
        <v>366</v>
      </c>
      <c r="DIM324" s="26" t="s">
        <v>366</v>
      </c>
      <c r="DIN324" s="26" t="s">
        <v>366</v>
      </c>
      <c r="DIO324" s="26" t="s">
        <v>366</v>
      </c>
      <c r="DIP324" s="26" t="s">
        <v>366</v>
      </c>
      <c r="DIQ324" s="26" t="s">
        <v>366</v>
      </c>
      <c r="DIR324" s="26" t="s">
        <v>366</v>
      </c>
      <c r="DIS324" s="26" t="s">
        <v>366</v>
      </c>
      <c r="DIT324" s="26" t="s">
        <v>366</v>
      </c>
      <c r="DIU324" s="26" t="s">
        <v>366</v>
      </c>
      <c r="DIV324" s="26" t="s">
        <v>366</v>
      </c>
      <c r="DIW324" s="26" t="s">
        <v>366</v>
      </c>
      <c r="DIX324" s="26" t="s">
        <v>366</v>
      </c>
      <c r="DIY324" s="26" t="s">
        <v>366</v>
      </c>
      <c r="DIZ324" s="26" t="s">
        <v>366</v>
      </c>
      <c r="DJA324" s="26" t="s">
        <v>366</v>
      </c>
      <c r="DJB324" s="26" t="s">
        <v>366</v>
      </c>
      <c r="DJC324" s="26" t="s">
        <v>366</v>
      </c>
      <c r="DJD324" s="26" t="s">
        <v>366</v>
      </c>
      <c r="DJE324" s="26" t="s">
        <v>366</v>
      </c>
      <c r="DJF324" s="26" t="s">
        <v>366</v>
      </c>
      <c r="DJG324" s="26" t="s">
        <v>366</v>
      </c>
      <c r="DJH324" s="26" t="s">
        <v>366</v>
      </c>
      <c r="DJI324" s="26" t="s">
        <v>366</v>
      </c>
      <c r="DJJ324" s="26" t="s">
        <v>366</v>
      </c>
      <c r="DJK324" s="26" t="s">
        <v>366</v>
      </c>
      <c r="DJL324" s="26" t="s">
        <v>366</v>
      </c>
      <c r="DJM324" s="26" t="s">
        <v>366</v>
      </c>
      <c r="DJN324" s="26" t="s">
        <v>366</v>
      </c>
      <c r="DJO324" s="26" t="s">
        <v>366</v>
      </c>
      <c r="DJP324" s="26" t="s">
        <v>366</v>
      </c>
      <c r="DJQ324" s="26" t="s">
        <v>366</v>
      </c>
      <c r="DJR324" s="26" t="s">
        <v>366</v>
      </c>
      <c r="DJS324" s="26" t="s">
        <v>366</v>
      </c>
      <c r="DJT324" s="26" t="s">
        <v>366</v>
      </c>
      <c r="DJU324" s="26" t="s">
        <v>366</v>
      </c>
      <c r="DJV324" s="26" t="s">
        <v>366</v>
      </c>
      <c r="DJW324" s="26" t="s">
        <v>366</v>
      </c>
      <c r="DJX324" s="26" t="s">
        <v>366</v>
      </c>
      <c r="DJY324" s="26" t="s">
        <v>366</v>
      </c>
      <c r="DJZ324" s="26" t="s">
        <v>366</v>
      </c>
      <c r="DKA324" s="26" t="s">
        <v>366</v>
      </c>
      <c r="DKB324" s="26" t="s">
        <v>366</v>
      </c>
      <c r="DKC324" s="26" t="s">
        <v>366</v>
      </c>
      <c r="DKD324" s="26" t="s">
        <v>366</v>
      </c>
      <c r="DKE324" s="26" t="s">
        <v>366</v>
      </c>
      <c r="DKF324" s="26" t="s">
        <v>366</v>
      </c>
      <c r="DKG324" s="26" t="s">
        <v>366</v>
      </c>
      <c r="DKH324" s="26" t="s">
        <v>366</v>
      </c>
      <c r="DKI324" s="26" t="s">
        <v>366</v>
      </c>
      <c r="DKJ324" s="26" t="s">
        <v>366</v>
      </c>
      <c r="DKK324" s="26" t="s">
        <v>366</v>
      </c>
      <c r="DKL324" s="26" t="s">
        <v>366</v>
      </c>
      <c r="DKM324" s="26" t="s">
        <v>366</v>
      </c>
      <c r="DKN324" s="26" t="s">
        <v>366</v>
      </c>
      <c r="DKO324" s="26" t="s">
        <v>366</v>
      </c>
      <c r="DKP324" s="26" t="s">
        <v>366</v>
      </c>
      <c r="DKQ324" s="26" t="s">
        <v>366</v>
      </c>
      <c r="DKR324" s="26" t="s">
        <v>366</v>
      </c>
      <c r="DKS324" s="26" t="s">
        <v>366</v>
      </c>
      <c r="DKT324" s="26" t="s">
        <v>366</v>
      </c>
      <c r="DKU324" s="26" t="s">
        <v>366</v>
      </c>
      <c r="DKV324" s="26" t="s">
        <v>366</v>
      </c>
      <c r="DKW324" s="26" t="s">
        <v>366</v>
      </c>
      <c r="DKX324" s="26" t="s">
        <v>366</v>
      </c>
      <c r="DKY324" s="26" t="s">
        <v>366</v>
      </c>
      <c r="DKZ324" s="26" t="s">
        <v>366</v>
      </c>
      <c r="DLA324" s="26" t="s">
        <v>366</v>
      </c>
      <c r="DLB324" s="26" t="s">
        <v>366</v>
      </c>
      <c r="DLC324" s="26" t="s">
        <v>366</v>
      </c>
      <c r="DLD324" s="26" t="s">
        <v>366</v>
      </c>
      <c r="DLE324" s="26" t="s">
        <v>366</v>
      </c>
      <c r="DLF324" s="26" t="s">
        <v>366</v>
      </c>
      <c r="DLG324" s="26" t="s">
        <v>366</v>
      </c>
      <c r="DLH324" s="26" t="s">
        <v>366</v>
      </c>
      <c r="DLI324" s="26" t="s">
        <v>366</v>
      </c>
      <c r="DLJ324" s="26" t="s">
        <v>366</v>
      </c>
      <c r="DLK324" s="26" t="s">
        <v>366</v>
      </c>
      <c r="DLL324" s="26" t="s">
        <v>366</v>
      </c>
      <c r="DLM324" s="26" t="s">
        <v>366</v>
      </c>
      <c r="DLN324" s="26" t="s">
        <v>366</v>
      </c>
      <c r="DLO324" s="26" t="s">
        <v>366</v>
      </c>
      <c r="DLP324" s="26" t="s">
        <v>366</v>
      </c>
      <c r="DLQ324" s="26" t="s">
        <v>366</v>
      </c>
      <c r="DLR324" s="26" t="s">
        <v>366</v>
      </c>
      <c r="DLS324" s="26" t="s">
        <v>366</v>
      </c>
      <c r="DLT324" s="26" t="s">
        <v>366</v>
      </c>
      <c r="DLU324" s="26" t="s">
        <v>366</v>
      </c>
      <c r="DLV324" s="26" t="s">
        <v>366</v>
      </c>
      <c r="DLW324" s="26" t="s">
        <v>366</v>
      </c>
      <c r="DLX324" s="26" t="s">
        <v>366</v>
      </c>
      <c r="DLY324" s="26" t="s">
        <v>366</v>
      </c>
      <c r="DLZ324" s="26" t="s">
        <v>366</v>
      </c>
      <c r="DMA324" s="26" t="s">
        <v>366</v>
      </c>
      <c r="DMB324" s="26" t="s">
        <v>366</v>
      </c>
      <c r="DMC324" s="26" t="s">
        <v>366</v>
      </c>
      <c r="DMD324" s="26" t="s">
        <v>366</v>
      </c>
      <c r="DME324" s="26" t="s">
        <v>366</v>
      </c>
      <c r="DMF324" s="26" t="s">
        <v>366</v>
      </c>
      <c r="DMG324" s="26" t="s">
        <v>366</v>
      </c>
      <c r="DMH324" s="26" t="s">
        <v>366</v>
      </c>
      <c r="DMI324" s="26" t="s">
        <v>366</v>
      </c>
      <c r="DMJ324" s="26" t="s">
        <v>366</v>
      </c>
      <c r="DMK324" s="26" t="s">
        <v>366</v>
      </c>
      <c r="DML324" s="26" t="s">
        <v>366</v>
      </c>
      <c r="DMM324" s="26" t="s">
        <v>366</v>
      </c>
      <c r="DMN324" s="26" t="s">
        <v>366</v>
      </c>
      <c r="DMO324" s="26" t="s">
        <v>366</v>
      </c>
      <c r="DMP324" s="26" t="s">
        <v>366</v>
      </c>
      <c r="DMQ324" s="26" t="s">
        <v>366</v>
      </c>
      <c r="DMR324" s="26" t="s">
        <v>366</v>
      </c>
      <c r="DMS324" s="26" t="s">
        <v>366</v>
      </c>
      <c r="DMT324" s="26" t="s">
        <v>366</v>
      </c>
      <c r="DMU324" s="26" t="s">
        <v>366</v>
      </c>
      <c r="DMV324" s="26" t="s">
        <v>366</v>
      </c>
      <c r="DMW324" s="26" t="s">
        <v>366</v>
      </c>
      <c r="DMX324" s="26" t="s">
        <v>366</v>
      </c>
      <c r="DMY324" s="26" t="s">
        <v>366</v>
      </c>
      <c r="DMZ324" s="26" t="s">
        <v>366</v>
      </c>
      <c r="DNA324" s="26" t="s">
        <v>366</v>
      </c>
      <c r="DNB324" s="26" t="s">
        <v>366</v>
      </c>
      <c r="DNC324" s="26" t="s">
        <v>366</v>
      </c>
      <c r="DND324" s="26" t="s">
        <v>366</v>
      </c>
      <c r="DNE324" s="26" t="s">
        <v>366</v>
      </c>
      <c r="DNF324" s="26" t="s">
        <v>366</v>
      </c>
      <c r="DNG324" s="26" t="s">
        <v>366</v>
      </c>
      <c r="DNH324" s="26" t="s">
        <v>366</v>
      </c>
      <c r="DNI324" s="26" t="s">
        <v>366</v>
      </c>
      <c r="DNJ324" s="26" t="s">
        <v>366</v>
      </c>
      <c r="DNK324" s="26" t="s">
        <v>366</v>
      </c>
      <c r="DNL324" s="26" t="s">
        <v>366</v>
      </c>
      <c r="DNM324" s="26" t="s">
        <v>366</v>
      </c>
      <c r="DNN324" s="26" t="s">
        <v>366</v>
      </c>
      <c r="DNO324" s="26" t="s">
        <v>366</v>
      </c>
      <c r="DNP324" s="26" t="s">
        <v>366</v>
      </c>
      <c r="DNQ324" s="26" t="s">
        <v>366</v>
      </c>
      <c r="DNR324" s="26" t="s">
        <v>366</v>
      </c>
      <c r="DNS324" s="26" t="s">
        <v>366</v>
      </c>
      <c r="DNT324" s="26" t="s">
        <v>366</v>
      </c>
      <c r="DNU324" s="26" t="s">
        <v>366</v>
      </c>
      <c r="DNV324" s="26" t="s">
        <v>366</v>
      </c>
      <c r="DNW324" s="26" t="s">
        <v>366</v>
      </c>
      <c r="DNX324" s="26" t="s">
        <v>366</v>
      </c>
      <c r="DNY324" s="26" t="s">
        <v>366</v>
      </c>
      <c r="DNZ324" s="26" t="s">
        <v>366</v>
      </c>
      <c r="DOA324" s="26" t="s">
        <v>366</v>
      </c>
      <c r="DOB324" s="26" t="s">
        <v>366</v>
      </c>
      <c r="DOC324" s="26" t="s">
        <v>366</v>
      </c>
      <c r="DOD324" s="26" t="s">
        <v>366</v>
      </c>
      <c r="DOE324" s="26" t="s">
        <v>366</v>
      </c>
      <c r="DOF324" s="26" t="s">
        <v>366</v>
      </c>
      <c r="DOG324" s="26" t="s">
        <v>366</v>
      </c>
      <c r="DOH324" s="26" t="s">
        <v>366</v>
      </c>
      <c r="DOI324" s="26" t="s">
        <v>366</v>
      </c>
      <c r="DOJ324" s="26" t="s">
        <v>366</v>
      </c>
      <c r="DOK324" s="26" t="s">
        <v>366</v>
      </c>
      <c r="DOL324" s="26" t="s">
        <v>366</v>
      </c>
      <c r="DOM324" s="26" t="s">
        <v>366</v>
      </c>
      <c r="DON324" s="26" t="s">
        <v>366</v>
      </c>
      <c r="DOO324" s="26" t="s">
        <v>366</v>
      </c>
      <c r="DOP324" s="26" t="s">
        <v>366</v>
      </c>
      <c r="DOQ324" s="26" t="s">
        <v>366</v>
      </c>
      <c r="DOR324" s="26" t="s">
        <v>366</v>
      </c>
      <c r="DOS324" s="26" t="s">
        <v>366</v>
      </c>
      <c r="DOT324" s="26" t="s">
        <v>366</v>
      </c>
      <c r="DOU324" s="26" t="s">
        <v>366</v>
      </c>
      <c r="DOV324" s="26" t="s">
        <v>366</v>
      </c>
      <c r="DOW324" s="26" t="s">
        <v>366</v>
      </c>
      <c r="DOX324" s="26" t="s">
        <v>366</v>
      </c>
      <c r="DOY324" s="26" t="s">
        <v>366</v>
      </c>
      <c r="DOZ324" s="26" t="s">
        <v>366</v>
      </c>
      <c r="DPA324" s="26" t="s">
        <v>366</v>
      </c>
      <c r="DPB324" s="26" t="s">
        <v>366</v>
      </c>
      <c r="DPC324" s="26" t="s">
        <v>366</v>
      </c>
      <c r="DPD324" s="26" t="s">
        <v>366</v>
      </c>
      <c r="DPE324" s="26" t="s">
        <v>366</v>
      </c>
      <c r="DPF324" s="26" t="s">
        <v>366</v>
      </c>
      <c r="DPG324" s="26" t="s">
        <v>366</v>
      </c>
      <c r="DPH324" s="26" t="s">
        <v>366</v>
      </c>
      <c r="DPI324" s="26" t="s">
        <v>366</v>
      </c>
      <c r="DPJ324" s="26" t="s">
        <v>366</v>
      </c>
      <c r="DPK324" s="26" t="s">
        <v>366</v>
      </c>
      <c r="DPL324" s="26" t="s">
        <v>366</v>
      </c>
      <c r="DPM324" s="26" t="s">
        <v>366</v>
      </c>
      <c r="DPN324" s="26" t="s">
        <v>366</v>
      </c>
      <c r="DPO324" s="26" t="s">
        <v>366</v>
      </c>
      <c r="DPP324" s="26" t="s">
        <v>366</v>
      </c>
      <c r="DPQ324" s="26" t="s">
        <v>366</v>
      </c>
      <c r="DPR324" s="26" t="s">
        <v>366</v>
      </c>
      <c r="DPS324" s="26" t="s">
        <v>366</v>
      </c>
      <c r="DPT324" s="26" t="s">
        <v>366</v>
      </c>
      <c r="DPU324" s="26" t="s">
        <v>366</v>
      </c>
      <c r="DPV324" s="26" t="s">
        <v>366</v>
      </c>
      <c r="DPW324" s="26" t="s">
        <v>366</v>
      </c>
      <c r="DPX324" s="26" t="s">
        <v>366</v>
      </c>
      <c r="DPY324" s="26" t="s">
        <v>366</v>
      </c>
      <c r="DPZ324" s="26" t="s">
        <v>366</v>
      </c>
      <c r="DQA324" s="26" t="s">
        <v>366</v>
      </c>
      <c r="DQB324" s="26" t="s">
        <v>366</v>
      </c>
      <c r="DQC324" s="26" t="s">
        <v>366</v>
      </c>
      <c r="DQD324" s="26" t="s">
        <v>366</v>
      </c>
      <c r="DQE324" s="26" t="s">
        <v>366</v>
      </c>
      <c r="DQF324" s="26" t="s">
        <v>366</v>
      </c>
      <c r="DQG324" s="26" t="s">
        <v>366</v>
      </c>
      <c r="DQH324" s="26" t="s">
        <v>366</v>
      </c>
      <c r="DQI324" s="26" t="s">
        <v>366</v>
      </c>
      <c r="DQJ324" s="26" t="s">
        <v>366</v>
      </c>
      <c r="DQK324" s="26" t="s">
        <v>366</v>
      </c>
      <c r="DQL324" s="26" t="s">
        <v>366</v>
      </c>
      <c r="DQM324" s="26" t="s">
        <v>366</v>
      </c>
      <c r="DQN324" s="26" t="s">
        <v>366</v>
      </c>
      <c r="DQO324" s="26" t="s">
        <v>366</v>
      </c>
      <c r="DQP324" s="26" t="s">
        <v>366</v>
      </c>
      <c r="DQQ324" s="26" t="s">
        <v>366</v>
      </c>
      <c r="DQR324" s="26" t="s">
        <v>366</v>
      </c>
      <c r="DQS324" s="26" t="s">
        <v>366</v>
      </c>
      <c r="DQT324" s="26" t="s">
        <v>366</v>
      </c>
      <c r="DQU324" s="26" t="s">
        <v>366</v>
      </c>
      <c r="DQV324" s="26" t="s">
        <v>366</v>
      </c>
      <c r="DQW324" s="26" t="s">
        <v>366</v>
      </c>
      <c r="DQX324" s="26" t="s">
        <v>366</v>
      </c>
      <c r="DQY324" s="26" t="s">
        <v>366</v>
      </c>
      <c r="DQZ324" s="26" t="s">
        <v>366</v>
      </c>
      <c r="DRA324" s="26" t="s">
        <v>366</v>
      </c>
      <c r="DRB324" s="26" t="s">
        <v>366</v>
      </c>
      <c r="DRC324" s="26" t="s">
        <v>366</v>
      </c>
      <c r="DRD324" s="26" t="s">
        <v>366</v>
      </c>
      <c r="DRE324" s="26" t="s">
        <v>366</v>
      </c>
      <c r="DRF324" s="26" t="s">
        <v>366</v>
      </c>
      <c r="DRG324" s="26" t="s">
        <v>366</v>
      </c>
      <c r="DRH324" s="26" t="s">
        <v>366</v>
      </c>
      <c r="DRI324" s="26" t="s">
        <v>366</v>
      </c>
      <c r="DRJ324" s="26" t="s">
        <v>366</v>
      </c>
      <c r="DRK324" s="26" t="s">
        <v>366</v>
      </c>
      <c r="DRL324" s="26" t="s">
        <v>366</v>
      </c>
      <c r="DRM324" s="26" t="s">
        <v>366</v>
      </c>
      <c r="DRN324" s="26" t="s">
        <v>366</v>
      </c>
      <c r="DRO324" s="26" t="s">
        <v>366</v>
      </c>
      <c r="DRP324" s="26" t="s">
        <v>366</v>
      </c>
      <c r="DRQ324" s="26" t="s">
        <v>366</v>
      </c>
      <c r="DRR324" s="26" t="s">
        <v>366</v>
      </c>
      <c r="DRS324" s="26" t="s">
        <v>366</v>
      </c>
      <c r="DRT324" s="26" t="s">
        <v>366</v>
      </c>
      <c r="DRU324" s="26" t="s">
        <v>366</v>
      </c>
      <c r="DRV324" s="26" t="s">
        <v>366</v>
      </c>
      <c r="DRW324" s="26" t="s">
        <v>366</v>
      </c>
      <c r="DRX324" s="26" t="s">
        <v>366</v>
      </c>
      <c r="DRY324" s="26" t="s">
        <v>366</v>
      </c>
      <c r="DRZ324" s="26" t="s">
        <v>366</v>
      </c>
      <c r="DSA324" s="26" t="s">
        <v>366</v>
      </c>
      <c r="DSB324" s="26" t="s">
        <v>366</v>
      </c>
      <c r="DSC324" s="26" t="s">
        <v>366</v>
      </c>
      <c r="DSD324" s="26" t="s">
        <v>366</v>
      </c>
      <c r="DSE324" s="26" t="s">
        <v>366</v>
      </c>
      <c r="DSF324" s="26" t="s">
        <v>366</v>
      </c>
      <c r="DSG324" s="26" t="s">
        <v>366</v>
      </c>
      <c r="DSH324" s="26" t="s">
        <v>366</v>
      </c>
      <c r="DSI324" s="26" t="s">
        <v>366</v>
      </c>
      <c r="DSJ324" s="26" t="s">
        <v>366</v>
      </c>
      <c r="DSK324" s="26" t="s">
        <v>366</v>
      </c>
      <c r="DSL324" s="26" t="s">
        <v>366</v>
      </c>
      <c r="DSM324" s="26" t="s">
        <v>366</v>
      </c>
      <c r="DSN324" s="26" t="s">
        <v>366</v>
      </c>
      <c r="DSO324" s="26" t="s">
        <v>366</v>
      </c>
      <c r="DSP324" s="26" t="s">
        <v>366</v>
      </c>
      <c r="DSQ324" s="26" t="s">
        <v>366</v>
      </c>
      <c r="DSR324" s="26" t="s">
        <v>366</v>
      </c>
      <c r="DSS324" s="26" t="s">
        <v>366</v>
      </c>
      <c r="DST324" s="26" t="s">
        <v>366</v>
      </c>
      <c r="DSU324" s="26" t="s">
        <v>366</v>
      </c>
      <c r="DSV324" s="26" t="s">
        <v>366</v>
      </c>
      <c r="DSW324" s="26" t="s">
        <v>366</v>
      </c>
      <c r="DSX324" s="26" t="s">
        <v>366</v>
      </c>
      <c r="DSY324" s="26" t="s">
        <v>366</v>
      </c>
      <c r="DSZ324" s="26" t="s">
        <v>366</v>
      </c>
      <c r="DTA324" s="26" t="s">
        <v>366</v>
      </c>
      <c r="DTB324" s="26" t="s">
        <v>366</v>
      </c>
      <c r="DTC324" s="26" t="s">
        <v>366</v>
      </c>
      <c r="DTD324" s="26" t="s">
        <v>366</v>
      </c>
      <c r="DTE324" s="26" t="s">
        <v>366</v>
      </c>
      <c r="DTF324" s="26" t="s">
        <v>366</v>
      </c>
      <c r="DTG324" s="26" t="s">
        <v>366</v>
      </c>
      <c r="DTH324" s="26" t="s">
        <v>366</v>
      </c>
      <c r="DTI324" s="26" t="s">
        <v>366</v>
      </c>
      <c r="DTJ324" s="26" t="s">
        <v>366</v>
      </c>
      <c r="DTK324" s="26" t="s">
        <v>366</v>
      </c>
      <c r="DTL324" s="26" t="s">
        <v>366</v>
      </c>
      <c r="DTM324" s="26" t="s">
        <v>366</v>
      </c>
      <c r="DTN324" s="26" t="s">
        <v>366</v>
      </c>
      <c r="DTO324" s="26" t="s">
        <v>366</v>
      </c>
      <c r="DTP324" s="26" t="s">
        <v>366</v>
      </c>
      <c r="DTQ324" s="26" t="s">
        <v>366</v>
      </c>
      <c r="DTR324" s="26" t="s">
        <v>366</v>
      </c>
      <c r="DTS324" s="26" t="s">
        <v>366</v>
      </c>
      <c r="DTT324" s="26" t="s">
        <v>366</v>
      </c>
      <c r="DTU324" s="26" t="s">
        <v>366</v>
      </c>
      <c r="DTV324" s="26" t="s">
        <v>366</v>
      </c>
      <c r="DTW324" s="26" t="s">
        <v>366</v>
      </c>
      <c r="DTX324" s="26" t="s">
        <v>366</v>
      </c>
      <c r="DTY324" s="26" t="s">
        <v>366</v>
      </c>
      <c r="DTZ324" s="26" t="s">
        <v>366</v>
      </c>
      <c r="DUA324" s="26" t="s">
        <v>366</v>
      </c>
      <c r="DUB324" s="26" t="s">
        <v>366</v>
      </c>
      <c r="DUC324" s="26" t="s">
        <v>366</v>
      </c>
      <c r="DUD324" s="26" t="s">
        <v>366</v>
      </c>
      <c r="DUE324" s="26" t="s">
        <v>366</v>
      </c>
      <c r="DUF324" s="26" t="s">
        <v>366</v>
      </c>
      <c r="DUG324" s="26" t="s">
        <v>366</v>
      </c>
      <c r="DUH324" s="26" t="s">
        <v>366</v>
      </c>
      <c r="DUI324" s="26" t="s">
        <v>366</v>
      </c>
      <c r="DUJ324" s="26" t="s">
        <v>366</v>
      </c>
      <c r="DUK324" s="26" t="s">
        <v>366</v>
      </c>
      <c r="DUL324" s="26" t="s">
        <v>366</v>
      </c>
      <c r="DUM324" s="26" t="s">
        <v>366</v>
      </c>
      <c r="DUN324" s="26" t="s">
        <v>366</v>
      </c>
      <c r="DUO324" s="26" t="s">
        <v>366</v>
      </c>
      <c r="DUP324" s="26" t="s">
        <v>366</v>
      </c>
      <c r="DUQ324" s="26" t="s">
        <v>366</v>
      </c>
      <c r="DUR324" s="26" t="s">
        <v>366</v>
      </c>
      <c r="DUS324" s="26" t="s">
        <v>366</v>
      </c>
      <c r="DUT324" s="26" t="s">
        <v>366</v>
      </c>
      <c r="DUU324" s="26" t="s">
        <v>366</v>
      </c>
      <c r="DUV324" s="26" t="s">
        <v>366</v>
      </c>
      <c r="DUW324" s="26" t="s">
        <v>366</v>
      </c>
      <c r="DUX324" s="26" t="s">
        <v>366</v>
      </c>
      <c r="DUY324" s="26" t="s">
        <v>366</v>
      </c>
      <c r="DUZ324" s="26" t="s">
        <v>366</v>
      </c>
      <c r="DVA324" s="26" t="s">
        <v>366</v>
      </c>
      <c r="DVB324" s="26" t="s">
        <v>366</v>
      </c>
      <c r="DVC324" s="26" t="s">
        <v>366</v>
      </c>
      <c r="DVD324" s="26" t="s">
        <v>366</v>
      </c>
      <c r="DVE324" s="26" t="s">
        <v>366</v>
      </c>
      <c r="DVF324" s="26" t="s">
        <v>366</v>
      </c>
      <c r="DVG324" s="26" t="s">
        <v>366</v>
      </c>
      <c r="DVH324" s="26" t="s">
        <v>366</v>
      </c>
      <c r="DVI324" s="26" t="s">
        <v>366</v>
      </c>
      <c r="DVJ324" s="26" t="s">
        <v>366</v>
      </c>
      <c r="DVK324" s="26" t="s">
        <v>366</v>
      </c>
      <c r="DVL324" s="26" t="s">
        <v>366</v>
      </c>
      <c r="DVM324" s="26" t="s">
        <v>366</v>
      </c>
      <c r="DVN324" s="26" t="s">
        <v>366</v>
      </c>
      <c r="DVO324" s="26" t="s">
        <v>366</v>
      </c>
      <c r="DVP324" s="26" t="s">
        <v>366</v>
      </c>
      <c r="DVQ324" s="26" t="s">
        <v>366</v>
      </c>
      <c r="DVR324" s="26" t="s">
        <v>366</v>
      </c>
      <c r="DVS324" s="26" t="s">
        <v>366</v>
      </c>
      <c r="DVT324" s="26" t="s">
        <v>366</v>
      </c>
      <c r="DVU324" s="26" t="s">
        <v>366</v>
      </c>
      <c r="DVV324" s="26" t="s">
        <v>366</v>
      </c>
      <c r="DVW324" s="26" t="s">
        <v>366</v>
      </c>
      <c r="DVX324" s="26" t="s">
        <v>366</v>
      </c>
      <c r="DVY324" s="26" t="s">
        <v>366</v>
      </c>
      <c r="DVZ324" s="26" t="s">
        <v>366</v>
      </c>
      <c r="DWA324" s="26" t="s">
        <v>366</v>
      </c>
      <c r="DWB324" s="26" t="s">
        <v>366</v>
      </c>
      <c r="DWC324" s="26" t="s">
        <v>366</v>
      </c>
      <c r="DWD324" s="26" t="s">
        <v>366</v>
      </c>
      <c r="DWE324" s="26" t="s">
        <v>366</v>
      </c>
      <c r="DWF324" s="26" t="s">
        <v>366</v>
      </c>
      <c r="DWG324" s="26" t="s">
        <v>366</v>
      </c>
      <c r="DWH324" s="26" t="s">
        <v>366</v>
      </c>
      <c r="DWI324" s="26" t="s">
        <v>366</v>
      </c>
      <c r="DWJ324" s="26" t="s">
        <v>366</v>
      </c>
      <c r="DWK324" s="26" t="s">
        <v>366</v>
      </c>
      <c r="DWL324" s="26" t="s">
        <v>366</v>
      </c>
      <c r="DWM324" s="26" t="s">
        <v>366</v>
      </c>
      <c r="DWN324" s="26" t="s">
        <v>366</v>
      </c>
      <c r="DWO324" s="26" t="s">
        <v>366</v>
      </c>
      <c r="DWP324" s="26" t="s">
        <v>366</v>
      </c>
      <c r="DWQ324" s="26" t="s">
        <v>366</v>
      </c>
      <c r="DWR324" s="26" t="s">
        <v>366</v>
      </c>
      <c r="DWS324" s="26" t="s">
        <v>366</v>
      </c>
      <c r="DWT324" s="26" t="s">
        <v>366</v>
      </c>
      <c r="DWU324" s="26" t="s">
        <v>366</v>
      </c>
      <c r="DWV324" s="26" t="s">
        <v>366</v>
      </c>
      <c r="DWW324" s="26" t="s">
        <v>366</v>
      </c>
      <c r="DWX324" s="26" t="s">
        <v>366</v>
      </c>
      <c r="DWY324" s="26" t="s">
        <v>366</v>
      </c>
      <c r="DWZ324" s="26" t="s">
        <v>366</v>
      </c>
      <c r="DXA324" s="26" t="s">
        <v>366</v>
      </c>
      <c r="DXB324" s="26" t="s">
        <v>366</v>
      </c>
      <c r="DXC324" s="26" t="s">
        <v>366</v>
      </c>
      <c r="DXD324" s="26" t="s">
        <v>366</v>
      </c>
      <c r="DXE324" s="26" t="s">
        <v>366</v>
      </c>
      <c r="DXF324" s="26" t="s">
        <v>366</v>
      </c>
      <c r="DXG324" s="26" t="s">
        <v>366</v>
      </c>
      <c r="DXH324" s="26" t="s">
        <v>366</v>
      </c>
      <c r="DXI324" s="26" t="s">
        <v>366</v>
      </c>
      <c r="DXJ324" s="26" t="s">
        <v>366</v>
      </c>
      <c r="DXK324" s="26" t="s">
        <v>366</v>
      </c>
      <c r="DXL324" s="26" t="s">
        <v>366</v>
      </c>
      <c r="DXM324" s="26" t="s">
        <v>366</v>
      </c>
      <c r="DXN324" s="26" t="s">
        <v>366</v>
      </c>
      <c r="DXO324" s="26" t="s">
        <v>366</v>
      </c>
      <c r="DXP324" s="26" t="s">
        <v>366</v>
      </c>
      <c r="DXQ324" s="26" t="s">
        <v>366</v>
      </c>
      <c r="DXR324" s="26" t="s">
        <v>366</v>
      </c>
      <c r="DXS324" s="26" t="s">
        <v>366</v>
      </c>
      <c r="DXT324" s="26" t="s">
        <v>366</v>
      </c>
      <c r="DXU324" s="26" t="s">
        <v>366</v>
      </c>
      <c r="DXV324" s="26" t="s">
        <v>366</v>
      </c>
      <c r="DXW324" s="26" t="s">
        <v>366</v>
      </c>
      <c r="DXX324" s="26" t="s">
        <v>366</v>
      </c>
      <c r="DXY324" s="26" t="s">
        <v>366</v>
      </c>
      <c r="DXZ324" s="26" t="s">
        <v>366</v>
      </c>
      <c r="DYA324" s="26" t="s">
        <v>366</v>
      </c>
      <c r="DYB324" s="26" t="s">
        <v>366</v>
      </c>
      <c r="DYC324" s="26" t="s">
        <v>366</v>
      </c>
      <c r="DYD324" s="26" t="s">
        <v>366</v>
      </c>
      <c r="DYE324" s="26" t="s">
        <v>366</v>
      </c>
      <c r="DYF324" s="26" t="s">
        <v>366</v>
      </c>
      <c r="DYG324" s="26" t="s">
        <v>366</v>
      </c>
      <c r="DYH324" s="26" t="s">
        <v>366</v>
      </c>
      <c r="DYI324" s="26" t="s">
        <v>366</v>
      </c>
      <c r="DYJ324" s="26" t="s">
        <v>366</v>
      </c>
      <c r="DYK324" s="26" t="s">
        <v>366</v>
      </c>
      <c r="DYL324" s="26" t="s">
        <v>366</v>
      </c>
      <c r="DYM324" s="26" t="s">
        <v>366</v>
      </c>
      <c r="DYN324" s="26" t="s">
        <v>366</v>
      </c>
      <c r="DYO324" s="26" t="s">
        <v>366</v>
      </c>
      <c r="DYP324" s="26" t="s">
        <v>366</v>
      </c>
      <c r="DYQ324" s="26" t="s">
        <v>366</v>
      </c>
      <c r="DYR324" s="26" t="s">
        <v>366</v>
      </c>
      <c r="DYS324" s="26" t="s">
        <v>366</v>
      </c>
      <c r="DYT324" s="26" t="s">
        <v>366</v>
      </c>
      <c r="DYU324" s="26" t="s">
        <v>366</v>
      </c>
      <c r="DYV324" s="26" t="s">
        <v>366</v>
      </c>
      <c r="DYW324" s="26" t="s">
        <v>366</v>
      </c>
      <c r="DYX324" s="26" t="s">
        <v>366</v>
      </c>
      <c r="DYY324" s="26" t="s">
        <v>366</v>
      </c>
      <c r="DYZ324" s="26" t="s">
        <v>366</v>
      </c>
      <c r="DZA324" s="26" t="s">
        <v>366</v>
      </c>
      <c r="DZB324" s="26" t="s">
        <v>366</v>
      </c>
      <c r="DZC324" s="26" t="s">
        <v>366</v>
      </c>
      <c r="DZD324" s="26" t="s">
        <v>366</v>
      </c>
      <c r="DZE324" s="26" t="s">
        <v>366</v>
      </c>
      <c r="DZF324" s="26" t="s">
        <v>366</v>
      </c>
      <c r="DZG324" s="26" t="s">
        <v>366</v>
      </c>
      <c r="DZH324" s="26" t="s">
        <v>366</v>
      </c>
      <c r="DZI324" s="26" t="s">
        <v>366</v>
      </c>
      <c r="DZJ324" s="26" t="s">
        <v>366</v>
      </c>
      <c r="DZK324" s="26" t="s">
        <v>366</v>
      </c>
      <c r="DZL324" s="26" t="s">
        <v>366</v>
      </c>
      <c r="DZM324" s="26" t="s">
        <v>366</v>
      </c>
      <c r="DZN324" s="26" t="s">
        <v>366</v>
      </c>
      <c r="DZO324" s="26" t="s">
        <v>366</v>
      </c>
      <c r="DZP324" s="26" t="s">
        <v>366</v>
      </c>
      <c r="DZQ324" s="26" t="s">
        <v>366</v>
      </c>
      <c r="DZR324" s="26" t="s">
        <v>366</v>
      </c>
      <c r="DZS324" s="26" t="s">
        <v>366</v>
      </c>
      <c r="DZT324" s="26" t="s">
        <v>366</v>
      </c>
      <c r="DZU324" s="26" t="s">
        <v>366</v>
      </c>
      <c r="DZV324" s="26" t="s">
        <v>366</v>
      </c>
      <c r="DZW324" s="26" t="s">
        <v>366</v>
      </c>
      <c r="DZX324" s="26" t="s">
        <v>366</v>
      </c>
      <c r="DZY324" s="26" t="s">
        <v>366</v>
      </c>
      <c r="DZZ324" s="26" t="s">
        <v>366</v>
      </c>
      <c r="EAA324" s="26" t="s">
        <v>366</v>
      </c>
      <c r="EAB324" s="26" t="s">
        <v>366</v>
      </c>
      <c r="EAC324" s="26" t="s">
        <v>366</v>
      </c>
      <c r="EAD324" s="26" t="s">
        <v>366</v>
      </c>
      <c r="EAE324" s="26" t="s">
        <v>366</v>
      </c>
      <c r="EAF324" s="26" t="s">
        <v>366</v>
      </c>
      <c r="EAG324" s="26" t="s">
        <v>366</v>
      </c>
      <c r="EAH324" s="26" t="s">
        <v>366</v>
      </c>
      <c r="EAI324" s="26" t="s">
        <v>366</v>
      </c>
      <c r="EAJ324" s="26" t="s">
        <v>366</v>
      </c>
      <c r="EAK324" s="26" t="s">
        <v>366</v>
      </c>
      <c r="EAL324" s="26" t="s">
        <v>366</v>
      </c>
      <c r="EAM324" s="26" t="s">
        <v>366</v>
      </c>
      <c r="EAN324" s="26" t="s">
        <v>366</v>
      </c>
      <c r="EAO324" s="26" t="s">
        <v>366</v>
      </c>
      <c r="EAP324" s="26" t="s">
        <v>366</v>
      </c>
      <c r="EAQ324" s="26" t="s">
        <v>366</v>
      </c>
      <c r="EAR324" s="26" t="s">
        <v>366</v>
      </c>
      <c r="EAS324" s="26" t="s">
        <v>366</v>
      </c>
      <c r="EAT324" s="26" t="s">
        <v>366</v>
      </c>
      <c r="EAU324" s="26" t="s">
        <v>366</v>
      </c>
      <c r="EAV324" s="26" t="s">
        <v>366</v>
      </c>
      <c r="EAW324" s="26" t="s">
        <v>366</v>
      </c>
      <c r="EAX324" s="26" t="s">
        <v>366</v>
      </c>
      <c r="EAY324" s="26" t="s">
        <v>366</v>
      </c>
      <c r="EAZ324" s="26" t="s">
        <v>366</v>
      </c>
      <c r="EBA324" s="26" t="s">
        <v>366</v>
      </c>
      <c r="EBB324" s="26" t="s">
        <v>366</v>
      </c>
      <c r="EBC324" s="26" t="s">
        <v>366</v>
      </c>
      <c r="EBD324" s="26" t="s">
        <v>366</v>
      </c>
      <c r="EBE324" s="26" t="s">
        <v>366</v>
      </c>
      <c r="EBF324" s="26" t="s">
        <v>366</v>
      </c>
      <c r="EBG324" s="26" t="s">
        <v>366</v>
      </c>
      <c r="EBH324" s="26" t="s">
        <v>366</v>
      </c>
      <c r="EBI324" s="26" t="s">
        <v>366</v>
      </c>
      <c r="EBJ324" s="26" t="s">
        <v>366</v>
      </c>
      <c r="EBK324" s="26" t="s">
        <v>366</v>
      </c>
      <c r="EBL324" s="26" t="s">
        <v>366</v>
      </c>
      <c r="EBM324" s="26" t="s">
        <v>366</v>
      </c>
      <c r="EBN324" s="26" t="s">
        <v>366</v>
      </c>
      <c r="EBO324" s="26" t="s">
        <v>366</v>
      </c>
      <c r="EBP324" s="26" t="s">
        <v>366</v>
      </c>
      <c r="EBQ324" s="26" t="s">
        <v>366</v>
      </c>
      <c r="EBR324" s="26" t="s">
        <v>366</v>
      </c>
      <c r="EBS324" s="26" t="s">
        <v>366</v>
      </c>
      <c r="EBT324" s="26" t="s">
        <v>366</v>
      </c>
      <c r="EBU324" s="26" t="s">
        <v>366</v>
      </c>
      <c r="EBV324" s="26" t="s">
        <v>366</v>
      </c>
      <c r="EBW324" s="26" t="s">
        <v>366</v>
      </c>
      <c r="EBX324" s="26" t="s">
        <v>366</v>
      </c>
      <c r="EBY324" s="26" t="s">
        <v>366</v>
      </c>
      <c r="EBZ324" s="26" t="s">
        <v>366</v>
      </c>
      <c r="ECA324" s="26" t="s">
        <v>366</v>
      </c>
      <c r="ECB324" s="26" t="s">
        <v>366</v>
      </c>
      <c r="ECC324" s="26" t="s">
        <v>366</v>
      </c>
      <c r="ECD324" s="26" t="s">
        <v>366</v>
      </c>
      <c r="ECE324" s="26" t="s">
        <v>366</v>
      </c>
      <c r="ECF324" s="26" t="s">
        <v>366</v>
      </c>
      <c r="ECG324" s="26" t="s">
        <v>366</v>
      </c>
      <c r="ECH324" s="26" t="s">
        <v>366</v>
      </c>
      <c r="ECI324" s="26" t="s">
        <v>366</v>
      </c>
      <c r="ECJ324" s="26" t="s">
        <v>366</v>
      </c>
      <c r="ECK324" s="26" t="s">
        <v>366</v>
      </c>
      <c r="ECL324" s="26" t="s">
        <v>366</v>
      </c>
      <c r="ECM324" s="26" t="s">
        <v>366</v>
      </c>
      <c r="ECN324" s="26" t="s">
        <v>366</v>
      </c>
      <c r="ECO324" s="26" t="s">
        <v>366</v>
      </c>
      <c r="ECP324" s="26" t="s">
        <v>366</v>
      </c>
      <c r="ECQ324" s="26" t="s">
        <v>366</v>
      </c>
      <c r="ECR324" s="26" t="s">
        <v>366</v>
      </c>
      <c r="ECS324" s="26" t="s">
        <v>366</v>
      </c>
      <c r="ECT324" s="26" t="s">
        <v>366</v>
      </c>
      <c r="ECU324" s="26" t="s">
        <v>366</v>
      </c>
      <c r="ECV324" s="26" t="s">
        <v>366</v>
      </c>
      <c r="ECW324" s="26" t="s">
        <v>366</v>
      </c>
      <c r="ECX324" s="26" t="s">
        <v>366</v>
      </c>
      <c r="ECY324" s="26" t="s">
        <v>366</v>
      </c>
      <c r="ECZ324" s="26" t="s">
        <v>366</v>
      </c>
      <c r="EDA324" s="26" t="s">
        <v>366</v>
      </c>
      <c r="EDB324" s="26" t="s">
        <v>366</v>
      </c>
      <c r="EDC324" s="26" t="s">
        <v>366</v>
      </c>
      <c r="EDD324" s="26" t="s">
        <v>366</v>
      </c>
      <c r="EDE324" s="26" t="s">
        <v>366</v>
      </c>
      <c r="EDF324" s="26" t="s">
        <v>366</v>
      </c>
      <c r="EDG324" s="26" t="s">
        <v>366</v>
      </c>
      <c r="EDH324" s="26" t="s">
        <v>366</v>
      </c>
      <c r="EDI324" s="26" t="s">
        <v>366</v>
      </c>
      <c r="EDJ324" s="26" t="s">
        <v>366</v>
      </c>
      <c r="EDK324" s="26" t="s">
        <v>366</v>
      </c>
      <c r="EDL324" s="26" t="s">
        <v>366</v>
      </c>
      <c r="EDM324" s="26" t="s">
        <v>366</v>
      </c>
      <c r="EDN324" s="26" t="s">
        <v>366</v>
      </c>
      <c r="EDO324" s="26" t="s">
        <v>366</v>
      </c>
      <c r="EDP324" s="26" t="s">
        <v>366</v>
      </c>
      <c r="EDQ324" s="26" t="s">
        <v>366</v>
      </c>
      <c r="EDR324" s="26" t="s">
        <v>366</v>
      </c>
      <c r="EDS324" s="26" t="s">
        <v>366</v>
      </c>
      <c r="EDT324" s="26" t="s">
        <v>366</v>
      </c>
      <c r="EDU324" s="26" t="s">
        <v>366</v>
      </c>
      <c r="EDV324" s="26" t="s">
        <v>366</v>
      </c>
      <c r="EDW324" s="26" t="s">
        <v>366</v>
      </c>
      <c r="EDX324" s="26" t="s">
        <v>366</v>
      </c>
      <c r="EDY324" s="26" t="s">
        <v>366</v>
      </c>
      <c r="EDZ324" s="26" t="s">
        <v>366</v>
      </c>
      <c r="EEA324" s="26" t="s">
        <v>366</v>
      </c>
      <c r="EEB324" s="26" t="s">
        <v>366</v>
      </c>
      <c r="EEC324" s="26" t="s">
        <v>366</v>
      </c>
      <c r="EED324" s="26" t="s">
        <v>366</v>
      </c>
      <c r="EEE324" s="26" t="s">
        <v>366</v>
      </c>
      <c r="EEF324" s="26" t="s">
        <v>366</v>
      </c>
      <c r="EEG324" s="26" t="s">
        <v>366</v>
      </c>
      <c r="EEH324" s="26" t="s">
        <v>366</v>
      </c>
      <c r="EEI324" s="26" t="s">
        <v>366</v>
      </c>
      <c r="EEJ324" s="26" t="s">
        <v>366</v>
      </c>
      <c r="EEK324" s="26" t="s">
        <v>366</v>
      </c>
      <c r="EEL324" s="26" t="s">
        <v>366</v>
      </c>
      <c r="EEM324" s="26" t="s">
        <v>366</v>
      </c>
      <c r="EEN324" s="26" t="s">
        <v>366</v>
      </c>
      <c r="EEO324" s="26" t="s">
        <v>366</v>
      </c>
      <c r="EEP324" s="26" t="s">
        <v>366</v>
      </c>
      <c r="EEQ324" s="26" t="s">
        <v>366</v>
      </c>
      <c r="EER324" s="26" t="s">
        <v>366</v>
      </c>
      <c r="EES324" s="26" t="s">
        <v>366</v>
      </c>
      <c r="EET324" s="26" t="s">
        <v>366</v>
      </c>
      <c r="EEU324" s="26" t="s">
        <v>366</v>
      </c>
      <c r="EEV324" s="26" t="s">
        <v>366</v>
      </c>
      <c r="EEW324" s="26" t="s">
        <v>366</v>
      </c>
      <c r="EEX324" s="26" t="s">
        <v>366</v>
      </c>
      <c r="EEY324" s="26" t="s">
        <v>366</v>
      </c>
      <c r="EEZ324" s="26" t="s">
        <v>366</v>
      </c>
      <c r="EFA324" s="26" t="s">
        <v>366</v>
      </c>
      <c r="EFB324" s="26" t="s">
        <v>366</v>
      </c>
      <c r="EFC324" s="26" t="s">
        <v>366</v>
      </c>
      <c r="EFD324" s="26" t="s">
        <v>366</v>
      </c>
      <c r="EFE324" s="26" t="s">
        <v>366</v>
      </c>
      <c r="EFF324" s="26" t="s">
        <v>366</v>
      </c>
      <c r="EFG324" s="26" t="s">
        <v>366</v>
      </c>
      <c r="EFH324" s="26" t="s">
        <v>366</v>
      </c>
      <c r="EFI324" s="26" t="s">
        <v>366</v>
      </c>
      <c r="EFJ324" s="26" t="s">
        <v>366</v>
      </c>
      <c r="EFK324" s="26" t="s">
        <v>366</v>
      </c>
      <c r="EFL324" s="26" t="s">
        <v>366</v>
      </c>
      <c r="EFM324" s="26" t="s">
        <v>366</v>
      </c>
      <c r="EFN324" s="26" t="s">
        <v>366</v>
      </c>
      <c r="EFO324" s="26" t="s">
        <v>366</v>
      </c>
      <c r="EFP324" s="26" t="s">
        <v>366</v>
      </c>
      <c r="EFQ324" s="26" t="s">
        <v>366</v>
      </c>
      <c r="EFR324" s="26" t="s">
        <v>366</v>
      </c>
      <c r="EFS324" s="26" t="s">
        <v>366</v>
      </c>
      <c r="EFT324" s="26" t="s">
        <v>366</v>
      </c>
      <c r="EFU324" s="26" t="s">
        <v>366</v>
      </c>
      <c r="EFV324" s="26" t="s">
        <v>366</v>
      </c>
      <c r="EFW324" s="26" t="s">
        <v>366</v>
      </c>
      <c r="EFX324" s="26" t="s">
        <v>366</v>
      </c>
      <c r="EFY324" s="26" t="s">
        <v>366</v>
      </c>
      <c r="EFZ324" s="26" t="s">
        <v>366</v>
      </c>
      <c r="EGA324" s="26" t="s">
        <v>366</v>
      </c>
      <c r="EGB324" s="26" t="s">
        <v>366</v>
      </c>
      <c r="EGC324" s="26" t="s">
        <v>366</v>
      </c>
      <c r="EGD324" s="26" t="s">
        <v>366</v>
      </c>
      <c r="EGE324" s="26" t="s">
        <v>366</v>
      </c>
      <c r="EGF324" s="26" t="s">
        <v>366</v>
      </c>
      <c r="EGG324" s="26" t="s">
        <v>366</v>
      </c>
      <c r="EGH324" s="26" t="s">
        <v>366</v>
      </c>
      <c r="EGI324" s="26" t="s">
        <v>366</v>
      </c>
      <c r="EGJ324" s="26" t="s">
        <v>366</v>
      </c>
      <c r="EGK324" s="26" t="s">
        <v>366</v>
      </c>
      <c r="EGL324" s="26" t="s">
        <v>366</v>
      </c>
      <c r="EGM324" s="26" t="s">
        <v>366</v>
      </c>
      <c r="EGN324" s="26" t="s">
        <v>366</v>
      </c>
      <c r="EGO324" s="26" t="s">
        <v>366</v>
      </c>
      <c r="EGP324" s="26" t="s">
        <v>366</v>
      </c>
      <c r="EGQ324" s="26" t="s">
        <v>366</v>
      </c>
      <c r="EGR324" s="26" t="s">
        <v>366</v>
      </c>
      <c r="EGS324" s="26" t="s">
        <v>366</v>
      </c>
      <c r="EGT324" s="26" t="s">
        <v>366</v>
      </c>
      <c r="EGU324" s="26" t="s">
        <v>366</v>
      </c>
      <c r="EGV324" s="26" t="s">
        <v>366</v>
      </c>
      <c r="EGW324" s="26" t="s">
        <v>366</v>
      </c>
      <c r="EGX324" s="26" t="s">
        <v>366</v>
      </c>
      <c r="EGY324" s="26" t="s">
        <v>366</v>
      </c>
      <c r="EGZ324" s="26" t="s">
        <v>366</v>
      </c>
      <c r="EHA324" s="26" t="s">
        <v>366</v>
      </c>
      <c r="EHB324" s="26" t="s">
        <v>366</v>
      </c>
      <c r="EHC324" s="26" t="s">
        <v>366</v>
      </c>
      <c r="EHD324" s="26" t="s">
        <v>366</v>
      </c>
      <c r="EHE324" s="26" t="s">
        <v>366</v>
      </c>
      <c r="EHF324" s="26" t="s">
        <v>366</v>
      </c>
      <c r="EHG324" s="26" t="s">
        <v>366</v>
      </c>
      <c r="EHH324" s="26" t="s">
        <v>366</v>
      </c>
      <c r="EHI324" s="26" t="s">
        <v>366</v>
      </c>
      <c r="EHJ324" s="26" t="s">
        <v>366</v>
      </c>
      <c r="EHK324" s="26" t="s">
        <v>366</v>
      </c>
      <c r="EHL324" s="26" t="s">
        <v>366</v>
      </c>
      <c r="EHM324" s="26" t="s">
        <v>366</v>
      </c>
      <c r="EHN324" s="26" t="s">
        <v>366</v>
      </c>
      <c r="EHO324" s="26" t="s">
        <v>366</v>
      </c>
      <c r="EHP324" s="26" t="s">
        <v>366</v>
      </c>
      <c r="EHQ324" s="26" t="s">
        <v>366</v>
      </c>
      <c r="EHR324" s="26" t="s">
        <v>366</v>
      </c>
      <c r="EHS324" s="26" t="s">
        <v>366</v>
      </c>
      <c r="EHT324" s="26" t="s">
        <v>366</v>
      </c>
      <c r="EHU324" s="26" t="s">
        <v>366</v>
      </c>
      <c r="EHV324" s="26" t="s">
        <v>366</v>
      </c>
      <c r="EHW324" s="26" t="s">
        <v>366</v>
      </c>
      <c r="EHX324" s="26" t="s">
        <v>366</v>
      </c>
      <c r="EHY324" s="26" t="s">
        <v>366</v>
      </c>
      <c r="EHZ324" s="26" t="s">
        <v>366</v>
      </c>
      <c r="EIA324" s="26" t="s">
        <v>366</v>
      </c>
      <c r="EIB324" s="26" t="s">
        <v>366</v>
      </c>
      <c r="EIC324" s="26" t="s">
        <v>366</v>
      </c>
      <c r="EID324" s="26" t="s">
        <v>366</v>
      </c>
      <c r="EIE324" s="26" t="s">
        <v>366</v>
      </c>
      <c r="EIF324" s="26" t="s">
        <v>366</v>
      </c>
      <c r="EIG324" s="26" t="s">
        <v>366</v>
      </c>
      <c r="EIH324" s="26" t="s">
        <v>366</v>
      </c>
      <c r="EII324" s="26" t="s">
        <v>366</v>
      </c>
      <c r="EIJ324" s="26" t="s">
        <v>366</v>
      </c>
      <c r="EIK324" s="26" t="s">
        <v>366</v>
      </c>
      <c r="EIL324" s="26" t="s">
        <v>366</v>
      </c>
      <c r="EIM324" s="26" t="s">
        <v>366</v>
      </c>
      <c r="EIN324" s="26" t="s">
        <v>366</v>
      </c>
      <c r="EIO324" s="26" t="s">
        <v>366</v>
      </c>
      <c r="EIP324" s="26" t="s">
        <v>366</v>
      </c>
      <c r="EIQ324" s="26" t="s">
        <v>366</v>
      </c>
      <c r="EIR324" s="26" t="s">
        <v>366</v>
      </c>
      <c r="EIS324" s="26" t="s">
        <v>366</v>
      </c>
      <c r="EIT324" s="26" t="s">
        <v>366</v>
      </c>
      <c r="EIU324" s="26" t="s">
        <v>366</v>
      </c>
      <c r="EIV324" s="26" t="s">
        <v>366</v>
      </c>
      <c r="EIW324" s="26" t="s">
        <v>366</v>
      </c>
      <c r="EIX324" s="26" t="s">
        <v>366</v>
      </c>
      <c r="EIY324" s="26" t="s">
        <v>366</v>
      </c>
      <c r="EIZ324" s="26" t="s">
        <v>366</v>
      </c>
      <c r="EJA324" s="26" t="s">
        <v>366</v>
      </c>
      <c r="EJB324" s="26" t="s">
        <v>366</v>
      </c>
      <c r="EJC324" s="26" t="s">
        <v>366</v>
      </c>
      <c r="EJD324" s="26" t="s">
        <v>366</v>
      </c>
      <c r="EJE324" s="26" t="s">
        <v>366</v>
      </c>
      <c r="EJF324" s="26" t="s">
        <v>366</v>
      </c>
      <c r="EJG324" s="26" t="s">
        <v>366</v>
      </c>
      <c r="EJH324" s="26" t="s">
        <v>366</v>
      </c>
      <c r="EJI324" s="26" t="s">
        <v>366</v>
      </c>
      <c r="EJJ324" s="26" t="s">
        <v>366</v>
      </c>
      <c r="EJK324" s="26" t="s">
        <v>366</v>
      </c>
      <c r="EJL324" s="26" t="s">
        <v>366</v>
      </c>
      <c r="EJM324" s="26" t="s">
        <v>366</v>
      </c>
      <c r="EJN324" s="26" t="s">
        <v>366</v>
      </c>
      <c r="EJO324" s="26" t="s">
        <v>366</v>
      </c>
      <c r="EJP324" s="26" t="s">
        <v>366</v>
      </c>
      <c r="EJQ324" s="26" t="s">
        <v>366</v>
      </c>
      <c r="EJR324" s="26" t="s">
        <v>366</v>
      </c>
      <c r="EJS324" s="26" t="s">
        <v>366</v>
      </c>
      <c r="EJT324" s="26" t="s">
        <v>366</v>
      </c>
      <c r="EJU324" s="26" t="s">
        <v>366</v>
      </c>
      <c r="EJV324" s="26" t="s">
        <v>366</v>
      </c>
      <c r="EJW324" s="26" t="s">
        <v>366</v>
      </c>
      <c r="EJX324" s="26" t="s">
        <v>366</v>
      </c>
      <c r="EJY324" s="26" t="s">
        <v>366</v>
      </c>
      <c r="EJZ324" s="26" t="s">
        <v>366</v>
      </c>
      <c r="EKA324" s="26" t="s">
        <v>366</v>
      </c>
      <c r="EKB324" s="26" t="s">
        <v>366</v>
      </c>
      <c r="EKC324" s="26" t="s">
        <v>366</v>
      </c>
      <c r="EKD324" s="26" t="s">
        <v>366</v>
      </c>
      <c r="EKE324" s="26" t="s">
        <v>366</v>
      </c>
      <c r="EKF324" s="26" t="s">
        <v>366</v>
      </c>
      <c r="EKG324" s="26" t="s">
        <v>366</v>
      </c>
      <c r="EKH324" s="26" t="s">
        <v>366</v>
      </c>
      <c r="EKI324" s="26" t="s">
        <v>366</v>
      </c>
      <c r="EKJ324" s="26" t="s">
        <v>366</v>
      </c>
      <c r="EKK324" s="26" t="s">
        <v>366</v>
      </c>
      <c r="EKL324" s="26" t="s">
        <v>366</v>
      </c>
      <c r="EKM324" s="26" t="s">
        <v>366</v>
      </c>
      <c r="EKN324" s="26" t="s">
        <v>366</v>
      </c>
      <c r="EKO324" s="26" t="s">
        <v>366</v>
      </c>
      <c r="EKP324" s="26" t="s">
        <v>366</v>
      </c>
      <c r="EKQ324" s="26" t="s">
        <v>366</v>
      </c>
      <c r="EKR324" s="26" t="s">
        <v>366</v>
      </c>
      <c r="EKS324" s="26" t="s">
        <v>366</v>
      </c>
      <c r="EKT324" s="26" t="s">
        <v>366</v>
      </c>
      <c r="EKU324" s="26" t="s">
        <v>366</v>
      </c>
      <c r="EKV324" s="26" t="s">
        <v>366</v>
      </c>
      <c r="EKW324" s="26" t="s">
        <v>366</v>
      </c>
      <c r="EKX324" s="26" t="s">
        <v>366</v>
      </c>
      <c r="EKY324" s="26" t="s">
        <v>366</v>
      </c>
      <c r="EKZ324" s="26" t="s">
        <v>366</v>
      </c>
      <c r="ELA324" s="26" t="s">
        <v>366</v>
      </c>
      <c r="ELB324" s="26" t="s">
        <v>366</v>
      </c>
      <c r="ELC324" s="26" t="s">
        <v>366</v>
      </c>
      <c r="ELD324" s="26" t="s">
        <v>366</v>
      </c>
      <c r="ELE324" s="26" t="s">
        <v>366</v>
      </c>
      <c r="ELF324" s="26" t="s">
        <v>366</v>
      </c>
      <c r="ELG324" s="26" t="s">
        <v>366</v>
      </c>
      <c r="ELH324" s="26" t="s">
        <v>366</v>
      </c>
      <c r="ELI324" s="26" t="s">
        <v>366</v>
      </c>
      <c r="ELJ324" s="26" t="s">
        <v>366</v>
      </c>
      <c r="ELK324" s="26" t="s">
        <v>366</v>
      </c>
      <c r="ELL324" s="26" t="s">
        <v>366</v>
      </c>
      <c r="ELM324" s="26" t="s">
        <v>366</v>
      </c>
      <c r="ELN324" s="26" t="s">
        <v>366</v>
      </c>
      <c r="ELO324" s="26" t="s">
        <v>366</v>
      </c>
      <c r="ELP324" s="26" t="s">
        <v>366</v>
      </c>
      <c r="ELQ324" s="26" t="s">
        <v>366</v>
      </c>
      <c r="ELR324" s="26" t="s">
        <v>366</v>
      </c>
      <c r="ELS324" s="26" t="s">
        <v>366</v>
      </c>
      <c r="ELT324" s="26" t="s">
        <v>366</v>
      </c>
      <c r="ELU324" s="26" t="s">
        <v>366</v>
      </c>
      <c r="ELV324" s="26" t="s">
        <v>366</v>
      </c>
      <c r="ELW324" s="26" t="s">
        <v>366</v>
      </c>
      <c r="ELX324" s="26" t="s">
        <v>366</v>
      </c>
      <c r="ELY324" s="26" t="s">
        <v>366</v>
      </c>
      <c r="ELZ324" s="26" t="s">
        <v>366</v>
      </c>
      <c r="EMA324" s="26" t="s">
        <v>366</v>
      </c>
      <c r="EMB324" s="26" t="s">
        <v>366</v>
      </c>
      <c r="EMC324" s="26" t="s">
        <v>366</v>
      </c>
      <c r="EMD324" s="26" t="s">
        <v>366</v>
      </c>
      <c r="EME324" s="26" t="s">
        <v>366</v>
      </c>
      <c r="EMF324" s="26" t="s">
        <v>366</v>
      </c>
      <c r="EMG324" s="26" t="s">
        <v>366</v>
      </c>
      <c r="EMH324" s="26" t="s">
        <v>366</v>
      </c>
      <c r="EMI324" s="26" t="s">
        <v>366</v>
      </c>
      <c r="EMJ324" s="26" t="s">
        <v>366</v>
      </c>
      <c r="EMK324" s="26" t="s">
        <v>366</v>
      </c>
      <c r="EML324" s="26" t="s">
        <v>366</v>
      </c>
      <c r="EMM324" s="26" t="s">
        <v>366</v>
      </c>
      <c r="EMN324" s="26" t="s">
        <v>366</v>
      </c>
      <c r="EMO324" s="26" t="s">
        <v>366</v>
      </c>
      <c r="EMP324" s="26" t="s">
        <v>366</v>
      </c>
      <c r="EMQ324" s="26" t="s">
        <v>366</v>
      </c>
      <c r="EMR324" s="26" t="s">
        <v>366</v>
      </c>
      <c r="EMS324" s="26" t="s">
        <v>366</v>
      </c>
      <c r="EMT324" s="26" t="s">
        <v>366</v>
      </c>
      <c r="EMU324" s="26" t="s">
        <v>366</v>
      </c>
      <c r="EMV324" s="26" t="s">
        <v>366</v>
      </c>
      <c r="EMW324" s="26" t="s">
        <v>366</v>
      </c>
      <c r="EMX324" s="26" t="s">
        <v>366</v>
      </c>
      <c r="EMY324" s="26" t="s">
        <v>366</v>
      </c>
      <c r="EMZ324" s="26" t="s">
        <v>366</v>
      </c>
      <c r="ENA324" s="26" t="s">
        <v>366</v>
      </c>
      <c r="ENB324" s="26" t="s">
        <v>366</v>
      </c>
      <c r="ENC324" s="26" t="s">
        <v>366</v>
      </c>
      <c r="END324" s="26" t="s">
        <v>366</v>
      </c>
      <c r="ENE324" s="26" t="s">
        <v>366</v>
      </c>
      <c r="ENF324" s="26" t="s">
        <v>366</v>
      </c>
      <c r="ENG324" s="26" t="s">
        <v>366</v>
      </c>
      <c r="ENH324" s="26" t="s">
        <v>366</v>
      </c>
      <c r="ENI324" s="26" t="s">
        <v>366</v>
      </c>
      <c r="ENJ324" s="26" t="s">
        <v>366</v>
      </c>
      <c r="ENK324" s="26" t="s">
        <v>366</v>
      </c>
      <c r="ENL324" s="26" t="s">
        <v>366</v>
      </c>
      <c r="ENM324" s="26" t="s">
        <v>366</v>
      </c>
      <c r="ENN324" s="26" t="s">
        <v>366</v>
      </c>
      <c r="ENO324" s="26" t="s">
        <v>366</v>
      </c>
      <c r="ENP324" s="26" t="s">
        <v>366</v>
      </c>
      <c r="ENQ324" s="26" t="s">
        <v>366</v>
      </c>
      <c r="ENR324" s="26" t="s">
        <v>366</v>
      </c>
      <c r="ENS324" s="26" t="s">
        <v>366</v>
      </c>
      <c r="ENT324" s="26" t="s">
        <v>366</v>
      </c>
      <c r="ENU324" s="26" t="s">
        <v>366</v>
      </c>
      <c r="ENV324" s="26" t="s">
        <v>366</v>
      </c>
      <c r="ENW324" s="26" t="s">
        <v>366</v>
      </c>
      <c r="ENX324" s="26" t="s">
        <v>366</v>
      </c>
      <c r="ENY324" s="26" t="s">
        <v>366</v>
      </c>
      <c r="ENZ324" s="26" t="s">
        <v>366</v>
      </c>
      <c r="EOA324" s="26" t="s">
        <v>366</v>
      </c>
      <c r="EOB324" s="26" t="s">
        <v>366</v>
      </c>
      <c r="EOC324" s="26" t="s">
        <v>366</v>
      </c>
      <c r="EOD324" s="26" t="s">
        <v>366</v>
      </c>
      <c r="EOE324" s="26" t="s">
        <v>366</v>
      </c>
      <c r="EOF324" s="26" t="s">
        <v>366</v>
      </c>
      <c r="EOG324" s="26" t="s">
        <v>366</v>
      </c>
      <c r="EOH324" s="26" t="s">
        <v>366</v>
      </c>
      <c r="EOI324" s="26" t="s">
        <v>366</v>
      </c>
      <c r="EOJ324" s="26" t="s">
        <v>366</v>
      </c>
      <c r="EOK324" s="26" t="s">
        <v>366</v>
      </c>
      <c r="EOL324" s="26" t="s">
        <v>366</v>
      </c>
      <c r="EOM324" s="26" t="s">
        <v>366</v>
      </c>
      <c r="EON324" s="26" t="s">
        <v>366</v>
      </c>
      <c r="EOO324" s="26" t="s">
        <v>366</v>
      </c>
      <c r="EOP324" s="26" t="s">
        <v>366</v>
      </c>
      <c r="EOQ324" s="26" t="s">
        <v>366</v>
      </c>
      <c r="EOR324" s="26" t="s">
        <v>366</v>
      </c>
      <c r="EOS324" s="26" t="s">
        <v>366</v>
      </c>
      <c r="EOT324" s="26" t="s">
        <v>366</v>
      </c>
      <c r="EOU324" s="26" t="s">
        <v>366</v>
      </c>
      <c r="EOV324" s="26" t="s">
        <v>366</v>
      </c>
      <c r="EOW324" s="26" t="s">
        <v>366</v>
      </c>
      <c r="EOX324" s="26" t="s">
        <v>366</v>
      </c>
      <c r="EOY324" s="26" t="s">
        <v>366</v>
      </c>
      <c r="EOZ324" s="26" t="s">
        <v>366</v>
      </c>
      <c r="EPA324" s="26" t="s">
        <v>366</v>
      </c>
      <c r="EPB324" s="26" t="s">
        <v>366</v>
      </c>
      <c r="EPC324" s="26" t="s">
        <v>366</v>
      </c>
      <c r="EPD324" s="26" t="s">
        <v>366</v>
      </c>
      <c r="EPE324" s="26" t="s">
        <v>366</v>
      </c>
      <c r="EPF324" s="26" t="s">
        <v>366</v>
      </c>
      <c r="EPG324" s="26" t="s">
        <v>366</v>
      </c>
      <c r="EPH324" s="26" t="s">
        <v>366</v>
      </c>
      <c r="EPI324" s="26" t="s">
        <v>366</v>
      </c>
      <c r="EPJ324" s="26" t="s">
        <v>366</v>
      </c>
      <c r="EPK324" s="26" t="s">
        <v>366</v>
      </c>
      <c r="EPL324" s="26" t="s">
        <v>366</v>
      </c>
      <c r="EPM324" s="26" t="s">
        <v>366</v>
      </c>
      <c r="EPN324" s="26" t="s">
        <v>366</v>
      </c>
      <c r="EPO324" s="26" t="s">
        <v>366</v>
      </c>
      <c r="EPP324" s="26" t="s">
        <v>366</v>
      </c>
      <c r="EPQ324" s="26" t="s">
        <v>366</v>
      </c>
      <c r="EPR324" s="26" t="s">
        <v>366</v>
      </c>
      <c r="EPS324" s="26" t="s">
        <v>366</v>
      </c>
      <c r="EPT324" s="26" t="s">
        <v>366</v>
      </c>
      <c r="EPU324" s="26" t="s">
        <v>366</v>
      </c>
      <c r="EPV324" s="26" t="s">
        <v>366</v>
      </c>
      <c r="EPW324" s="26" t="s">
        <v>366</v>
      </c>
      <c r="EPX324" s="26" t="s">
        <v>366</v>
      </c>
      <c r="EPY324" s="26" t="s">
        <v>366</v>
      </c>
      <c r="EPZ324" s="26" t="s">
        <v>366</v>
      </c>
      <c r="EQA324" s="26" t="s">
        <v>366</v>
      </c>
      <c r="EQB324" s="26" t="s">
        <v>366</v>
      </c>
      <c r="EQC324" s="26" t="s">
        <v>366</v>
      </c>
      <c r="EQD324" s="26" t="s">
        <v>366</v>
      </c>
      <c r="EQE324" s="26" t="s">
        <v>366</v>
      </c>
      <c r="EQF324" s="26" t="s">
        <v>366</v>
      </c>
      <c r="EQG324" s="26" t="s">
        <v>366</v>
      </c>
      <c r="EQH324" s="26" t="s">
        <v>366</v>
      </c>
      <c r="EQI324" s="26" t="s">
        <v>366</v>
      </c>
      <c r="EQJ324" s="26" t="s">
        <v>366</v>
      </c>
      <c r="EQK324" s="26" t="s">
        <v>366</v>
      </c>
      <c r="EQL324" s="26" t="s">
        <v>366</v>
      </c>
      <c r="EQM324" s="26" t="s">
        <v>366</v>
      </c>
      <c r="EQN324" s="26" t="s">
        <v>366</v>
      </c>
      <c r="EQO324" s="26" t="s">
        <v>366</v>
      </c>
      <c r="EQP324" s="26" t="s">
        <v>366</v>
      </c>
      <c r="EQQ324" s="26" t="s">
        <v>366</v>
      </c>
      <c r="EQR324" s="26" t="s">
        <v>366</v>
      </c>
      <c r="EQS324" s="26" t="s">
        <v>366</v>
      </c>
      <c r="EQT324" s="26" t="s">
        <v>366</v>
      </c>
      <c r="EQU324" s="26" t="s">
        <v>366</v>
      </c>
      <c r="EQV324" s="26" t="s">
        <v>366</v>
      </c>
      <c r="EQW324" s="26" t="s">
        <v>366</v>
      </c>
      <c r="EQX324" s="26" t="s">
        <v>366</v>
      </c>
      <c r="EQY324" s="26" t="s">
        <v>366</v>
      </c>
      <c r="EQZ324" s="26" t="s">
        <v>366</v>
      </c>
      <c r="ERA324" s="26" t="s">
        <v>366</v>
      </c>
      <c r="ERB324" s="26" t="s">
        <v>366</v>
      </c>
      <c r="ERC324" s="26" t="s">
        <v>366</v>
      </c>
      <c r="ERD324" s="26" t="s">
        <v>366</v>
      </c>
      <c r="ERE324" s="26" t="s">
        <v>366</v>
      </c>
      <c r="ERF324" s="26" t="s">
        <v>366</v>
      </c>
      <c r="ERG324" s="26" t="s">
        <v>366</v>
      </c>
      <c r="ERH324" s="26" t="s">
        <v>366</v>
      </c>
      <c r="ERI324" s="26" t="s">
        <v>366</v>
      </c>
      <c r="ERJ324" s="26" t="s">
        <v>366</v>
      </c>
      <c r="ERK324" s="26" t="s">
        <v>366</v>
      </c>
      <c r="ERL324" s="26" t="s">
        <v>366</v>
      </c>
      <c r="ERM324" s="26" t="s">
        <v>366</v>
      </c>
      <c r="ERN324" s="26" t="s">
        <v>366</v>
      </c>
      <c r="ERO324" s="26" t="s">
        <v>366</v>
      </c>
      <c r="ERP324" s="26" t="s">
        <v>366</v>
      </c>
      <c r="ERQ324" s="26" t="s">
        <v>366</v>
      </c>
      <c r="ERR324" s="26" t="s">
        <v>366</v>
      </c>
      <c r="ERS324" s="26" t="s">
        <v>366</v>
      </c>
      <c r="ERT324" s="26" t="s">
        <v>366</v>
      </c>
      <c r="ERU324" s="26" t="s">
        <v>366</v>
      </c>
      <c r="ERV324" s="26" t="s">
        <v>366</v>
      </c>
      <c r="ERW324" s="26" t="s">
        <v>366</v>
      </c>
      <c r="ERX324" s="26" t="s">
        <v>366</v>
      </c>
      <c r="ERY324" s="26" t="s">
        <v>366</v>
      </c>
      <c r="ERZ324" s="26" t="s">
        <v>366</v>
      </c>
      <c r="ESA324" s="26" t="s">
        <v>366</v>
      </c>
      <c r="ESB324" s="26" t="s">
        <v>366</v>
      </c>
      <c r="ESC324" s="26" t="s">
        <v>366</v>
      </c>
      <c r="ESD324" s="26" t="s">
        <v>366</v>
      </c>
      <c r="ESE324" s="26" t="s">
        <v>366</v>
      </c>
      <c r="ESF324" s="26" t="s">
        <v>366</v>
      </c>
      <c r="ESG324" s="26" t="s">
        <v>366</v>
      </c>
      <c r="ESH324" s="26" t="s">
        <v>366</v>
      </c>
      <c r="ESI324" s="26" t="s">
        <v>366</v>
      </c>
      <c r="ESJ324" s="26" t="s">
        <v>366</v>
      </c>
      <c r="ESK324" s="26" t="s">
        <v>366</v>
      </c>
      <c r="ESL324" s="26" t="s">
        <v>366</v>
      </c>
      <c r="ESM324" s="26" t="s">
        <v>366</v>
      </c>
      <c r="ESN324" s="26" t="s">
        <v>366</v>
      </c>
      <c r="ESO324" s="26" t="s">
        <v>366</v>
      </c>
      <c r="ESP324" s="26" t="s">
        <v>366</v>
      </c>
      <c r="ESQ324" s="26" t="s">
        <v>366</v>
      </c>
      <c r="ESR324" s="26" t="s">
        <v>366</v>
      </c>
      <c r="ESS324" s="26" t="s">
        <v>366</v>
      </c>
      <c r="EST324" s="26" t="s">
        <v>366</v>
      </c>
      <c r="ESU324" s="26" t="s">
        <v>366</v>
      </c>
      <c r="ESV324" s="26" t="s">
        <v>366</v>
      </c>
      <c r="ESW324" s="26" t="s">
        <v>366</v>
      </c>
      <c r="ESX324" s="26" t="s">
        <v>366</v>
      </c>
      <c r="ESY324" s="26" t="s">
        <v>366</v>
      </c>
      <c r="ESZ324" s="26" t="s">
        <v>366</v>
      </c>
      <c r="ETA324" s="26" t="s">
        <v>366</v>
      </c>
      <c r="ETB324" s="26" t="s">
        <v>366</v>
      </c>
      <c r="ETC324" s="26" t="s">
        <v>366</v>
      </c>
      <c r="ETD324" s="26" t="s">
        <v>366</v>
      </c>
      <c r="ETE324" s="26" t="s">
        <v>366</v>
      </c>
      <c r="ETF324" s="26" t="s">
        <v>366</v>
      </c>
      <c r="ETG324" s="26" t="s">
        <v>366</v>
      </c>
      <c r="ETH324" s="26" t="s">
        <v>366</v>
      </c>
      <c r="ETI324" s="26" t="s">
        <v>366</v>
      </c>
      <c r="ETJ324" s="26" t="s">
        <v>366</v>
      </c>
      <c r="ETK324" s="26" t="s">
        <v>366</v>
      </c>
      <c r="ETL324" s="26" t="s">
        <v>366</v>
      </c>
      <c r="ETM324" s="26" t="s">
        <v>366</v>
      </c>
      <c r="ETN324" s="26" t="s">
        <v>366</v>
      </c>
      <c r="ETO324" s="26" t="s">
        <v>366</v>
      </c>
      <c r="ETP324" s="26" t="s">
        <v>366</v>
      </c>
      <c r="ETQ324" s="26" t="s">
        <v>366</v>
      </c>
      <c r="ETR324" s="26" t="s">
        <v>366</v>
      </c>
      <c r="ETS324" s="26" t="s">
        <v>366</v>
      </c>
      <c r="ETT324" s="26" t="s">
        <v>366</v>
      </c>
      <c r="ETU324" s="26" t="s">
        <v>366</v>
      </c>
      <c r="ETV324" s="26" t="s">
        <v>366</v>
      </c>
      <c r="ETW324" s="26" t="s">
        <v>366</v>
      </c>
      <c r="ETX324" s="26" t="s">
        <v>366</v>
      </c>
      <c r="ETY324" s="26" t="s">
        <v>366</v>
      </c>
      <c r="ETZ324" s="26" t="s">
        <v>366</v>
      </c>
      <c r="EUA324" s="26" t="s">
        <v>366</v>
      </c>
      <c r="EUB324" s="26" t="s">
        <v>366</v>
      </c>
      <c r="EUC324" s="26" t="s">
        <v>366</v>
      </c>
      <c r="EUD324" s="26" t="s">
        <v>366</v>
      </c>
      <c r="EUE324" s="26" t="s">
        <v>366</v>
      </c>
      <c r="EUF324" s="26" t="s">
        <v>366</v>
      </c>
      <c r="EUG324" s="26" t="s">
        <v>366</v>
      </c>
      <c r="EUH324" s="26" t="s">
        <v>366</v>
      </c>
      <c r="EUI324" s="26" t="s">
        <v>366</v>
      </c>
      <c r="EUJ324" s="26" t="s">
        <v>366</v>
      </c>
      <c r="EUK324" s="26" t="s">
        <v>366</v>
      </c>
      <c r="EUL324" s="26" t="s">
        <v>366</v>
      </c>
      <c r="EUM324" s="26" t="s">
        <v>366</v>
      </c>
      <c r="EUN324" s="26" t="s">
        <v>366</v>
      </c>
      <c r="EUO324" s="26" t="s">
        <v>366</v>
      </c>
      <c r="EUP324" s="26" t="s">
        <v>366</v>
      </c>
      <c r="EUQ324" s="26" t="s">
        <v>366</v>
      </c>
      <c r="EUR324" s="26" t="s">
        <v>366</v>
      </c>
      <c r="EUS324" s="26" t="s">
        <v>366</v>
      </c>
      <c r="EUT324" s="26" t="s">
        <v>366</v>
      </c>
      <c r="EUU324" s="26" t="s">
        <v>366</v>
      </c>
      <c r="EUV324" s="26" t="s">
        <v>366</v>
      </c>
      <c r="EUW324" s="26" t="s">
        <v>366</v>
      </c>
      <c r="EUX324" s="26" t="s">
        <v>366</v>
      </c>
      <c r="EUY324" s="26" t="s">
        <v>366</v>
      </c>
      <c r="EUZ324" s="26" t="s">
        <v>366</v>
      </c>
      <c r="EVA324" s="26" t="s">
        <v>366</v>
      </c>
      <c r="EVB324" s="26" t="s">
        <v>366</v>
      </c>
      <c r="EVC324" s="26" t="s">
        <v>366</v>
      </c>
      <c r="EVD324" s="26" t="s">
        <v>366</v>
      </c>
      <c r="EVE324" s="26" t="s">
        <v>366</v>
      </c>
      <c r="EVF324" s="26" t="s">
        <v>366</v>
      </c>
      <c r="EVG324" s="26" t="s">
        <v>366</v>
      </c>
      <c r="EVH324" s="26" t="s">
        <v>366</v>
      </c>
      <c r="EVI324" s="26" t="s">
        <v>366</v>
      </c>
      <c r="EVJ324" s="26" t="s">
        <v>366</v>
      </c>
      <c r="EVK324" s="26" t="s">
        <v>366</v>
      </c>
      <c r="EVL324" s="26" t="s">
        <v>366</v>
      </c>
      <c r="EVM324" s="26" t="s">
        <v>366</v>
      </c>
      <c r="EVN324" s="26" t="s">
        <v>366</v>
      </c>
      <c r="EVO324" s="26" t="s">
        <v>366</v>
      </c>
      <c r="EVP324" s="26" t="s">
        <v>366</v>
      </c>
      <c r="EVQ324" s="26" t="s">
        <v>366</v>
      </c>
      <c r="EVR324" s="26" t="s">
        <v>366</v>
      </c>
      <c r="EVS324" s="26" t="s">
        <v>366</v>
      </c>
      <c r="EVT324" s="26" t="s">
        <v>366</v>
      </c>
      <c r="EVU324" s="26" t="s">
        <v>366</v>
      </c>
      <c r="EVV324" s="26" t="s">
        <v>366</v>
      </c>
      <c r="EVW324" s="26" t="s">
        <v>366</v>
      </c>
      <c r="EVX324" s="26" t="s">
        <v>366</v>
      </c>
      <c r="EVY324" s="26" t="s">
        <v>366</v>
      </c>
      <c r="EVZ324" s="26" t="s">
        <v>366</v>
      </c>
      <c r="EWA324" s="26" t="s">
        <v>366</v>
      </c>
      <c r="EWB324" s="26" t="s">
        <v>366</v>
      </c>
      <c r="EWC324" s="26" t="s">
        <v>366</v>
      </c>
      <c r="EWD324" s="26" t="s">
        <v>366</v>
      </c>
      <c r="EWE324" s="26" t="s">
        <v>366</v>
      </c>
      <c r="EWF324" s="26" t="s">
        <v>366</v>
      </c>
      <c r="EWG324" s="26" t="s">
        <v>366</v>
      </c>
      <c r="EWH324" s="26" t="s">
        <v>366</v>
      </c>
      <c r="EWI324" s="26" t="s">
        <v>366</v>
      </c>
      <c r="EWJ324" s="26" t="s">
        <v>366</v>
      </c>
      <c r="EWK324" s="26" t="s">
        <v>366</v>
      </c>
      <c r="EWL324" s="26" t="s">
        <v>366</v>
      </c>
      <c r="EWM324" s="26" t="s">
        <v>366</v>
      </c>
      <c r="EWN324" s="26" t="s">
        <v>366</v>
      </c>
      <c r="EWO324" s="26" t="s">
        <v>366</v>
      </c>
      <c r="EWP324" s="26" t="s">
        <v>366</v>
      </c>
      <c r="EWQ324" s="26" t="s">
        <v>366</v>
      </c>
      <c r="EWR324" s="26" t="s">
        <v>366</v>
      </c>
      <c r="EWS324" s="26" t="s">
        <v>366</v>
      </c>
      <c r="EWT324" s="26" t="s">
        <v>366</v>
      </c>
      <c r="EWU324" s="26" t="s">
        <v>366</v>
      </c>
      <c r="EWV324" s="26" t="s">
        <v>366</v>
      </c>
      <c r="EWW324" s="26" t="s">
        <v>366</v>
      </c>
      <c r="EWX324" s="26" t="s">
        <v>366</v>
      </c>
      <c r="EWY324" s="26" t="s">
        <v>366</v>
      </c>
      <c r="EWZ324" s="26" t="s">
        <v>366</v>
      </c>
      <c r="EXA324" s="26" t="s">
        <v>366</v>
      </c>
      <c r="EXB324" s="26" t="s">
        <v>366</v>
      </c>
      <c r="EXC324" s="26" t="s">
        <v>366</v>
      </c>
      <c r="EXD324" s="26" t="s">
        <v>366</v>
      </c>
      <c r="EXE324" s="26" t="s">
        <v>366</v>
      </c>
      <c r="EXF324" s="26" t="s">
        <v>366</v>
      </c>
      <c r="EXG324" s="26" t="s">
        <v>366</v>
      </c>
      <c r="EXH324" s="26" t="s">
        <v>366</v>
      </c>
      <c r="EXI324" s="26" t="s">
        <v>366</v>
      </c>
      <c r="EXJ324" s="26" t="s">
        <v>366</v>
      </c>
      <c r="EXK324" s="26" t="s">
        <v>366</v>
      </c>
      <c r="EXL324" s="26" t="s">
        <v>366</v>
      </c>
      <c r="EXM324" s="26" t="s">
        <v>366</v>
      </c>
      <c r="EXN324" s="26" t="s">
        <v>366</v>
      </c>
      <c r="EXO324" s="26" t="s">
        <v>366</v>
      </c>
      <c r="EXP324" s="26" t="s">
        <v>366</v>
      </c>
      <c r="EXQ324" s="26" t="s">
        <v>366</v>
      </c>
      <c r="EXR324" s="26" t="s">
        <v>366</v>
      </c>
      <c r="EXS324" s="26" t="s">
        <v>366</v>
      </c>
      <c r="EXT324" s="26" t="s">
        <v>366</v>
      </c>
      <c r="EXU324" s="26" t="s">
        <v>366</v>
      </c>
      <c r="EXV324" s="26" t="s">
        <v>366</v>
      </c>
      <c r="EXW324" s="26" t="s">
        <v>366</v>
      </c>
      <c r="EXX324" s="26" t="s">
        <v>366</v>
      </c>
      <c r="EXY324" s="26" t="s">
        <v>366</v>
      </c>
      <c r="EXZ324" s="26" t="s">
        <v>366</v>
      </c>
      <c r="EYA324" s="26" t="s">
        <v>366</v>
      </c>
      <c r="EYB324" s="26" t="s">
        <v>366</v>
      </c>
      <c r="EYC324" s="26" t="s">
        <v>366</v>
      </c>
      <c r="EYD324" s="26" t="s">
        <v>366</v>
      </c>
      <c r="EYE324" s="26" t="s">
        <v>366</v>
      </c>
      <c r="EYF324" s="26" t="s">
        <v>366</v>
      </c>
      <c r="EYG324" s="26" t="s">
        <v>366</v>
      </c>
      <c r="EYH324" s="26" t="s">
        <v>366</v>
      </c>
      <c r="EYI324" s="26" t="s">
        <v>366</v>
      </c>
      <c r="EYJ324" s="26" t="s">
        <v>366</v>
      </c>
      <c r="EYK324" s="26" t="s">
        <v>366</v>
      </c>
      <c r="EYL324" s="26" t="s">
        <v>366</v>
      </c>
      <c r="EYM324" s="26" t="s">
        <v>366</v>
      </c>
      <c r="EYN324" s="26" t="s">
        <v>366</v>
      </c>
      <c r="EYO324" s="26" t="s">
        <v>366</v>
      </c>
      <c r="EYP324" s="26" t="s">
        <v>366</v>
      </c>
      <c r="EYQ324" s="26" t="s">
        <v>366</v>
      </c>
      <c r="EYR324" s="26" t="s">
        <v>366</v>
      </c>
      <c r="EYS324" s="26" t="s">
        <v>366</v>
      </c>
      <c r="EYT324" s="26" t="s">
        <v>366</v>
      </c>
      <c r="EYU324" s="26" t="s">
        <v>366</v>
      </c>
      <c r="EYV324" s="26" t="s">
        <v>366</v>
      </c>
      <c r="EYW324" s="26" t="s">
        <v>366</v>
      </c>
      <c r="EYX324" s="26" t="s">
        <v>366</v>
      </c>
      <c r="EYY324" s="26" t="s">
        <v>366</v>
      </c>
      <c r="EYZ324" s="26" t="s">
        <v>366</v>
      </c>
      <c r="EZA324" s="26" t="s">
        <v>366</v>
      </c>
      <c r="EZB324" s="26" t="s">
        <v>366</v>
      </c>
      <c r="EZC324" s="26" t="s">
        <v>366</v>
      </c>
      <c r="EZD324" s="26" t="s">
        <v>366</v>
      </c>
      <c r="EZE324" s="26" t="s">
        <v>366</v>
      </c>
      <c r="EZF324" s="26" t="s">
        <v>366</v>
      </c>
      <c r="EZG324" s="26" t="s">
        <v>366</v>
      </c>
      <c r="EZH324" s="26" t="s">
        <v>366</v>
      </c>
      <c r="EZI324" s="26" t="s">
        <v>366</v>
      </c>
      <c r="EZJ324" s="26" t="s">
        <v>366</v>
      </c>
      <c r="EZK324" s="26" t="s">
        <v>366</v>
      </c>
      <c r="EZL324" s="26" t="s">
        <v>366</v>
      </c>
      <c r="EZM324" s="26" t="s">
        <v>366</v>
      </c>
      <c r="EZN324" s="26" t="s">
        <v>366</v>
      </c>
      <c r="EZO324" s="26" t="s">
        <v>366</v>
      </c>
      <c r="EZP324" s="26" t="s">
        <v>366</v>
      </c>
      <c r="EZQ324" s="26" t="s">
        <v>366</v>
      </c>
      <c r="EZR324" s="26" t="s">
        <v>366</v>
      </c>
      <c r="EZS324" s="26" t="s">
        <v>366</v>
      </c>
      <c r="EZT324" s="26" t="s">
        <v>366</v>
      </c>
      <c r="EZU324" s="26" t="s">
        <v>366</v>
      </c>
      <c r="EZV324" s="26" t="s">
        <v>366</v>
      </c>
      <c r="EZW324" s="26" t="s">
        <v>366</v>
      </c>
      <c r="EZX324" s="26" t="s">
        <v>366</v>
      </c>
      <c r="EZY324" s="26" t="s">
        <v>366</v>
      </c>
      <c r="EZZ324" s="26" t="s">
        <v>366</v>
      </c>
      <c r="FAA324" s="26" t="s">
        <v>366</v>
      </c>
      <c r="FAB324" s="26" t="s">
        <v>366</v>
      </c>
      <c r="FAC324" s="26" t="s">
        <v>366</v>
      </c>
      <c r="FAD324" s="26" t="s">
        <v>366</v>
      </c>
      <c r="FAE324" s="26" t="s">
        <v>366</v>
      </c>
      <c r="FAF324" s="26" t="s">
        <v>366</v>
      </c>
      <c r="FAG324" s="26" t="s">
        <v>366</v>
      </c>
      <c r="FAH324" s="26" t="s">
        <v>366</v>
      </c>
      <c r="FAI324" s="26" t="s">
        <v>366</v>
      </c>
      <c r="FAJ324" s="26" t="s">
        <v>366</v>
      </c>
      <c r="FAK324" s="26" t="s">
        <v>366</v>
      </c>
      <c r="FAL324" s="26" t="s">
        <v>366</v>
      </c>
      <c r="FAM324" s="26" t="s">
        <v>366</v>
      </c>
      <c r="FAN324" s="26" t="s">
        <v>366</v>
      </c>
      <c r="FAO324" s="26" t="s">
        <v>366</v>
      </c>
      <c r="FAP324" s="26" t="s">
        <v>366</v>
      </c>
      <c r="FAQ324" s="26" t="s">
        <v>366</v>
      </c>
      <c r="FAR324" s="26" t="s">
        <v>366</v>
      </c>
      <c r="FAS324" s="26" t="s">
        <v>366</v>
      </c>
      <c r="FAT324" s="26" t="s">
        <v>366</v>
      </c>
      <c r="FAU324" s="26" t="s">
        <v>366</v>
      </c>
      <c r="FAV324" s="26" t="s">
        <v>366</v>
      </c>
      <c r="FAW324" s="26" t="s">
        <v>366</v>
      </c>
      <c r="FAX324" s="26" t="s">
        <v>366</v>
      </c>
      <c r="FAY324" s="26" t="s">
        <v>366</v>
      </c>
      <c r="FAZ324" s="26" t="s">
        <v>366</v>
      </c>
      <c r="FBA324" s="26" t="s">
        <v>366</v>
      </c>
      <c r="FBB324" s="26" t="s">
        <v>366</v>
      </c>
      <c r="FBC324" s="26" t="s">
        <v>366</v>
      </c>
      <c r="FBD324" s="26" t="s">
        <v>366</v>
      </c>
      <c r="FBE324" s="26" t="s">
        <v>366</v>
      </c>
      <c r="FBF324" s="26" t="s">
        <v>366</v>
      </c>
      <c r="FBG324" s="26" t="s">
        <v>366</v>
      </c>
      <c r="FBH324" s="26" t="s">
        <v>366</v>
      </c>
      <c r="FBI324" s="26" t="s">
        <v>366</v>
      </c>
      <c r="FBJ324" s="26" t="s">
        <v>366</v>
      </c>
      <c r="FBK324" s="26" t="s">
        <v>366</v>
      </c>
      <c r="FBL324" s="26" t="s">
        <v>366</v>
      </c>
      <c r="FBM324" s="26" t="s">
        <v>366</v>
      </c>
      <c r="FBN324" s="26" t="s">
        <v>366</v>
      </c>
      <c r="FBO324" s="26" t="s">
        <v>366</v>
      </c>
      <c r="FBP324" s="26" t="s">
        <v>366</v>
      </c>
      <c r="FBQ324" s="26" t="s">
        <v>366</v>
      </c>
      <c r="FBR324" s="26" t="s">
        <v>366</v>
      </c>
      <c r="FBS324" s="26" t="s">
        <v>366</v>
      </c>
      <c r="FBT324" s="26" t="s">
        <v>366</v>
      </c>
      <c r="FBU324" s="26" t="s">
        <v>366</v>
      </c>
      <c r="FBV324" s="26" t="s">
        <v>366</v>
      </c>
      <c r="FBW324" s="26" t="s">
        <v>366</v>
      </c>
      <c r="FBX324" s="26" t="s">
        <v>366</v>
      </c>
      <c r="FBY324" s="26" t="s">
        <v>366</v>
      </c>
      <c r="FBZ324" s="26" t="s">
        <v>366</v>
      </c>
      <c r="FCA324" s="26" t="s">
        <v>366</v>
      </c>
      <c r="FCB324" s="26" t="s">
        <v>366</v>
      </c>
      <c r="FCC324" s="26" t="s">
        <v>366</v>
      </c>
      <c r="FCD324" s="26" t="s">
        <v>366</v>
      </c>
      <c r="FCE324" s="26" t="s">
        <v>366</v>
      </c>
      <c r="FCF324" s="26" t="s">
        <v>366</v>
      </c>
      <c r="FCG324" s="26" t="s">
        <v>366</v>
      </c>
      <c r="FCH324" s="26" t="s">
        <v>366</v>
      </c>
      <c r="FCI324" s="26" t="s">
        <v>366</v>
      </c>
      <c r="FCJ324" s="26" t="s">
        <v>366</v>
      </c>
      <c r="FCK324" s="26" t="s">
        <v>366</v>
      </c>
      <c r="FCL324" s="26" t="s">
        <v>366</v>
      </c>
      <c r="FCM324" s="26" t="s">
        <v>366</v>
      </c>
      <c r="FCN324" s="26" t="s">
        <v>366</v>
      </c>
      <c r="FCO324" s="26" t="s">
        <v>366</v>
      </c>
      <c r="FCP324" s="26" t="s">
        <v>366</v>
      </c>
      <c r="FCQ324" s="26" t="s">
        <v>366</v>
      </c>
      <c r="FCR324" s="26" t="s">
        <v>366</v>
      </c>
      <c r="FCS324" s="26" t="s">
        <v>366</v>
      </c>
      <c r="FCT324" s="26" t="s">
        <v>366</v>
      </c>
      <c r="FCU324" s="26" t="s">
        <v>366</v>
      </c>
      <c r="FCV324" s="26" t="s">
        <v>366</v>
      </c>
      <c r="FCW324" s="26" t="s">
        <v>366</v>
      </c>
      <c r="FCX324" s="26" t="s">
        <v>366</v>
      </c>
      <c r="FCY324" s="26" t="s">
        <v>366</v>
      </c>
      <c r="FCZ324" s="26" t="s">
        <v>366</v>
      </c>
      <c r="FDA324" s="26" t="s">
        <v>366</v>
      </c>
      <c r="FDB324" s="26" t="s">
        <v>366</v>
      </c>
      <c r="FDC324" s="26" t="s">
        <v>366</v>
      </c>
      <c r="FDD324" s="26" t="s">
        <v>366</v>
      </c>
      <c r="FDE324" s="26" t="s">
        <v>366</v>
      </c>
      <c r="FDF324" s="26" t="s">
        <v>366</v>
      </c>
      <c r="FDG324" s="26" t="s">
        <v>366</v>
      </c>
      <c r="FDH324" s="26" t="s">
        <v>366</v>
      </c>
      <c r="FDI324" s="26" t="s">
        <v>366</v>
      </c>
      <c r="FDJ324" s="26" t="s">
        <v>366</v>
      </c>
      <c r="FDK324" s="26" t="s">
        <v>366</v>
      </c>
      <c r="FDL324" s="26" t="s">
        <v>366</v>
      </c>
      <c r="FDM324" s="26" t="s">
        <v>366</v>
      </c>
      <c r="FDN324" s="26" t="s">
        <v>366</v>
      </c>
      <c r="FDO324" s="26" t="s">
        <v>366</v>
      </c>
      <c r="FDP324" s="26" t="s">
        <v>366</v>
      </c>
      <c r="FDQ324" s="26" t="s">
        <v>366</v>
      </c>
      <c r="FDR324" s="26" t="s">
        <v>366</v>
      </c>
      <c r="FDS324" s="26" t="s">
        <v>366</v>
      </c>
      <c r="FDT324" s="26" t="s">
        <v>366</v>
      </c>
      <c r="FDU324" s="26" t="s">
        <v>366</v>
      </c>
      <c r="FDV324" s="26" t="s">
        <v>366</v>
      </c>
      <c r="FDW324" s="26" t="s">
        <v>366</v>
      </c>
      <c r="FDX324" s="26" t="s">
        <v>366</v>
      </c>
      <c r="FDY324" s="26" t="s">
        <v>366</v>
      </c>
      <c r="FDZ324" s="26" t="s">
        <v>366</v>
      </c>
      <c r="FEA324" s="26" t="s">
        <v>366</v>
      </c>
      <c r="FEB324" s="26" t="s">
        <v>366</v>
      </c>
      <c r="FEC324" s="26" t="s">
        <v>366</v>
      </c>
      <c r="FED324" s="26" t="s">
        <v>366</v>
      </c>
      <c r="FEE324" s="26" t="s">
        <v>366</v>
      </c>
      <c r="FEF324" s="26" t="s">
        <v>366</v>
      </c>
      <c r="FEG324" s="26" t="s">
        <v>366</v>
      </c>
      <c r="FEH324" s="26" t="s">
        <v>366</v>
      </c>
      <c r="FEI324" s="26" t="s">
        <v>366</v>
      </c>
      <c r="FEJ324" s="26" t="s">
        <v>366</v>
      </c>
      <c r="FEK324" s="26" t="s">
        <v>366</v>
      </c>
      <c r="FEL324" s="26" t="s">
        <v>366</v>
      </c>
      <c r="FEM324" s="26" t="s">
        <v>366</v>
      </c>
      <c r="FEN324" s="26" t="s">
        <v>366</v>
      </c>
      <c r="FEO324" s="26" t="s">
        <v>366</v>
      </c>
      <c r="FEP324" s="26" t="s">
        <v>366</v>
      </c>
      <c r="FEQ324" s="26" t="s">
        <v>366</v>
      </c>
      <c r="FER324" s="26" t="s">
        <v>366</v>
      </c>
      <c r="FES324" s="26" t="s">
        <v>366</v>
      </c>
      <c r="FET324" s="26" t="s">
        <v>366</v>
      </c>
      <c r="FEU324" s="26" t="s">
        <v>366</v>
      </c>
      <c r="FEV324" s="26" t="s">
        <v>366</v>
      </c>
      <c r="FEW324" s="26" t="s">
        <v>366</v>
      </c>
      <c r="FEX324" s="26" t="s">
        <v>366</v>
      </c>
      <c r="FEY324" s="26" t="s">
        <v>366</v>
      </c>
      <c r="FEZ324" s="26" t="s">
        <v>366</v>
      </c>
      <c r="FFA324" s="26" t="s">
        <v>366</v>
      </c>
      <c r="FFB324" s="26" t="s">
        <v>366</v>
      </c>
      <c r="FFC324" s="26" t="s">
        <v>366</v>
      </c>
      <c r="FFD324" s="26" t="s">
        <v>366</v>
      </c>
      <c r="FFE324" s="26" t="s">
        <v>366</v>
      </c>
      <c r="FFF324" s="26" t="s">
        <v>366</v>
      </c>
      <c r="FFG324" s="26" t="s">
        <v>366</v>
      </c>
      <c r="FFH324" s="26" t="s">
        <v>366</v>
      </c>
      <c r="FFI324" s="26" t="s">
        <v>366</v>
      </c>
      <c r="FFJ324" s="26" t="s">
        <v>366</v>
      </c>
      <c r="FFK324" s="26" t="s">
        <v>366</v>
      </c>
      <c r="FFL324" s="26" t="s">
        <v>366</v>
      </c>
      <c r="FFM324" s="26" t="s">
        <v>366</v>
      </c>
      <c r="FFN324" s="26" t="s">
        <v>366</v>
      </c>
      <c r="FFO324" s="26" t="s">
        <v>366</v>
      </c>
      <c r="FFP324" s="26" t="s">
        <v>366</v>
      </c>
      <c r="FFQ324" s="26" t="s">
        <v>366</v>
      </c>
      <c r="FFR324" s="26" t="s">
        <v>366</v>
      </c>
      <c r="FFS324" s="26" t="s">
        <v>366</v>
      </c>
      <c r="FFT324" s="26" t="s">
        <v>366</v>
      </c>
      <c r="FFU324" s="26" t="s">
        <v>366</v>
      </c>
      <c r="FFV324" s="26" t="s">
        <v>366</v>
      </c>
      <c r="FFW324" s="26" t="s">
        <v>366</v>
      </c>
      <c r="FFX324" s="26" t="s">
        <v>366</v>
      </c>
      <c r="FFY324" s="26" t="s">
        <v>366</v>
      </c>
      <c r="FFZ324" s="26" t="s">
        <v>366</v>
      </c>
      <c r="FGA324" s="26" t="s">
        <v>366</v>
      </c>
      <c r="FGB324" s="26" t="s">
        <v>366</v>
      </c>
      <c r="FGC324" s="26" t="s">
        <v>366</v>
      </c>
      <c r="FGD324" s="26" t="s">
        <v>366</v>
      </c>
      <c r="FGE324" s="26" t="s">
        <v>366</v>
      </c>
      <c r="FGF324" s="26" t="s">
        <v>366</v>
      </c>
      <c r="FGG324" s="26" t="s">
        <v>366</v>
      </c>
      <c r="FGH324" s="26" t="s">
        <v>366</v>
      </c>
      <c r="FGI324" s="26" t="s">
        <v>366</v>
      </c>
      <c r="FGJ324" s="26" t="s">
        <v>366</v>
      </c>
      <c r="FGK324" s="26" t="s">
        <v>366</v>
      </c>
      <c r="FGL324" s="26" t="s">
        <v>366</v>
      </c>
      <c r="FGM324" s="26" t="s">
        <v>366</v>
      </c>
      <c r="FGN324" s="26" t="s">
        <v>366</v>
      </c>
      <c r="FGO324" s="26" t="s">
        <v>366</v>
      </c>
      <c r="FGP324" s="26" t="s">
        <v>366</v>
      </c>
      <c r="FGQ324" s="26" t="s">
        <v>366</v>
      </c>
      <c r="FGR324" s="26" t="s">
        <v>366</v>
      </c>
      <c r="FGS324" s="26" t="s">
        <v>366</v>
      </c>
      <c r="FGT324" s="26" t="s">
        <v>366</v>
      </c>
      <c r="FGU324" s="26" t="s">
        <v>366</v>
      </c>
      <c r="FGV324" s="26" t="s">
        <v>366</v>
      </c>
      <c r="FGW324" s="26" t="s">
        <v>366</v>
      </c>
      <c r="FGX324" s="26" t="s">
        <v>366</v>
      </c>
      <c r="FGY324" s="26" t="s">
        <v>366</v>
      </c>
      <c r="FGZ324" s="26" t="s">
        <v>366</v>
      </c>
      <c r="FHA324" s="26" t="s">
        <v>366</v>
      </c>
      <c r="FHB324" s="26" t="s">
        <v>366</v>
      </c>
      <c r="FHC324" s="26" t="s">
        <v>366</v>
      </c>
      <c r="FHD324" s="26" t="s">
        <v>366</v>
      </c>
      <c r="FHE324" s="26" t="s">
        <v>366</v>
      </c>
      <c r="FHF324" s="26" t="s">
        <v>366</v>
      </c>
      <c r="FHG324" s="26" t="s">
        <v>366</v>
      </c>
      <c r="FHH324" s="26" t="s">
        <v>366</v>
      </c>
      <c r="FHI324" s="26" t="s">
        <v>366</v>
      </c>
      <c r="FHJ324" s="26" t="s">
        <v>366</v>
      </c>
      <c r="FHK324" s="26" t="s">
        <v>366</v>
      </c>
      <c r="FHL324" s="26" t="s">
        <v>366</v>
      </c>
      <c r="FHM324" s="26" t="s">
        <v>366</v>
      </c>
      <c r="FHN324" s="26" t="s">
        <v>366</v>
      </c>
      <c r="FHO324" s="26" t="s">
        <v>366</v>
      </c>
      <c r="FHP324" s="26" t="s">
        <v>366</v>
      </c>
      <c r="FHQ324" s="26" t="s">
        <v>366</v>
      </c>
      <c r="FHR324" s="26" t="s">
        <v>366</v>
      </c>
      <c r="FHS324" s="26" t="s">
        <v>366</v>
      </c>
      <c r="FHT324" s="26" t="s">
        <v>366</v>
      </c>
      <c r="FHU324" s="26" t="s">
        <v>366</v>
      </c>
      <c r="FHV324" s="26" t="s">
        <v>366</v>
      </c>
      <c r="FHW324" s="26" t="s">
        <v>366</v>
      </c>
      <c r="FHX324" s="26" t="s">
        <v>366</v>
      </c>
      <c r="FHY324" s="26" t="s">
        <v>366</v>
      </c>
      <c r="FHZ324" s="26" t="s">
        <v>366</v>
      </c>
      <c r="FIA324" s="26" t="s">
        <v>366</v>
      </c>
      <c r="FIB324" s="26" t="s">
        <v>366</v>
      </c>
      <c r="FIC324" s="26" t="s">
        <v>366</v>
      </c>
      <c r="FID324" s="26" t="s">
        <v>366</v>
      </c>
      <c r="FIE324" s="26" t="s">
        <v>366</v>
      </c>
      <c r="FIF324" s="26" t="s">
        <v>366</v>
      </c>
      <c r="FIG324" s="26" t="s">
        <v>366</v>
      </c>
      <c r="FIH324" s="26" t="s">
        <v>366</v>
      </c>
      <c r="FII324" s="26" t="s">
        <v>366</v>
      </c>
      <c r="FIJ324" s="26" t="s">
        <v>366</v>
      </c>
      <c r="FIK324" s="26" t="s">
        <v>366</v>
      </c>
      <c r="FIL324" s="26" t="s">
        <v>366</v>
      </c>
      <c r="FIM324" s="26" t="s">
        <v>366</v>
      </c>
      <c r="FIN324" s="26" t="s">
        <v>366</v>
      </c>
      <c r="FIO324" s="26" t="s">
        <v>366</v>
      </c>
      <c r="FIP324" s="26" t="s">
        <v>366</v>
      </c>
      <c r="FIQ324" s="26" t="s">
        <v>366</v>
      </c>
      <c r="FIR324" s="26" t="s">
        <v>366</v>
      </c>
      <c r="FIS324" s="26" t="s">
        <v>366</v>
      </c>
      <c r="FIT324" s="26" t="s">
        <v>366</v>
      </c>
      <c r="FIU324" s="26" t="s">
        <v>366</v>
      </c>
      <c r="FIV324" s="26" t="s">
        <v>366</v>
      </c>
      <c r="FIW324" s="26" t="s">
        <v>366</v>
      </c>
      <c r="FIX324" s="26" t="s">
        <v>366</v>
      </c>
      <c r="FIY324" s="26" t="s">
        <v>366</v>
      </c>
      <c r="FIZ324" s="26" t="s">
        <v>366</v>
      </c>
      <c r="FJA324" s="26" t="s">
        <v>366</v>
      </c>
      <c r="FJB324" s="26" t="s">
        <v>366</v>
      </c>
      <c r="FJC324" s="26" t="s">
        <v>366</v>
      </c>
      <c r="FJD324" s="26" t="s">
        <v>366</v>
      </c>
      <c r="FJE324" s="26" t="s">
        <v>366</v>
      </c>
      <c r="FJF324" s="26" t="s">
        <v>366</v>
      </c>
      <c r="FJG324" s="26" t="s">
        <v>366</v>
      </c>
      <c r="FJH324" s="26" t="s">
        <v>366</v>
      </c>
      <c r="FJI324" s="26" t="s">
        <v>366</v>
      </c>
      <c r="FJJ324" s="26" t="s">
        <v>366</v>
      </c>
      <c r="FJK324" s="26" t="s">
        <v>366</v>
      </c>
      <c r="FJL324" s="26" t="s">
        <v>366</v>
      </c>
      <c r="FJM324" s="26" t="s">
        <v>366</v>
      </c>
      <c r="FJN324" s="26" t="s">
        <v>366</v>
      </c>
      <c r="FJO324" s="26" t="s">
        <v>366</v>
      </c>
      <c r="FJP324" s="26" t="s">
        <v>366</v>
      </c>
      <c r="FJQ324" s="26" t="s">
        <v>366</v>
      </c>
      <c r="FJR324" s="26" t="s">
        <v>366</v>
      </c>
      <c r="FJS324" s="26" t="s">
        <v>366</v>
      </c>
      <c r="FJT324" s="26" t="s">
        <v>366</v>
      </c>
      <c r="FJU324" s="26" t="s">
        <v>366</v>
      </c>
      <c r="FJV324" s="26" t="s">
        <v>366</v>
      </c>
      <c r="FJW324" s="26" t="s">
        <v>366</v>
      </c>
      <c r="FJX324" s="26" t="s">
        <v>366</v>
      </c>
      <c r="FJY324" s="26" t="s">
        <v>366</v>
      </c>
      <c r="FJZ324" s="26" t="s">
        <v>366</v>
      </c>
      <c r="FKA324" s="26" t="s">
        <v>366</v>
      </c>
      <c r="FKB324" s="26" t="s">
        <v>366</v>
      </c>
      <c r="FKC324" s="26" t="s">
        <v>366</v>
      </c>
      <c r="FKD324" s="26" t="s">
        <v>366</v>
      </c>
      <c r="FKE324" s="26" t="s">
        <v>366</v>
      </c>
      <c r="FKF324" s="26" t="s">
        <v>366</v>
      </c>
      <c r="FKG324" s="26" t="s">
        <v>366</v>
      </c>
      <c r="FKH324" s="26" t="s">
        <v>366</v>
      </c>
      <c r="FKI324" s="26" t="s">
        <v>366</v>
      </c>
      <c r="FKJ324" s="26" t="s">
        <v>366</v>
      </c>
      <c r="FKK324" s="26" t="s">
        <v>366</v>
      </c>
      <c r="FKL324" s="26" t="s">
        <v>366</v>
      </c>
      <c r="FKM324" s="26" t="s">
        <v>366</v>
      </c>
      <c r="FKN324" s="26" t="s">
        <v>366</v>
      </c>
      <c r="FKO324" s="26" t="s">
        <v>366</v>
      </c>
      <c r="FKP324" s="26" t="s">
        <v>366</v>
      </c>
      <c r="FKQ324" s="26" t="s">
        <v>366</v>
      </c>
      <c r="FKR324" s="26" t="s">
        <v>366</v>
      </c>
      <c r="FKS324" s="26" t="s">
        <v>366</v>
      </c>
      <c r="FKT324" s="26" t="s">
        <v>366</v>
      </c>
      <c r="FKU324" s="26" t="s">
        <v>366</v>
      </c>
      <c r="FKV324" s="26" t="s">
        <v>366</v>
      </c>
      <c r="FKW324" s="26" t="s">
        <v>366</v>
      </c>
      <c r="FKX324" s="26" t="s">
        <v>366</v>
      </c>
      <c r="FKY324" s="26" t="s">
        <v>366</v>
      </c>
      <c r="FKZ324" s="26" t="s">
        <v>366</v>
      </c>
      <c r="FLA324" s="26" t="s">
        <v>366</v>
      </c>
      <c r="FLB324" s="26" t="s">
        <v>366</v>
      </c>
      <c r="FLC324" s="26" t="s">
        <v>366</v>
      </c>
      <c r="FLD324" s="26" t="s">
        <v>366</v>
      </c>
      <c r="FLE324" s="26" t="s">
        <v>366</v>
      </c>
      <c r="FLF324" s="26" t="s">
        <v>366</v>
      </c>
      <c r="FLG324" s="26" t="s">
        <v>366</v>
      </c>
      <c r="FLH324" s="26" t="s">
        <v>366</v>
      </c>
      <c r="FLI324" s="26" t="s">
        <v>366</v>
      </c>
      <c r="FLJ324" s="26" t="s">
        <v>366</v>
      </c>
      <c r="FLK324" s="26" t="s">
        <v>366</v>
      </c>
      <c r="FLL324" s="26" t="s">
        <v>366</v>
      </c>
      <c r="FLM324" s="26" t="s">
        <v>366</v>
      </c>
      <c r="FLN324" s="26" t="s">
        <v>366</v>
      </c>
      <c r="FLO324" s="26" t="s">
        <v>366</v>
      </c>
      <c r="FLP324" s="26" t="s">
        <v>366</v>
      </c>
      <c r="FLQ324" s="26" t="s">
        <v>366</v>
      </c>
      <c r="FLR324" s="26" t="s">
        <v>366</v>
      </c>
      <c r="FLS324" s="26" t="s">
        <v>366</v>
      </c>
      <c r="FLT324" s="26" t="s">
        <v>366</v>
      </c>
      <c r="FLU324" s="26" t="s">
        <v>366</v>
      </c>
      <c r="FLV324" s="26" t="s">
        <v>366</v>
      </c>
      <c r="FLW324" s="26" t="s">
        <v>366</v>
      </c>
      <c r="FLX324" s="26" t="s">
        <v>366</v>
      </c>
      <c r="FLY324" s="26" t="s">
        <v>366</v>
      </c>
      <c r="FLZ324" s="26" t="s">
        <v>366</v>
      </c>
      <c r="FMA324" s="26" t="s">
        <v>366</v>
      </c>
      <c r="FMB324" s="26" t="s">
        <v>366</v>
      </c>
      <c r="FMC324" s="26" t="s">
        <v>366</v>
      </c>
      <c r="FMD324" s="26" t="s">
        <v>366</v>
      </c>
      <c r="FME324" s="26" t="s">
        <v>366</v>
      </c>
      <c r="FMF324" s="26" t="s">
        <v>366</v>
      </c>
      <c r="FMG324" s="26" t="s">
        <v>366</v>
      </c>
      <c r="FMH324" s="26" t="s">
        <v>366</v>
      </c>
      <c r="FMI324" s="26" t="s">
        <v>366</v>
      </c>
      <c r="FMJ324" s="26" t="s">
        <v>366</v>
      </c>
      <c r="FMK324" s="26" t="s">
        <v>366</v>
      </c>
      <c r="FML324" s="26" t="s">
        <v>366</v>
      </c>
      <c r="FMM324" s="26" t="s">
        <v>366</v>
      </c>
      <c r="FMN324" s="26" t="s">
        <v>366</v>
      </c>
      <c r="FMO324" s="26" t="s">
        <v>366</v>
      </c>
      <c r="FMP324" s="26" t="s">
        <v>366</v>
      </c>
      <c r="FMQ324" s="26" t="s">
        <v>366</v>
      </c>
      <c r="FMR324" s="26" t="s">
        <v>366</v>
      </c>
      <c r="FMS324" s="26" t="s">
        <v>366</v>
      </c>
      <c r="FMT324" s="26" t="s">
        <v>366</v>
      </c>
      <c r="FMU324" s="26" t="s">
        <v>366</v>
      </c>
      <c r="FMV324" s="26" t="s">
        <v>366</v>
      </c>
      <c r="FMW324" s="26" t="s">
        <v>366</v>
      </c>
      <c r="FMX324" s="26" t="s">
        <v>366</v>
      </c>
      <c r="FMY324" s="26" t="s">
        <v>366</v>
      </c>
      <c r="FMZ324" s="26" t="s">
        <v>366</v>
      </c>
      <c r="FNA324" s="26" t="s">
        <v>366</v>
      </c>
      <c r="FNB324" s="26" t="s">
        <v>366</v>
      </c>
      <c r="FNC324" s="26" t="s">
        <v>366</v>
      </c>
      <c r="FND324" s="26" t="s">
        <v>366</v>
      </c>
      <c r="FNE324" s="26" t="s">
        <v>366</v>
      </c>
      <c r="FNF324" s="26" t="s">
        <v>366</v>
      </c>
      <c r="FNG324" s="26" t="s">
        <v>366</v>
      </c>
      <c r="FNH324" s="26" t="s">
        <v>366</v>
      </c>
      <c r="FNI324" s="26" t="s">
        <v>366</v>
      </c>
      <c r="FNJ324" s="26" t="s">
        <v>366</v>
      </c>
      <c r="FNK324" s="26" t="s">
        <v>366</v>
      </c>
      <c r="FNL324" s="26" t="s">
        <v>366</v>
      </c>
      <c r="FNM324" s="26" t="s">
        <v>366</v>
      </c>
      <c r="FNN324" s="26" t="s">
        <v>366</v>
      </c>
      <c r="FNO324" s="26" t="s">
        <v>366</v>
      </c>
      <c r="FNP324" s="26" t="s">
        <v>366</v>
      </c>
      <c r="FNQ324" s="26" t="s">
        <v>366</v>
      </c>
      <c r="FNR324" s="26" t="s">
        <v>366</v>
      </c>
      <c r="FNS324" s="26" t="s">
        <v>366</v>
      </c>
      <c r="FNT324" s="26" t="s">
        <v>366</v>
      </c>
      <c r="FNU324" s="26" t="s">
        <v>366</v>
      </c>
      <c r="FNV324" s="26" t="s">
        <v>366</v>
      </c>
      <c r="FNW324" s="26" t="s">
        <v>366</v>
      </c>
      <c r="FNX324" s="26" t="s">
        <v>366</v>
      </c>
      <c r="FNY324" s="26" t="s">
        <v>366</v>
      </c>
      <c r="FNZ324" s="26" t="s">
        <v>366</v>
      </c>
      <c r="FOA324" s="26" t="s">
        <v>366</v>
      </c>
      <c r="FOB324" s="26" t="s">
        <v>366</v>
      </c>
      <c r="FOC324" s="26" t="s">
        <v>366</v>
      </c>
      <c r="FOD324" s="26" t="s">
        <v>366</v>
      </c>
      <c r="FOE324" s="26" t="s">
        <v>366</v>
      </c>
      <c r="FOF324" s="26" t="s">
        <v>366</v>
      </c>
      <c r="FOG324" s="26" t="s">
        <v>366</v>
      </c>
      <c r="FOH324" s="26" t="s">
        <v>366</v>
      </c>
      <c r="FOI324" s="26" t="s">
        <v>366</v>
      </c>
      <c r="FOJ324" s="26" t="s">
        <v>366</v>
      </c>
      <c r="FOK324" s="26" t="s">
        <v>366</v>
      </c>
      <c r="FOL324" s="26" t="s">
        <v>366</v>
      </c>
      <c r="FOM324" s="26" t="s">
        <v>366</v>
      </c>
      <c r="FON324" s="26" t="s">
        <v>366</v>
      </c>
      <c r="FOO324" s="26" t="s">
        <v>366</v>
      </c>
      <c r="FOP324" s="26" t="s">
        <v>366</v>
      </c>
      <c r="FOQ324" s="26" t="s">
        <v>366</v>
      </c>
      <c r="FOR324" s="26" t="s">
        <v>366</v>
      </c>
      <c r="FOS324" s="26" t="s">
        <v>366</v>
      </c>
      <c r="FOT324" s="26" t="s">
        <v>366</v>
      </c>
      <c r="FOU324" s="26" t="s">
        <v>366</v>
      </c>
      <c r="FOV324" s="26" t="s">
        <v>366</v>
      </c>
      <c r="FOW324" s="26" t="s">
        <v>366</v>
      </c>
      <c r="FOX324" s="26" t="s">
        <v>366</v>
      </c>
      <c r="FOY324" s="26" t="s">
        <v>366</v>
      </c>
      <c r="FOZ324" s="26" t="s">
        <v>366</v>
      </c>
      <c r="FPA324" s="26" t="s">
        <v>366</v>
      </c>
      <c r="FPB324" s="26" t="s">
        <v>366</v>
      </c>
      <c r="FPC324" s="26" t="s">
        <v>366</v>
      </c>
      <c r="FPD324" s="26" t="s">
        <v>366</v>
      </c>
      <c r="FPE324" s="26" t="s">
        <v>366</v>
      </c>
      <c r="FPF324" s="26" t="s">
        <v>366</v>
      </c>
      <c r="FPG324" s="26" t="s">
        <v>366</v>
      </c>
      <c r="FPH324" s="26" t="s">
        <v>366</v>
      </c>
      <c r="FPI324" s="26" t="s">
        <v>366</v>
      </c>
      <c r="FPJ324" s="26" t="s">
        <v>366</v>
      </c>
      <c r="FPK324" s="26" t="s">
        <v>366</v>
      </c>
      <c r="FPL324" s="26" t="s">
        <v>366</v>
      </c>
      <c r="FPM324" s="26" t="s">
        <v>366</v>
      </c>
      <c r="FPN324" s="26" t="s">
        <v>366</v>
      </c>
      <c r="FPO324" s="26" t="s">
        <v>366</v>
      </c>
      <c r="FPP324" s="26" t="s">
        <v>366</v>
      </c>
      <c r="FPQ324" s="26" t="s">
        <v>366</v>
      </c>
      <c r="FPR324" s="26" t="s">
        <v>366</v>
      </c>
      <c r="FPS324" s="26" t="s">
        <v>366</v>
      </c>
      <c r="FPT324" s="26" t="s">
        <v>366</v>
      </c>
      <c r="FPU324" s="26" t="s">
        <v>366</v>
      </c>
      <c r="FPV324" s="26" t="s">
        <v>366</v>
      </c>
      <c r="FPW324" s="26" t="s">
        <v>366</v>
      </c>
      <c r="FPX324" s="26" t="s">
        <v>366</v>
      </c>
      <c r="FPY324" s="26" t="s">
        <v>366</v>
      </c>
      <c r="FPZ324" s="26" t="s">
        <v>366</v>
      </c>
      <c r="FQA324" s="26" t="s">
        <v>366</v>
      </c>
      <c r="FQB324" s="26" t="s">
        <v>366</v>
      </c>
      <c r="FQC324" s="26" t="s">
        <v>366</v>
      </c>
      <c r="FQD324" s="26" t="s">
        <v>366</v>
      </c>
      <c r="FQE324" s="26" t="s">
        <v>366</v>
      </c>
      <c r="FQF324" s="26" t="s">
        <v>366</v>
      </c>
      <c r="FQG324" s="26" t="s">
        <v>366</v>
      </c>
      <c r="FQH324" s="26" t="s">
        <v>366</v>
      </c>
      <c r="FQI324" s="26" t="s">
        <v>366</v>
      </c>
      <c r="FQJ324" s="26" t="s">
        <v>366</v>
      </c>
      <c r="FQK324" s="26" t="s">
        <v>366</v>
      </c>
      <c r="FQL324" s="26" t="s">
        <v>366</v>
      </c>
      <c r="FQM324" s="26" t="s">
        <v>366</v>
      </c>
      <c r="FQN324" s="26" t="s">
        <v>366</v>
      </c>
      <c r="FQO324" s="26" t="s">
        <v>366</v>
      </c>
      <c r="FQP324" s="26" t="s">
        <v>366</v>
      </c>
      <c r="FQQ324" s="26" t="s">
        <v>366</v>
      </c>
      <c r="FQR324" s="26" t="s">
        <v>366</v>
      </c>
      <c r="FQS324" s="26" t="s">
        <v>366</v>
      </c>
      <c r="FQT324" s="26" t="s">
        <v>366</v>
      </c>
      <c r="FQU324" s="26" t="s">
        <v>366</v>
      </c>
      <c r="FQV324" s="26" t="s">
        <v>366</v>
      </c>
      <c r="FQW324" s="26" t="s">
        <v>366</v>
      </c>
      <c r="FQX324" s="26" t="s">
        <v>366</v>
      </c>
      <c r="FQY324" s="26" t="s">
        <v>366</v>
      </c>
      <c r="FQZ324" s="26" t="s">
        <v>366</v>
      </c>
      <c r="FRA324" s="26" t="s">
        <v>366</v>
      </c>
      <c r="FRB324" s="26" t="s">
        <v>366</v>
      </c>
      <c r="FRC324" s="26" t="s">
        <v>366</v>
      </c>
      <c r="FRD324" s="26" t="s">
        <v>366</v>
      </c>
      <c r="FRE324" s="26" t="s">
        <v>366</v>
      </c>
      <c r="FRF324" s="26" t="s">
        <v>366</v>
      </c>
      <c r="FRG324" s="26" t="s">
        <v>366</v>
      </c>
      <c r="FRH324" s="26" t="s">
        <v>366</v>
      </c>
      <c r="FRI324" s="26" t="s">
        <v>366</v>
      </c>
      <c r="FRJ324" s="26" t="s">
        <v>366</v>
      </c>
      <c r="FRK324" s="26" t="s">
        <v>366</v>
      </c>
      <c r="FRL324" s="26" t="s">
        <v>366</v>
      </c>
      <c r="FRM324" s="26" t="s">
        <v>366</v>
      </c>
      <c r="FRN324" s="26" t="s">
        <v>366</v>
      </c>
      <c r="FRO324" s="26" t="s">
        <v>366</v>
      </c>
      <c r="FRP324" s="26" t="s">
        <v>366</v>
      </c>
      <c r="FRQ324" s="26" t="s">
        <v>366</v>
      </c>
      <c r="FRR324" s="26" t="s">
        <v>366</v>
      </c>
      <c r="FRS324" s="26" t="s">
        <v>366</v>
      </c>
      <c r="FRT324" s="26" t="s">
        <v>366</v>
      </c>
      <c r="FRU324" s="26" t="s">
        <v>366</v>
      </c>
      <c r="FRV324" s="26" t="s">
        <v>366</v>
      </c>
      <c r="FRW324" s="26" t="s">
        <v>366</v>
      </c>
      <c r="FRX324" s="26" t="s">
        <v>366</v>
      </c>
      <c r="FRY324" s="26" t="s">
        <v>366</v>
      </c>
      <c r="FRZ324" s="26" t="s">
        <v>366</v>
      </c>
      <c r="FSA324" s="26" t="s">
        <v>366</v>
      </c>
      <c r="FSB324" s="26" t="s">
        <v>366</v>
      </c>
      <c r="FSC324" s="26" t="s">
        <v>366</v>
      </c>
      <c r="FSD324" s="26" t="s">
        <v>366</v>
      </c>
      <c r="FSE324" s="26" t="s">
        <v>366</v>
      </c>
      <c r="FSF324" s="26" t="s">
        <v>366</v>
      </c>
      <c r="FSG324" s="26" t="s">
        <v>366</v>
      </c>
      <c r="FSH324" s="26" t="s">
        <v>366</v>
      </c>
      <c r="FSI324" s="26" t="s">
        <v>366</v>
      </c>
      <c r="FSJ324" s="26" t="s">
        <v>366</v>
      </c>
      <c r="FSK324" s="26" t="s">
        <v>366</v>
      </c>
      <c r="FSL324" s="26" t="s">
        <v>366</v>
      </c>
      <c r="FSM324" s="26" t="s">
        <v>366</v>
      </c>
      <c r="FSN324" s="26" t="s">
        <v>366</v>
      </c>
      <c r="FSO324" s="26" t="s">
        <v>366</v>
      </c>
      <c r="FSP324" s="26" t="s">
        <v>366</v>
      </c>
      <c r="FSQ324" s="26" t="s">
        <v>366</v>
      </c>
      <c r="FSR324" s="26" t="s">
        <v>366</v>
      </c>
      <c r="FSS324" s="26" t="s">
        <v>366</v>
      </c>
      <c r="FST324" s="26" t="s">
        <v>366</v>
      </c>
      <c r="FSU324" s="26" t="s">
        <v>366</v>
      </c>
      <c r="FSV324" s="26" t="s">
        <v>366</v>
      </c>
      <c r="FSW324" s="26" t="s">
        <v>366</v>
      </c>
      <c r="FSX324" s="26" t="s">
        <v>366</v>
      </c>
      <c r="FSY324" s="26" t="s">
        <v>366</v>
      </c>
      <c r="FSZ324" s="26" t="s">
        <v>366</v>
      </c>
      <c r="FTA324" s="26" t="s">
        <v>366</v>
      </c>
      <c r="FTB324" s="26" t="s">
        <v>366</v>
      </c>
      <c r="FTC324" s="26" t="s">
        <v>366</v>
      </c>
      <c r="FTD324" s="26" t="s">
        <v>366</v>
      </c>
      <c r="FTE324" s="26" t="s">
        <v>366</v>
      </c>
      <c r="FTF324" s="26" t="s">
        <v>366</v>
      </c>
      <c r="FTG324" s="26" t="s">
        <v>366</v>
      </c>
      <c r="FTH324" s="26" t="s">
        <v>366</v>
      </c>
      <c r="FTI324" s="26" t="s">
        <v>366</v>
      </c>
      <c r="FTJ324" s="26" t="s">
        <v>366</v>
      </c>
      <c r="FTK324" s="26" t="s">
        <v>366</v>
      </c>
      <c r="FTL324" s="26" t="s">
        <v>366</v>
      </c>
      <c r="FTM324" s="26" t="s">
        <v>366</v>
      </c>
      <c r="FTN324" s="26" t="s">
        <v>366</v>
      </c>
      <c r="FTO324" s="26" t="s">
        <v>366</v>
      </c>
      <c r="FTP324" s="26" t="s">
        <v>366</v>
      </c>
      <c r="FTQ324" s="26" t="s">
        <v>366</v>
      </c>
      <c r="FTR324" s="26" t="s">
        <v>366</v>
      </c>
      <c r="FTS324" s="26" t="s">
        <v>366</v>
      </c>
      <c r="FTT324" s="26" t="s">
        <v>366</v>
      </c>
      <c r="FTU324" s="26" t="s">
        <v>366</v>
      </c>
      <c r="FTV324" s="26" t="s">
        <v>366</v>
      </c>
      <c r="FTW324" s="26" t="s">
        <v>366</v>
      </c>
      <c r="FTX324" s="26" t="s">
        <v>366</v>
      </c>
      <c r="FTY324" s="26" t="s">
        <v>366</v>
      </c>
      <c r="FTZ324" s="26" t="s">
        <v>366</v>
      </c>
      <c r="FUA324" s="26" t="s">
        <v>366</v>
      </c>
      <c r="FUB324" s="26" t="s">
        <v>366</v>
      </c>
      <c r="FUC324" s="26" t="s">
        <v>366</v>
      </c>
      <c r="FUD324" s="26" t="s">
        <v>366</v>
      </c>
      <c r="FUE324" s="26" t="s">
        <v>366</v>
      </c>
      <c r="FUF324" s="26" t="s">
        <v>366</v>
      </c>
      <c r="FUG324" s="26" t="s">
        <v>366</v>
      </c>
      <c r="FUH324" s="26" t="s">
        <v>366</v>
      </c>
      <c r="FUI324" s="26" t="s">
        <v>366</v>
      </c>
      <c r="FUJ324" s="26" t="s">
        <v>366</v>
      </c>
      <c r="FUK324" s="26" t="s">
        <v>366</v>
      </c>
      <c r="FUL324" s="26" t="s">
        <v>366</v>
      </c>
      <c r="FUM324" s="26" t="s">
        <v>366</v>
      </c>
      <c r="FUN324" s="26" t="s">
        <v>366</v>
      </c>
      <c r="FUO324" s="26" t="s">
        <v>366</v>
      </c>
      <c r="FUP324" s="26" t="s">
        <v>366</v>
      </c>
      <c r="FUQ324" s="26" t="s">
        <v>366</v>
      </c>
      <c r="FUR324" s="26" t="s">
        <v>366</v>
      </c>
      <c r="FUS324" s="26" t="s">
        <v>366</v>
      </c>
      <c r="FUT324" s="26" t="s">
        <v>366</v>
      </c>
      <c r="FUU324" s="26" t="s">
        <v>366</v>
      </c>
      <c r="FUV324" s="26" t="s">
        <v>366</v>
      </c>
      <c r="FUW324" s="26" t="s">
        <v>366</v>
      </c>
      <c r="FUX324" s="26" t="s">
        <v>366</v>
      </c>
      <c r="FUY324" s="26" t="s">
        <v>366</v>
      </c>
      <c r="FUZ324" s="26" t="s">
        <v>366</v>
      </c>
      <c r="FVA324" s="26" t="s">
        <v>366</v>
      </c>
      <c r="FVB324" s="26" t="s">
        <v>366</v>
      </c>
      <c r="FVC324" s="26" t="s">
        <v>366</v>
      </c>
      <c r="FVD324" s="26" t="s">
        <v>366</v>
      </c>
      <c r="FVE324" s="26" t="s">
        <v>366</v>
      </c>
      <c r="FVF324" s="26" t="s">
        <v>366</v>
      </c>
      <c r="FVG324" s="26" t="s">
        <v>366</v>
      </c>
      <c r="FVH324" s="26" t="s">
        <v>366</v>
      </c>
      <c r="FVI324" s="26" t="s">
        <v>366</v>
      </c>
      <c r="FVJ324" s="26" t="s">
        <v>366</v>
      </c>
      <c r="FVK324" s="26" t="s">
        <v>366</v>
      </c>
      <c r="FVL324" s="26" t="s">
        <v>366</v>
      </c>
      <c r="FVM324" s="26" t="s">
        <v>366</v>
      </c>
      <c r="FVN324" s="26" t="s">
        <v>366</v>
      </c>
      <c r="FVO324" s="26" t="s">
        <v>366</v>
      </c>
      <c r="FVP324" s="26" t="s">
        <v>366</v>
      </c>
      <c r="FVQ324" s="26" t="s">
        <v>366</v>
      </c>
      <c r="FVR324" s="26" t="s">
        <v>366</v>
      </c>
      <c r="FVS324" s="26" t="s">
        <v>366</v>
      </c>
      <c r="FVT324" s="26" t="s">
        <v>366</v>
      </c>
      <c r="FVU324" s="26" t="s">
        <v>366</v>
      </c>
      <c r="FVV324" s="26" t="s">
        <v>366</v>
      </c>
      <c r="FVW324" s="26" t="s">
        <v>366</v>
      </c>
      <c r="FVX324" s="26" t="s">
        <v>366</v>
      </c>
      <c r="FVY324" s="26" t="s">
        <v>366</v>
      </c>
      <c r="FVZ324" s="26" t="s">
        <v>366</v>
      </c>
      <c r="FWA324" s="26" t="s">
        <v>366</v>
      </c>
      <c r="FWB324" s="26" t="s">
        <v>366</v>
      </c>
      <c r="FWC324" s="26" t="s">
        <v>366</v>
      </c>
      <c r="FWD324" s="26" t="s">
        <v>366</v>
      </c>
      <c r="FWE324" s="26" t="s">
        <v>366</v>
      </c>
      <c r="FWF324" s="26" t="s">
        <v>366</v>
      </c>
      <c r="FWG324" s="26" t="s">
        <v>366</v>
      </c>
      <c r="FWH324" s="26" t="s">
        <v>366</v>
      </c>
      <c r="FWI324" s="26" t="s">
        <v>366</v>
      </c>
      <c r="FWJ324" s="26" t="s">
        <v>366</v>
      </c>
      <c r="FWK324" s="26" t="s">
        <v>366</v>
      </c>
      <c r="FWL324" s="26" t="s">
        <v>366</v>
      </c>
      <c r="FWM324" s="26" t="s">
        <v>366</v>
      </c>
      <c r="FWN324" s="26" t="s">
        <v>366</v>
      </c>
      <c r="FWO324" s="26" t="s">
        <v>366</v>
      </c>
      <c r="FWP324" s="26" t="s">
        <v>366</v>
      </c>
      <c r="FWQ324" s="26" t="s">
        <v>366</v>
      </c>
      <c r="FWR324" s="26" t="s">
        <v>366</v>
      </c>
      <c r="FWS324" s="26" t="s">
        <v>366</v>
      </c>
      <c r="FWT324" s="26" t="s">
        <v>366</v>
      </c>
      <c r="FWU324" s="26" t="s">
        <v>366</v>
      </c>
      <c r="FWV324" s="26" t="s">
        <v>366</v>
      </c>
      <c r="FWW324" s="26" t="s">
        <v>366</v>
      </c>
      <c r="FWX324" s="26" t="s">
        <v>366</v>
      </c>
      <c r="FWY324" s="26" t="s">
        <v>366</v>
      </c>
      <c r="FWZ324" s="26" t="s">
        <v>366</v>
      </c>
      <c r="FXA324" s="26" t="s">
        <v>366</v>
      </c>
      <c r="FXB324" s="26" t="s">
        <v>366</v>
      </c>
      <c r="FXC324" s="26" t="s">
        <v>366</v>
      </c>
      <c r="FXD324" s="26" t="s">
        <v>366</v>
      </c>
      <c r="FXE324" s="26" t="s">
        <v>366</v>
      </c>
      <c r="FXF324" s="26" t="s">
        <v>366</v>
      </c>
      <c r="FXG324" s="26" t="s">
        <v>366</v>
      </c>
      <c r="FXH324" s="26" t="s">
        <v>366</v>
      </c>
      <c r="FXI324" s="26" t="s">
        <v>366</v>
      </c>
      <c r="FXJ324" s="26" t="s">
        <v>366</v>
      </c>
      <c r="FXK324" s="26" t="s">
        <v>366</v>
      </c>
      <c r="FXL324" s="26" t="s">
        <v>366</v>
      </c>
      <c r="FXM324" s="26" t="s">
        <v>366</v>
      </c>
      <c r="FXN324" s="26" t="s">
        <v>366</v>
      </c>
      <c r="FXO324" s="26" t="s">
        <v>366</v>
      </c>
      <c r="FXP324" s="26" t="s">
        <v>366</v>
      </c>
      <c r="FXQ324" s="26" t="s">
        <v>366</v>
      </c>
      <c r="FXR324" s="26" t="s">
        <v>366</v>
      </c>
      <c r="FXS324" s="26" t="s">
        <v>366</v>
      </c>
      <c r="FXT324" s="26" t="s">
        <v>366</v>
      </c>
      <c r="FXU324" s="26" t="s">
        <v>366</v>
      </c>
      <c r="FXV324" s="26" t="s">
        <v>366</v>
      </c>
      <c r="FXW324" s="26" t="s">
        <v>366</v>
      </c>
      <c r="FXX324" s="26" t="s">
        <v>366</v>
      </c>
      <c r="FXY324" s="26" t="s">
        <v>366</v>
      </c>
      <c r="FXZ324" s="26" t="s">
        <v>366</v>
      </c>
      <c r="FYA324" s="26" t="s">
        <v>366</v>
      </c>
      <c r="FYB324" s="26" t="s">
        <v>366</v>
      </c>
      <c r="FYC324" s="26" t="s">
        <v>366</v>
      </c>
      <c r="FYD324" s="26" t="s">
        <v>366</v>
      </c>
      <c r="FYE324" s="26" t="s">
        <v>366</v>
      </c>
      <c r="FYF324" s="26" t="s">
        <v>366</v>
      </c>
      <c r="FYG324" s="26" t="s">
        <v>366</v>
      </c>
      <c r="FYH324" s="26" t="s">
        <v>366</v>
      </c>
      <c r="FYI324" s="26" t="s">
        <v>366</v>
      </c>
      <c r="FYJ324" s="26" t="s">
        <v>366</v>
      </c>
      <c r="FYK324" s="26" t="s">
        <v>366</v>
      </c>
      <c r="FYL324" s="26" t="s">
        <v>366</v>
      </c>
      <c r="FYM324" s="26" t="s">
        <v>366</v>
      </c>
      <c r="FYN324" s="26" t="s">
        <v>366</v>
      </c>
      <c r="FYO324" s="26" t="s">
        <v>366</v>
      </c>
      <c r="FYP324" s="26" t="s">
        <v>366</v>
      </c>
      <c r="FYQ324" s="26" t="s">
        <v>366</v>
      </c>
      <c r="FYR324" s="26" t="s">
        <v>366</v>
      </c>
      <c r="FYS324" s="26" t="s">
        <v>366</v>
      </c>
      <c r="FYT324" s="26" t="s">
        <v>366</v>
      </c>
      <c r="FYU324" s="26" t="s">
        <v>366</v>
      </c>
      <c r="FYV324" s="26" t="s">
        <v>366</v>
      </c>
      <c r="FYW324" s="26" t="s">
        <v>366</v>
      </c>
      <c r="FYX324" s="26" t="s">
        <v>366</v>
      </c>
      <c r="FYY324" s="26" t="s">
        <v>366</v>
      </c>
      <c r="FYZ324" s="26" t="s">
        <v>366</v>
      </c>
      <c r="FZA324" s="26" t="s">
        <v>366</v>
      </c>
      <c r="FZB324" s="26" t="s">
        <v>366</v>
      </c>
      <c r="FZC324" s="26" t="s">
        <v>366</v>
      </c>
      <c r="FZD324" s="26" t="s">
        <v>366</v>
      </c>
      <c r="FZE324" s="26" t="s">
        <v>366</v>
      </c>
      <c r="FZF324" s="26" t="s">
        <v>366</v>
      </c>
      <c r="FZG324" s="26" t="s">
        <v>366</v>
      </c>
      <c r="FZH324" s="26" t="s">
        <v>366</v>
      </c>
      <c r="FZI324" s="26" t="s">
        <v>366</v>
      </c>
      <c r="FZJ324" s="26" t="s">
        <v>366</v>
      </c>
      <c r="FZK324" s="26" t="s">
        <v>366</v>
      </c>
      <c r="FZL324" s="26" t="s">
        <v>366</v>
      </c>
      <c r="FZM324" s="26" t="s">
        <v>366</v>
      </c>
      <c r="FZN324" s="26" t="s">
        <v>366</v>
      </c>
      <c r="FZO324" s="26" t="s">
        <v>366</v>
      </c>
      <c r="FZP324" s="26" t="s">
        <v>366</v>
      </c>
      <c r="FZQ324" s="26" t="s">
        <v>366</v>
      </c>
      <c r="FZR324" s="26" t="s">
        <v>366</v>
      </c>
      <c r="FZS324" s="26" t="s">
        <v>366</v>
      </c>
      <c r="FZT324" s="26" t="s">
        <v>366</v>
      </c>
      <c r="FZU324" s="26" t="s">
        <v>366</v>
      </c>
      <c r="FZV324" s="26" t="s">
        <v>366</v>
      </c>
      <c r="FZW324" s="26" t="s">
        <v>366</v>
      </c>
      <c r="FZX324" s="26" t="s">
        <v>366</v>
      </c>
      <c r="FZY324" s="26" t="s">
        <v>366</v>
      </c>
      <c r="FZZ324" s="26" t="s">
        <v>366</v>
      </c>
      <c r="GAA324" s="26" t="s">
        <v>366</v>
      </c>
      <c r="GAB324" s="26" t="s">
        <v>366</v>
      </c>
      <c r="GAC324" s="26" t="s">
        <v>366</v>
      </c>
      <c r="GAD324" s="26" t="s">
        <v>366</v>
      </c>
      <c r="GAE324" s="26" t="s">
        <v>366</v>
      </c>
      <c r="GAF324" s="26" t="s">
        <v>366</v>
      </c>
      <c r="GAG324" s="26" t="s">
        <v>366</v>
      </c>
      <c r="GAH324" s="26" t="s">
        <v>366</v>
      </c>
      <c r="GAI324" s="26" t="s">
        <v>366</v>
      </c>
      <c r="GAJ324" s="26" t="s">
        <v>366</v>
      </c>
      <c r="GAK324" s="26" t="s">
        <v>366</v>
      </c>
      <c r="GAL324" s="26" t="s">
        <v>366</v>
      </c>
      <c r="GAM324" s="26" t="s">
        <v>366</v>
      </c>
      <c r="GAN324" s="26" t="s">
        <v>366</v>
      </c>
      <c r="GAO324" s="26" t="s">
        <v>366</v>
      </c>
      <c r="GAP324" s="26" t="s">
        <v>366</v>
      </c>
      <c r="GAQ324" s="26" t="s">
        <v>366</v>
      </c>
      <c r="GAR324" s="26" t="s">
        <v>366</v>
      </c>
      <c r="GAS324" s="26" t="s">
        <v>366</v>
      </c>
      <c r="GAT324" s="26" t="s">
        <v>366</v>
      </c>
      <c r="GAU324" s="26" t="s">
        <v>366</v>
      </c>
      <c r="GAV324" s="26" t="s">
        <v>366</v>
      </c>
      <c r="GAW324" s="26" t="s">
        <v>366</v>
      </c>
      <c r="GAX324" s="26" t="s">
        <v>366</v>
      </c>
      <c r="GAY324" s="26" t="s">
        <v>366</v>
      </c>
      <c r="GAZ324" s="26" t="s">
        <v>366</v>
      </c>
      <c r="GBA324" s="26" t="s">
        <v>366</v>
      </c>
      <c r="GBB324" s="26" t="s">
        <v>366</v>
      </c>
      <c r="GBC324" s="26" t="s">
        <v>366</v>
      </c>
      <c r="GBD324" s="26" t="s">
        <v>366</v>
      </c>
      <c r="GBE324" s="26" t="s">
        <v>366</v>
      </c>
      <c r="GBF324" s="26" t="s">
        <v>366</v>
      </c>
      <c r="GBG324" s="26" t="s">
        <v>366</v>
      </c>
      <c r="GBH324" s="26" t="s">
        <v>366</v>
      </c>
      <c r="GBI324" s="26" t="s">
        <v>366</v>
      </c>
      <c r="GBJ324" s="26" t="s">
        <v>366</v>
      </c>
      <c r="GBK324" s="26" t="s">
        <v>366</v>
      </c>
      <c r="GBL324" s="26" t="s">
        <v>366</v>
      </c>
      <c r="GBM324" s="26" t="s">
        <v>366</v>
      </c>
      <c r="GBN324" s="26" t="s">
        <v>366</v>
      </c>
      <c r="GBO324" s="26" t="s">
        <v>366</v>
      </c>
      <c r="GBP324" s="26" t="s">
        <v>366</v>
      </c>
      <c r="GBQ324" s="26" t="s">
        <v>366</v>
      </c>
      <c r="GBR324" s="26" t="s">
        <v>366</v>
      </c>
      <c r="GBS324" s="26" t="s">
        <v>366</v>
      </c>
      <c r="GBT324" s="26" t="s">
        <v>366</v>
      </c>
      <c r="GBU324" s="26" t="s">
        <v>366</v>
      </c>
      <c r="GBV324" s="26" t="s">
        <v>366</v>
      </c>
      <c r="GBW324" s="26" t="s">
        <v>366</v>
      </c>
      <c r="GBX324" s="26" t="s">
        <v>366</v>
      </c>
      <c r="GBY324" s="26" t="s">
        <v>366</v>
      </c>
      <c r="GBZ324" s="26" t="s">
        <v>366</v>
      </c>
      <c r="GCA324" s="26" t="s">
        <v>366</v>
      </c>
      <c r="GCB324" s="26" t="s">
        <v>366</v>
      </c>
      <c r="GCC324" s="26" t="s">
        <v>366</v>
      </c>
      <c r="GCD324" s="26" t="s">
        <v>366</v>
      </c>
      <c r="GCE324" s="26" t="s">
        <v>366</v>
      </c>
      <c r="GCF324" s="26" t="s">
        <v>366</v>
      </c>
      <c r="GCG324" s="26" t="s">
        <v>366</v>
      </c>
      <c r="GCH324" s="26" t="s">
        <v>366</v>
      </c>
      <c r="GCI324" s="26" t="s">
        <v>366</v>
      </c>
      <c r="GCJ324" s="26" t="s">
        <v>366</v>
      </c>
      <c r="GCK324" s="26" t="s">
        <v>366</v>
      </c>
      <c r="GCL324" s="26" t="s">
        <v>366</v>
      </c>
      <c r="GCM324" s="26" t="s">
        <v>366</v>
      </c>
      <c r="GCN324" s="26" t="s">
        <v>366</v>
      </c>
      <c r="GCO324" s="26" t="s">
        <v>366</v>
      </c>
      <c r="GCP324" s="26" t="s">
        <v>366</v>
      </c>
      <c r="GCQ324" s="26" t="s">
        <v>366</v>
      </c>
      <c r="GCR324" s="26" t="s">
        <v>366</v>
      </c>
      <c r="GCS324" s="26" t="s">
        <v>366</v>
      </c>
      <c r="GCT324" s="26" t="s">
        <v>366</v>
      </c>
      <c r="GCU324" s="26" t="s">
        <v>366</v>
      </c>
      <c r="GCV324" s="26" t="s">
        <v>366</v>
      </c>
      <c r="GCW324" s="26" t="s">
        <v>366</v>
      </c>
      <c r="GCX324" s="26" t="s">
        <v>366</v>
      </c>
      <c r="GCY324" s="26" t="s">
        <v>366</v>
      </c>
      <c r="GCZ324" s="26" t="s">
        <v>366</v>
      </c>
      <c r="GDA324" s="26" t="s">
        <v>366</v>
      </c>
      <c r="GDB324" s="26" t="s">
        <v>366</v>
      </c>
      <c r="GDC324" s="26" t="s">
        <v>366</v>
      </c>
      <c r="GDD324" s="26" t="s">
        <v>366</v>
      </c>
      <c r="GDE324" s="26" t="s">
        <v>366</v>
      </c>
      <c r="GDF324" s="26" t="s">
        <v>366</v>
      </c>
      <c r="GDG324" s="26" t="s">
        <v>366</v>
      </c>
      <c r="GDH324" s="26" t="s">
        <v>366</v>
      </c>
      <c r="GDI324" s="26" t="s">
        <v>366</v>
      </c>
      <c r="GDJ324" s="26" t="s">
        <v>366</v>
      </c>
      <c r="GDK324" s="26" t="s">
        <v>366</v>
      </c>
      <c r="GDL324" s="26" t="s">
        <v>366</v>
      </c>
      <c r="GDM324" s="26" t="s">
        <v>366</v>
      </c>
      <c r="GDN324" s="26" t="s">
        <v>366</v>
      </c>
      <c r="GDO324" s="26" t="s">
        <v>366</v>
      </c>
      <c r="GDP324" s="26" t="s">
        <v>366</v>
      </c>
      <c r="GDQ324" s="26" t="s">
        <v>366</v>
      </c>
      <c r="GDR324" s="26" t="s">
        <v>366</v>
      </c>
      <c r="GDS324" s="26" t="s">
        <v>366</v>
      </c>
      <c r="GDT324" s="26" t="s">
        <v>366</v>
      </c>
      <c r="GDU324" s="26" t="s">
        <v>366</v>
      </c>
      <c r="GDV324" s="26" t="s">
        <v>366</v>
      </c>
      <c r="GDW324" s="26" t="s">
        <v>366</v>
      </c>
      <c r="GDX324" s="26" t="s">
        <v>366</v>
      </c>
      <c r="GDY324" s="26" t="s">
        <v>366</v>
      </c>
      <c r="GDZ324" s="26" t="s">
        <v>366</v>
      </c>
      <c r="GEA324" s="26" t="s">
        <v>366</v>
      </c>
      <c r="GEB324" s="26" t="s">
        <v>366</v>
      </c>
      <c r="GEC324" s="26" t="s">
        <v>366</v>
      </c>
      <c r="GED324" s="26" t="s">
        <v>366</v>
      </c>
      <c r="GEE324" s="26" t="s">
        <v>366</v>
      </c>
      <c r="GEF324" s="26" t="s">
        <v>366</v>
      </c>
      <c r="GEG324" s="26" t="s">
        <v>366</v>
      </c>
      <c r="GEH324" s="26" t="s">
        <v>366</v>
      </c>
      <c r="GEI324" s="26" t="s">
        <v>366</v>
      </c>
      <c r="GEJ324" s="26" t="s">
        <v>366</v>
      </c>
      <c r="GEK324" s="26" t="s">
        <v>366</v>
      </c>
      <c r="GEL324" s="26" t="s">
        <v>366</v>
      </c>
      <c r="GEM324" s="26" t="s">
        <v>366</v>
      </c>
      <c r="GEN324" s="26" t="s">
        <v>366</v>
      </c>
      <c r="GEO324" s="26" t="s">
        <v>366</v>
      </c>
      <c r="GEP324" s="26" t="s">
        <v>366</v>
      </c>
      <c r="GEQ324" s="26" t="s">
        <v>366</v>
      </c>
      <c r="GER324" s="26" t="s">
        <v>366</v>
      </c>
      <c r="GES324" s="26" t="s">
        <v>366</v>
      </c>
      <c r="GET324" s="26" t="s">
        <v>366</v>
      </c>
      <c r="GEU324" s="26" t="s">
        <v>366</v>
      </c>
      <c r="GEV324" s="26" t="s">
        <v>366</v>
      </c>
      <c r="GEW324" s="26" t="s">
        <v>366</v>
      </c>
      <c r="GEX324" s="26" t="s">
        <v>366</v>
      </c>
      <c r="GEY324" s="26" t="s">
        <v>366</v>
      </c>
      <c r="GEZ324" s="26" t="s">
        <v>366</v>
      </c>
      <c r="GFA324" s="26" t="s">
        <v>366</v>
      </c>
      <c r="GFB324" s="26" t="s">
        <v>366</v>
      </c>
      <c r="GFC324" s="26" t="s">
        <v>366</v>
      </c>
      <c r="GFD324" s="26" t="s">
        <v>366</v>
      </c>
      <c r="GFE324" s="26" t="s">
        <v>366</v>
      </c>
      <c r="GFF324" s="26" t="s">
        <v>366</v>
      </c>
      <c r="GFG324" s="26" t="s">
        <v>366</v>
      </c>
      <c r="GFH324" s="26" t="s">
        <v>366</v>
      </c>
      <c r="GFI324" s="26" t="s">
        <v>366</v>
      </c>
      <c r="GFJ324" s="26" t="s">
        <v>366</v>
      </c>
      <c r="GFK324" s="26" t="s">
        <v>366</v>
      </c>
      <c r="GFL324" s="26" t="s">
        <v>366</v>
      </c>
      <c r="GFM324" s="26" t="s">
        <v>366</v>
      </c>
      <c r="GFN324" s="26" t="s">
        <v>366</v>
      </c>
      <c r="GFO324" s="26" t="s">
        <v>366</v>
      </c>
      <c r="GFP324" s="26" t="s">
        <v>366</v>
      </c>
      <c r="GFQ324" s="26" t="s">
        <v>366</v>
      </c>
      <c r="GFR324" s="26" t="s">
        <v>366</v>
      </c>
      <c r="GFS324" s="26" t="s">
        <v>366</v>
      </c>
      <c r="GFT324" s="26" t="s">
        <v>366</v>
      </c>
      <c r="GFU324" s="26" t="s">
        <v>366</v>
      </c>
      <c r="GFV324" s="26" t="s">
        <v>366</v>
      </c>
      <c r="GFW324" s="26" t="s">
        <v>366</v>
      </c>
      <c r="GFX324" s="26" t="s">
        <v>366</v>
      </c>
      <c r="GFY324" s="26" t="s">
        <v>366</v>
      </c>
      <c r="GFZ324" s="26" t="s">
        <v>366</v>
      </c>
      <c r="GGA324" s="26" t="s">
        <v>366</v>
      </c>
      <c r="GGB324" s="26" t="s">
        <v>366</v>
      </c>
      <c r="GGC324" s="26" t="s">
        <v>366</v>
      </c>
      <c r="GGD324" s="26" t="s">
        <v>366</v>
      </c>
      <c r="GGE324" s="26" t="s">
        <v>366</v>
      </c>
      <c r="GGF324" s="26" t="s">
        <v>366</v>
      </c>
      <c r="GGG324" s="26" t="s">
        <v>366</v>
      </c>
      <c r="GGH324" s="26" t="s">
        <v>366</v>
      </c>
      <c r="GGI324" s="26" t="s">
        <v>366</v>
      </c>
      <c r="GGJ324" s="26" t="s">
        <v>366</v>
      </c>
      <c r="GGK324" s="26" t="s">
        <v>366</v>
      </c>
      <c r="GGL324" s="26" t="s">
        <v>366</v>
      </c>
      <c r="GGM324" s="26" t="s">
        <v>366</v>
      </c>
      <c r="GGN324" s="26" t="s">
        <v>366</v>
      </c>
      <c r="GGO324" s="26" t="s">
        <v>366</v>
      </c>
      <c r="GGP324" s="26" t="s">
        <v>366</v>
      </c>
      <c r="GGQ324" s="26" t="s">
        <v>366</v>
      </c>
      <c r="GGR324" s="26" t="s">
        <v>366</v>
      </c>
      <c r="GGS324" s="26" t="s">
        <v>366</v>
      </c>
      <c r="GGT324" s="26" t="s">
        <v>366</v>
      </c>
      <c r="GGU324" s="26" t="s">
        <v>366</v>
      </c>
      <c r="GGV324" s="26" t="s">
        <v>366</v>
      </c>
      <c r="GGW324" s="26" t="s">
        <v>366</v>
      </c>
      <c r="GGX324" s="26" t="s">
        <v>366</v>
      </c>
      <c r="GGY324" s="26" t="s">
        <v>366</v>
      </c>
      <c r="GGZ324" s="26" t="s">
        <v>366</v>
      </c>
      <c r="GHA324" s="26" t="s">
        <v>366</v>
      </c>
      <c r="GHB324" s="26" t="s">
        <v>366</v>
      </c>
      <c r="GHC324" s="26" t="s">
        <v>366</v>
      </c>
      <c r="GHD324" s="26" t="s">
        <v>366</v>
      </c>
      <c r="GHE324" s="26" t="s">
        <v>366</v>
      </c>
      <c r="GHF324" s="26" t="s">
        <v>366</v>
      </c>
      <c r="GHG324" s="26" t="s">
        <v>366</v>
      </c>
      <c r="GHH324" s="26" t="s">
        <v>366</v>
      </c>
      <c r="GHI324" s="26" t="s">
        <v>366</v>
      </c>
      <c r="GHJ324" s="26" t="s">
        <v>366</v>
      </c>
      <c r="GHK324" s="26" t="s">
        <v>366</v>
      </c>
      <c r="GHL324" s="26" t="s">
        <v>366</v>
      </c>
      <c r="GHM324" s="26" t="s">
        <v>366</v>
      </c>
      <c r="GHN324" s="26" t="s">
        <v>366</v>
      </c>
      <c r="GHO324" s="26" t="s">
        <v>366</v>
      </c>
      <c r="GHP324" s="26" t="s">
        <v>366</v>
      </c>
      <c r="GHQ324" s="26" t="s">
        <v>366</v>
      </c>
      <c r="GHR324" s="26" t="s">
        <v>366</v>
      </c>
      <c r="GHS324" s="26" t="s">
        <v>366</v>
      </c>
      <c r="GHT324" s="26" t="s">
        <v>366</v>
      </c>
      <c r="GHU324" s="26" t="s">
        <v>366</v>
      </c>
      <c r="GHV324" s="26" t="s">
        <v>366</v>
      </c>
      <c r="GHW324" s="26" t="s">
        <v>366</v>
      </c>
      <c r="GHX324" s="26" t="s">
        <v>366</v>
      </c>
      <c r="GHY324" s="26" t="s">
        <v>366</v>
      </c>
      <c r="GHZ324" s="26" t="s">
        <v>366</v>
      </c>
      <c r="GIA324" s="26" t="s">
        <v>366</v>
      </c>
      <c r="GIB324" s="26" t="s">
        <v>366</v>
      </c>
      <c r="GIC324" s="26" t="s">
        <v>366</v>
      </c>
      <c r="GID324" s="26" t="s">
        <v>366</v>
      </c>
      <c r="GIE324" s="26" t="s">
        <v>366</v>
      </c>
      <c r="GIF324" s="26" t="s">
        <v>366</v>
      </c>
      <c r="GIG324" s="26" t="s">
        <v>366</v>
      </c>
      <c r="GIH324" s="26" t="s">
        <v>366</v>
      </c>
      <c r="GII324" s="26" t="s">
        <v>366</v>
      </c>
      <c r="GIJ324" s="26" t="s">
        <v>366</v>
      </c>
      <c r="GIK324" s="26" t="s">
        <v>366</v>
      </c>
      <c r="GIL324" s="26" t="s">
        <v>366</v>
      </c>
      <c r="GIM324" s="26" t="s">
        <v>366</v>
      </c>
      <c r="GIN324" s="26" t="s">
        <v>366</v>
      </c>
      <c r="GIO324" s="26" t="s">
        <v>366</v>
      </c>
      <c r="GIP324" s="26" t="s">
        <v>366</v>
      </c>
      <c r="GIQ324" s="26" t="s">
        <v>366</v>
      </c>
      <c r="GIR324" s="26" t="s">
        <v>366</v>
      </c>
      <c r="GIS324" s="26" t="s">
        <v>366</v>
      </c>
      <c r="GIT324" s="26" t="s">
        <v>366</v>
      </c>
      <c r="GIU324" s="26" t="s">
        <v>366</v>
      </c>
      <c r="GIV324" s="26" t="s">
        <v>366</v>
      </c>
      <c r="GIW324" s="26" t="s">
        <v>366</v>
      </c>
      <c r="GIX324" s="26" t="s">
        <v>366</v>
      </c>
      <c r="GIY324" s="26" t="s">
        <v>366</v>
      </c>
      <c r="GIZ324" s="26" t="s">
        <v>366</v>
      </c>
      <c r="GJA324" s="26" t="s">
        <v>366</v>
      </c>
      <c r="GJB324" s="26" t="s">
        <v>366</v>
      </c>
      <c r="GJC324" s="26" t="s">
        <v>366</v>
      </c>
      <c r="GJD324" s="26" t="s">
        <v>366</v>
      </c>
      <c r="GJE324" s="26" t="s">
        <v>366</v>
      </c>
      <c r="GJF324" s="26" t="s">
        <v>366</v>
      </c>
      <c r="GJG324" s="26" t="s">
        <v>366</v>
      </c>
      <c r="GJH324" s="26" t="s">
        <v>366</v>
      </c>
      <c r="GJI324" s="26" t="s">
        <v>366</v>
      </c>
      <c r="GJJ324" s="26" t="s">
        <v>366</v>
      </c>
      <c r="GJK324" s="26" t="s">
        <v>366</v>
      </c>
      <c r="GJL324" s="26" t="s">
        <v>366</v>
      </c>
      <c r="GJM324" s="26" t="s">
        <v>366</v>
      </c>
      <c r="GJN324" s="26" t="s">
        <v>366</v>
      </c>
      <c r="GJO324" s="26" t="s">
        <v>366</v>
      </c>
      <c r="GJP324" s="26" t="s">
        <v>366</v>
      </c>
      <c r="GJQ324" s="26" t="s">
        <v>366</v>
      </c>
      <c r="GJR324" s="26" t="s">
        <v>366</v>
      </c>
      <c r="GJS324" s="26" t="s">
        <v>366</v>
      </c>
      <c r="GJT324" s="26" t="s">
        <v>366</v>
      </c>
      <c r="GJU324" s="26" t="s">
        <v>366</v>
      </c>
      <c r="GJV324" s="26" t="s">
        <v>366</v>
      </c>
      <c r="GJW324" s="26" t="s">
        <v>366</v>
      </c>
      <c r="GJX324" s="26" t="s">
        <v>366</v>
      </c>
      <c r="GJY324" s="26" t="s">
        <v>366</v>
      </c>
      <c r="GJZ324" s="26" t="s">
        <v>366</v>
      </c>
      <c r="GKA324" s="26" t="s">
        <v>366</v>
      </c>
      <c r="GKB324" s="26" t="s">
        <v>366</v>
      </c>
      <c r="GKC324" s="26" t="s">
        <v>366</v>
      </c>
      <c r="GKD324" s="26" t="s">
        <v>366</v>
      </c>
      <c r="GKE324" s="26" t="s">
        <v>366</v>
      </c>
      <c r="GKF324" s="26" t="s">
        <v>366</v>
      </c>
      <c r="GKG324" s="26" t="s">
        <v>366</v>
      </c>
      <c r="GKH324" s="26" t="s">
        <v>366</v>
      </c>
      <c r="GKI324" s="26" t="s">
        <v>366</v>
      </c>
      <c r="GKJ324" s="26" t="s">
        <v>366</v>
      </c>
      <c r="GKK324" s="26" t="s">
        <v>366</v>
      </c>
      <c r="GKL324" s="26" t="s">
        <v>366</v>
      </c>
      <c r="GKM324" s="26" t="s">
        <v>366</v>
      </c>
      <c r="GKN324" s="26" t="s">
        <v>366</v>
      </c>
      <c r="GKO324" s="26" t="s">
        <v>366</v>
      </c>
      <c r="GKP324" s="26" t="s">
        <v>366</v>
      </c>
      <c r="GKQ324" s="26" t="s">
        <v>366</v>
      </c>
      <c r="GKR324" s="26" t="s">
        <v>366</v>
      </c>
      <c r="GKS324" s="26" t="s">
        <v>366</v>
      </c>
      <c r="GKT324" s="26" t="s">
        <v>366</v>
      </c>
      <c r="GKU324" s="26" t="s">
        <v>366</v>
      </c>
      <c r="GKV324" s="26" t="s">
        <v>366</v>
      </c>
      <c r="GKW324" s="26" t="s">
        <v>366</v>
      </c>
      <c r="GKX324" s="26" t="s">
        <v>366</v>
      </c>
      <c r="GKY324" s="26" t="s">
        <v>366</v>
      </c>
      <c r="GKZ324" s="26" t="s">
        <v>366</v>
      </c>
      <c r="GLA324" s="26" t="s">
        <v>366</v>
      </c>
      <c r="GLB324" s="26" t="s">
        <v>366</v>
      </c>
      <c r="GLC324" s="26" t="s">
        <v>366</v>
      </c>
      <c r="GLD324" s="26" t="s">
        <v>366</v>
      </c>
      <c r="GLE324" s="26" t="s">
        <v>366</v>
      </c>
      <c r="GLF324" s="26" t="s">
        <v>366</v>
      </c>
      <c r="GLG324" s="26" t="s">
        <v>366</v>
      </c>
      <c r="GLH324" s="26" t="s">
        <v>366</v>
      </c>
      <c r="GLI324" s="26" t="s">
        <v>366</v>
      </c>
      <c r="GLJ324" s="26" t="s">
        <v>366</v>
      </c>
      <c r="GLK324" s="26" t="s">
        <v>366</v>
      </c>
      <c r="GLL324" s="26" t="s">
        <v>366</v>
      </c>
      <c r="GLM324" s="26" t="s">
        <v>366</v>
      </c>
      <c r="GLN324" s="26" t="s">
        <v>366</v>
      </c>
      <c r="GLO324" s="26" t="s">
        <v>366</v>
      </c>
      <c r="GLP324" s="26" t="s">
        <v>366</v>
      </c>
      <c r="GLQ324" s="26" t="s">
        <v>366</v>
      </c>
      <c r="GLR324" s="26" t="s">
        <v>366</v>
      </c>
      <c r="GLS324" s="26" t="s">
        <v>366</v>
      </c>
      <c r="GLT324" s="26" t="s">
        <v>366</v>
      </c>
      <c r="GLU324" s="26" t="s">
        <v>366</v>
      </c>
      <c r="GLV324" s="26" t="s">
        <v>366</v>
      </c>
      <c r="GLW324" s="26" t="s">
        <v>366</v>
      </c>
      <c r="GLX324" s="26" t="s">
        <v>366</v>
      </c>
      <c r="GLY324" s="26" t="s">
        <v>366</v>
      </c>
      <c r="GLZ324" s="26" t="s">
        <v>366</v>
      </c>
      <c r="GMA324" s="26" t="s">
        <v>366</v>
      </c>
      <c r="GMB324" s="26" t="s">
        <v>366</v>
      </c>
      <c r="GMC324" s="26" t="s">
        <v>366</v>
      </c>
      <c r="GMD324" s="26" t="s">
        <v>366</v>
      </c>
      <c r="GME324" s="26" t="s">
        <v>366</v>
      </c>
      <c r="GMF324" s="26" t="s">
        <v>366</v>
      </c>
      <c r="GMG324" s="26" t="s">
        <v>366</v>
      </c>
      <c r="GMH324" s="26" t="s">
        <v>366</v>
      </c>
      <c r="GMI324" s="26" t="s">
        <v>366</v>
      </c>
      <c r="GMJ324" s="26" t="s">
        <v>366</v>
      </c>
      <c r="GMK324" s="26" t="s">
        <v>366</v>
      </c>
      <c r="GML324" s="26" t="s">
        <v>366</v>
      </c>
      <c r="GMM324" s="26" t="s">
        <v>366</v>
      </c>
      <c r="GMN324" s="26" t="s">
        <v>366</v>
      </c>
      <c r="GMO324" s="26" t="s">
        <v>366</v>
      </c>
      <c r="GMP324" s="26" t="s">
        <v>366</v>
      </c>
      <c r="GMQ324" s="26" t="s">
        <v>366</v>
      </c>
      <c r="GMR324" s="26" t="s">
        <v>366</v>
      </c>
      <c r="GMS324" s="26" t="s">
        <v>366</v>
      </c>
      <c r="GMT324" s="26" t="s">
        <v>366</v>
      </c>
      <c r="GMU324" s="26" t="s">
        <v>366</v>
      </c>
      <c r="GMV324" s="26" t="s">
        <v>366</v>
      </c>
      <c r="GMW324" s="26" t="s">
        <v>366</v>
      </c>
      <c r="GMX324" s="26" t="s">
        <v>366</v>
      </c>
      <c r="GMY324" s="26" t="s">
        <v>366</v>
      </c>
      <c r="GMZ324" s="26" t="s">
        <v>366</v>
      </c>
      <c r="GNA324" s="26" t="s">
        <v>366</v>
      </c>
      <c r="GNB324" s="26" t="s">
        <v>366</v>
      </c>
      <c r="GNC324" s="26" t="s">
        <v>366</v>
      </c>
      <c r="GND324" s="26" t="s">
        <v>366</v>
      </c>
      <c r="GNE324" s="26" t="s">
        <v>366</v>
      </c>
      <c r="GNF324" s="26" t="s">
        <v>366</v>
      </c>
      <c r="GNG324" s="26" t="s">
        <v>366</v>
      </c>
      <c r="GNH324" s="26" t="s">
        <v>366</v>
      </c>
      <c r="GNI324" s="26" t="s">
        <v>366</v>
      </c>
      <c r="GNJ324" s="26" t="s">
        <v>366</v>
      </c>
      <c r="GNK324" s="26" t="s">
        <v>366</v>
      </c>
      <c r="GNL324" s="26" t="s">
        <v>366</v>
      </c>
      <c r="GNM324" s="26" t="s">
        <v>366</v>
      </c>
      <c r="GNN324" s="26" t="s">
        <v>366</v>
      </c>
      <c r="GNO324" s="26" t="s">
        <v>366</v>
      </c>
      <c r="GNP324" s="26" t="s">
        <v>366</v>
      </c>
      <c r="GNQ324" s="26" t="s">
        <v>366</v>
      </c>
      <c r="GNR324" s="26" t="s">
        <v>366</v>
      </c>
      <c r="GNS324" s="26" t="s">
        <v>366</v>
      </c>
      <c r="GNT324" s="26" t="s">
        <v>366</v>
      </c>
      <c r="GNU324" s="26" t="s">
        <v>366</v>
      </c>
      <c r="GNV324" s="26" t="s">
        <v>366</v>
      </c>
      <c r="GNW324" s="26" t="s">
        <v>366</v>
      </c>
      <c r="GNX324" s="26" t="s">
        <v>366</v>
      </c>
      <c r="GNY324" s="26" t="s">
        <v>366</v>
      </c>
      <c r="GNZ324" s="26" t="s">
        <v>366</v>
      </c>
      <c r="GOA324" s="26" t="s">
        <v>366</v>
      </c>
      <c r="GOB324" s="26" t="s">
        <v>366</v>
      </c>
      <c r="GOC324" s="26" t="s">
        <v>366</v>
      </c>
      <c r="GOD324" s="26" t="s">
        <v>366</v>
      </c>
      <c r="GOE324" s="26" t="s">
        <v>366</v>
      </c>
      <c r="GOF324" s="26" t="s">
        <v>366</v>
      </c>
      <c r="GOG324" s="26" t="s">
        <v>366</v>
      </c>
      <c r="GOH324" s="26" t="s">
        <v>366</v>
      </c>
      <c r="GOI324" s="26" t="s">
        <v>366</v>
      </c>
      <c r="GOJ324" s="26" t="s">
        <v>366</v>
      </c>
      <c r="GOK324" s="26" t="s">
        <v>366</v>
      </c>
      <c r="GOL324" s="26" t="s">
        <v>366</v>
      </c>
      <c r="GOM324" s="26" t="s">
        <v>366</v>
      </c>
      <c r="GON324" s="26" t="s">
        <v>366</v>
      </c>
      <c r="GOO324" s="26" t="s">
        <v>366</v>
      </c>
      <c r="GOP324" s="26" t="s">
        <v>366</v>
      </c>
      <c r="GOQ324" s="26" t="s">
        <v>366</v>
      </c>
      <c r="GOR324" s="26" t="s">
        <v>366</v>
      </c>
      <c r="GOS324" s="26" t="s">
        <v>366</v>
      </c>
      <c r="GOT324" s="26" t="s">
        <v>366</v>
      </c>
      <c r="GOU324" s="26" t="s">
        <v>366</v>
      </c>
      <c r="GOV324" s="26" t="s">
        <v>366</v>
      </c>
      <c r="GOW324" s="26" t="s">
        <v>366</v>
      </c>
      <c r="GOX324" s="26" t="s">
        <v>366</v>
      </c>
      <c r="GOY324" s="26" t="s">
        <v>366</v>
      </c>
      <c r="GOZ324" s="26" t="s">
        <v>366</v>
      </c>
      <c r="GPA324" s="26" t="s">
        <v>366</v>
      </c>
      <c r="GPB324" s="26" t="s">
        <v>366</v>
      </c>
      <c r="GPC324" s="26" t="s">
        <v>366</v>
      </c>
      <c r="GPD324" s="26" t="s">
        <v>366</v>
      </c>
      <c r="GPE324" s="26" t="s">
        <v>366</v>
      </c>
      <c r="GPF324" s="26" t="s">
        <v>366</v>
      </c>
      <c r="GPG324" s="26" t="s">
        <v>366</v>
      </c>
      <c r="GPH324" s="26" t="s">
        <v>366</v>
      </c>
      <c r="GPI324" s="26" t="s">
        <v>366</v>
      </c>
      <c r="GPJ324" s="26" t="s">
        <v>366</v>
      </c>
      <c r="GPK324" s="26" t="s">
        <v>366</v>
      </c>
      <c r="GPL324" s="26" t="s">
        <v>366</v>
      </c>
      <c r="GPM324" s="26" t="s">
        <v>366</v>
      </c>
      <c r="GPN324" s="26" t="s">
        <v>366</v>
      </c>
      <c r="GPO324" s="26" t="s">
        <v>366</v>
      </c>
      <c r="GPP324" s="26" t="s">
        <v>366</v>
      </c>
      <c r="GPQ324" s="26" t="s">
        <v>366</v>
      </c>
      <c r="GPR324" s="26" t="s">
        <v>366</v>
      </c>
      <c r="GPS324" s="26" t="s">
        <v>366</v>
      </c>
      <c r="GPT324" s="26" t="s">
        <v>366</v>
      </c>
      <c r="GPU324" s="26" t="s">
        <v>366</v>
      </c>
      <c r="GPV324" s="26" t="s">
        <v>366</v>
      </c>
      <c r="GPW324" s="26" t="s">
        <v>366</v>
      </c>
      <c r="GPX324" s="26" t="s">
        <v>366</v>
      </c>
      <c r="GPY324" s="26" t="s">
        <v>366</v>
      </c>
      <c r="GPZ324" s="26" t="s">
        <v>366</v>
      </c>
      <c r="GQA324" s="26" t="s">
        <v>366</v>
      </c>
      <c r="GQB324" s="26" t="s">
        <v>366</v>
      </c>
      <c r="GQC324" s="26" t="s">
        <v>366</v>
      </c>
      <c r="GQD324" s="26" t="s">
        <v>366</v>
      </c>
      <c r="GQE324" s="26" t="s">
        <v>366</v>
      </c>
      <c r="GQF324" s="26" t="s">
        <v>366</v>
      </c>
      <c r="GQG324" s="26" t="s">
        <v>366</v>
      </c>
      <c r="GQH324" s="26" t="s">
        <v>366</v>
      </c>
      <c r="GQI324" s="26" t="s">
        <v>366</v>
      </c>
      <c r="GQJ324" s="26" t="s">
        <v>366</v>
      </c>
      <c r="GQK324" s="26" t="s">
        <v>366</v>
      </c>
      <c r="GQL324" s="26" t="s">
        <v>366</v>
      </c>
      <c r="GQM324" s="26" t="s">
        <v>366</v>
      </c>
      <c r="GQN324" s="26" t="s">
        <v>366</v>
      </c>
      <c r="GQO324" s="26" t="s">
        <v>366</v>
      </c>
      <c r="GQP324" s="26" t="s">
        <v>366</v>
      </c>
      <c r="GQQ324" s="26" t="s">
        <v>366</v>
      </c>
      <c r="GQR324" s="26" t="s">
        <v>366</v>
      </c>
      <c r="GQS324" s="26" t="s">
        <v>366</v>
      </c>
      <c r="GQT324" s="26" t="s">
        <v>366</v>
      </c>
      <c r="GQU324" s="26" t="s">
        <v>366</v>
      </c>
      <c r="GQV324" s="26" t="s">
        <v>366</v>
      </c>
      <c r="GQW324" s="26" t="s">
        <v>366</v>
      </c>
      <c r="GQX324" s="26" t="s">
        <v>366</v>
      </c>
      <c r="GQY324" s="26" t="s">
        <v>366</v>
      </c>
      <c r="GQZ324" s="26" t="s">
        <v>366</v>
      </c>
      <c r="GRA324" s="26" t="s">
        <v>366</v>
      </c>
      <c r="GRB324" s="26" t="s">
        <v>366</v>
      </c>
      <c r="GRC324" s="26" t="s">
        <v>366</v>
      </c>
      <c r="GRD324" s="26" t="s">
        <v>366</v>
      </c>
      <c r="GRE324" s="26" t="s">
        <v>366</v>
      </c>
      <c r="GRF324" s="26" t="s">
        <v>366</v>
      </c>
      <c r="GRG324" s="26" t="s">
        <v>366</v>
      </c>
      <c r="GRH324" s="26" t="s">
        <v>366</v>
      </c>
      <c r="GRI324" s="26" t="s">
        <v>366</v>
      </c>
      <c r="GRJ324" s="26" t="s">
        <v>366</v>
      </c>
      <c r="GRK324" s="26" t="s">
        <v>366</v>
      </c>
      <c r="GRL324" s="26" t="s">
        <v>366</v>
      </c>
      <c r="GRM324" s="26" t="s">
        <v>366</v>
      </c>
      <c r="GRN324" s="26" t="s">
        <v>366</v>
      </c>
      <c r="GRO324" s="26" t="s">
        <v>366</v>
      </c>
      <c r="GRP324" s="26" t="s">
        <v>366</v>
      </c>
      <c r="GRQ324" s="26" t="s">
        <v>366</v>
      </c>
      <c r="GRR324" s="26" t="s">
        <v>366</v>
      </c>
      <c r="GRS324" s="26" t="s">
        <v>366</v>
      </c>
      <c r="GRT324" s="26" t="s">
        <v>366</v>
      </c>
      <c r="GRU324" s="26" t="s">
        <v>366</v>
      </c>
      <c r="GRV324" s="26" t="s">
        <v>366</v>
      </c>
      <c r="GRW324" s="26" t="s">
        <v>366</v>
      </c>
      <c r="GRX324" s="26" t="s">
        <v>366</v>
      </c>
      <c r="GRY324" s="26" t="s">
        <v>366</v>
      </c>
      <c r="GRZ324" s="26" t="s">
        <v>366</v>
      </c>
      <c r="GSA324" s="26" t="s">
        <v>366</v>
      </c>
      <c r="GSB324" s="26" t="s">
        <v>366</v>
      </c>
      <c r="GSC324" s="26" t="s">
        <v>366</v>
      </c>
      <c r="GSD324" s="26" t="s">
        <v>366</v>
      </c>
      <c r="GSE324" s="26" t="s">
        <v>366</v>
      </c>
      <c r="GSF324" s="26" t="s">
        <v>366</v>
      </c>
      <c r="GSG324" s="26" t="s">
        <v>366</v>
      </c>
      <c r="GSH324" s="26" t="s">
        <v>366</v>
      </c>
      <c r="GSI324" s="26" t="s">
        <v>366</v>
      </c>
      <c r="GSJ324" s="26" t="s">
        <v>366</v>
      </c>
      <c r="GSK324" s="26" t="s">
        <v>366</v>
      </c>
      <c r="GSL324" s="26" t="s">
        <v>366</v>
      </c>
      <c r="GSM324" s="26" t="s">
        <v>366</v>
      </c>
      <c r="GSN324" s="26" t="s">
        <v>366</v>
      </c>
      <c r="GSO324" s="26" t="s">
        <v>366</v>
      </c>
      <c r="GSP324" s="26" t="s">
        <v>366</v>
      </c>
      <c r="GSQ324" s="26" t="s">
        <v>366</v>
      </c>
      <c r="GSR324" s="26" t="s">
        <v>366</v>
      </c>
      <c r="GSS324" s="26" t="s">
        <v>366</v>
      </c>
      <c r="GST324" s="26" t="s">
        <v>366</v>
      </c>
      <c r="GSU324" s="26" t="s">
        <v>366</v>
      </c>
      <c r="GSV324" s="26" t="s">
        <v>366</v>
      </c>
      <c r="GSW324" s="26" t="s">
        <v>366</v>
      </c>
      <c r="GSX324" s="26" t="s">
        <v>366</v>
      </c>
      <c r="GSY324" s="26" t="s">
        <v>366</v>
      </c>
      <c r="GSZ324" s="26" t="s">
        <v>366</v>
      </c>
      <c r="GTA324" s="26" t="s">
        <v>366</v>
      </c>
      <c r="GTB324" s="26" t="s">
        <v>366</v>
      </c>
      <c r="GTC324" s="26" t="s">
        <v>366</v>
      </c>
      <c r="GTD324" s="26" t="s">
        <v>366</v>
      </c>
      <c r="GTE324" s="26" t="s">
        <v>366</v>
      </c>
      <c r="GTF324" s="26" t="s">
        <v>366</v>
      </c>
      <c r="GTG324" s="26" t="s">
        <v>366</v>
      </c>
      <c r="GTH324" s="26" t="s">
        <v>366</v>
      </c>
      <c r="GTI324" s="26" t="s">
        <v>366</v>
      </c>
      <c r="GTJ324" s="26" t="s">
        <v>366</v>
      </c>
      <c r="GTK324" s="26" t="s">
        <v>366</v>
      </c>
      <c r="GTL324" s="26" t="s">
        <v>366</v>
      </c>
      <c r="GTM324" s="26" t="s">
        <v>366</v>
      </c>
      <c r="GTN324" s="26" t="s">
        <v>366</v>
      </c>
      <c r="GTO324" s="26" t="s">
        <v>366</v>
      </c>
      <c r="GTP324" s="26" t="s">
        <v>366</v>
      </c>
      <c r="GTQ324" s="26" t="s">
        <v>366</v>
      </c>
      <c r="GTR324" s="26" t="s">
        <v>366</v>
      </c>
      <c r="GTS324" s="26" t="s">
        <v>366</v>
      </c>
      <c r="GTT324" s="26" t="s">
        <v>366</v>
      </c>
      <c r="GTU324" s="26" t="s">
        <v>366</v>
      </c>
      <c r="GTV324" s="26" t="s">
        <v>366</v>
      </c>
      <c r="GTW324" s="26" t="s">
        <v>366</v>
      </c>
      <c r="GTX324" s="26" t="s">
        <v>366</v>
      </c>
      <c r="GTY324" s="26" t="s">
        <v>366</v>
      </c>
      <c r="GTZ324" s="26" t="s">
        <v>366</v>
      </c>
      <c r="GUA324" s="26" t="s">
        <v>366</v>
      </c>
      <c r="GUB324" s="26" t="s">
        <v>366</v>
      </c>
      <c r="GUC324" s="26" t="s">
        <v>366</v>
      </c>
      <c r="GUD324" s="26" t="s">
        <v>366</v>
      </c>
      <c r="GUE324" s="26" t="s">
        <v>366</v>
      </c>
      <c r="GUF324" s="26" t="s">
        <v>366</v>
      </c>
      <c r="GUG324" s="26" t="s">
        <v>366</v>
      </c>
      <c r="GUH324" s="26" t="s">
        <v>366</v>
      </c>
      <c r="GUI324" s="26" t="s">
        <v>366</v>
      </c>
      <c r="GUJ324" s="26" t="s">
        <v>366</v>
      </c>
      <c r="GUK324" s="26" t="s">
        <v>366</v>
      </c>
      <c r="GUL324" s="26" t="s">
        <v>366</v>
      </c>
      <c r="GUM324" s="26" t="s">
        <v>366</v>
      </c>
      <c r="GUN324" s="26" t="s">
        <v>366</v>
      </c>
      <c r="GUO324" s="26" t="s">
        <v>366</v>
      </c>
      <c r="GUP324" s="26" t="s">
        <v>366</v>
      </c>
      <c r="GUQ324" s="26" t="s">
        <v>366</v>
      </c>
      <c r="GUR324" s="26" t="s">
        <v>366</v>
      </c>
      <c r="GUS324" s="26" t="s">
        <v>366</v>
      </c>
      <c r="GUT324" s="26" t="s">
        <v>366</v>
      </c>
      <c r="GUU324" s="26" t="s">
        <v>366</v>
      </c>
      <c r="GUV324" s="26" t="s">
        <v>366</v>
      </c>
      <c r="GUW324" s="26" t="s">
        <v>366</v>
      </c>
      <c r="GUX324" s="26" t="s">
        <v>366</v>
      </c>
      <c r="GUY324" s="26" t="s">
        <v>366</v>
      </c>
      <c r="GUZ324" s="26" t="s">
        <v>366</v>
      </c>
      <c r="GVA324" s="26" t="s">
        <v>366</v>
      </c>
      <c r="GVB324" s="26" t="s">
        <v>366</v>
      </c>
      <c r="GVC324" s="26" t="s">
        <v>366</v>
      </c>
      <c r="GVD324" s="26" t="s">
        <v>366</v>
      </c>
      <c r="GVE324" s="26" t="s">
        <v>366</v>
      </c>
      <c r="GVF324" s="26" t="s">
        <v>366</v>
      </c>
      <c r="GVG324" s="26" t="s">
        <v>366</v>
      </c>
      <c r="GVH324" s="26" t="s">
        <v>366</v>
      </c>
      <c r="GVI324" s="26" t="s">
        <v>366</v>
      </c>
      <c r="GVJ324" s="26" t="s">
        <v>366</v>
      </c>
      <c r="GVK324" s="26" t="s">
        <v>366</v>
      </c>
      <c r="GVL324" s="26" t="s">
        <v>366</v>
      </c>
      <c r="GVM324" s="26" t="s">
        <v>366</v>
      </c>
      <c r="GVN324" s="26" t="s">
        <v>366</v>
      </c>
      <c r="GVO324" s="26" t="s">
        <v>366</v>
      </c>
      <c r="GVP324" s="26" t="s">
        <v>366</v>
      </c>
      <c r="GVQ324" s="26" t="s">
        <v>366</v>
      </c>
      <c r="GVR324" s="26" t="s">
        <v>366</v>
      </c>
      <c r="GVS324" s="26" t="s">
        <v>366</v>
      </c>
      <c r="GVT324" s="26" t="s">
        <v>366</v>
      </c>
      <c r="GVU324" s="26" t="s">
        <v>366</v>
      </c>
      <c r="GVV324" s="26" t="s">
        <v>366</v>
      </c>
      <c r="GVW324" s="26" t="s">
        <v>366</v>
      </c>
      <c r="GVX324" s="26" t="s">
        <v>366</v>
      </c>
      <c r="GVY324" s="26" t="s">
        <v>366</v>
      </c>
      <c r="GVZ324" s="26" t="s">
        <v>366</v>
      </c>
      <c r="GWA324" s="26" t="s">
        <v>366</v>
      </c>
      <c r="GWB324" s="26" t="s">
        <v>366</v>
      </c>
      <c r="GWC324" s="26" t="s">
        <v>366</v>
      </c>
      <c r="GWD324" s="26" t="s">
        <v>366</v>
      </c>
      <c r="GWE324" s="26" t="s">
        <v>366</v>
      </c>
      <c r="GWF324" s="26" t="s">
        <v>366</v>
      </c>
      <c r="GWG324" s="26" t="s">
        <v>366</v>
      </c>
      <c r="GWH324" s="26" t="s">
        <v>366</v>
      </c>
      <c r="GWI324" s="26" t="s">
        <v>366</v>
      </c>
      <c r="GWJ324" s="26" t="s">
        <v>366</v>
      </c>
      <c r="GWK324" s="26" t="s">
        <v>366</v>
      </c>
      <c r="GWL324" s="26" t="s">
        <v>366</v>
      </c>
      <c r="GWM324" s="26" t="s">
        <v>366</v>
      </c>
      <c r="GWN324" s="26" t="s">
        <v>366</v>
      </c>
      <c r="GWO324" s="26" t="s">
        <v>366</v>
      </c>
      <c r="GWP324" s="26" t="s">
        <v>366</v>
      </c>
      <c r="GWQ324" s="26" t="s">
        <v>366</v>
      </c>
      <c r="GWR324" s="26" t="s">
        <v>366</v>
      </c>
      <c r="GWS324" s="26" t="s">
        <v>366</v>
      </c>
      <c r="GWT324" s="26" t="s">
        <v>366</v>
      </c>
      <c r="GWU324" s="26" t="s">
        <v>366</v>
      </c>
      <c r="GWV324" s="26" t="s">
        <v>366</v>
      </c>
      <c r="GWW324" s="26" t="s">
        <v>366</v>
      </c>
      <c r="GWX324" s="26" t="s">
        <v>366</v>
      </c>
      <c r="GWY324" s="26" t="s">
        <v>366</v>
      </c>
      <c r="GWZ324" s="26" t="s">
        <v>366</v>
      </c>
      <c r="GXA324" s="26" t="s">
        <v>366</v>
      </c>
      <c r="GXB324" s="26" t="s">
        <v>366</v>
      </c>
      <c r="GXC324" s="26" t="s">
        <v>366</v>
      </c>
      <c r="GXD324" s="26" t="s">
        <v>366</v>
      </c>
      <c r="GXE324" s="26" t="s">
        <v>366</v>
      </c>
      <c r="GXF324" s="26" t="s">
        <v>366</v>
      </c>
      <c r="GXG324" s="26" t="s">
        <v>366</v>
      </c>
      <c r="GXH324" s="26" t="s">
        <v>366</v>
      </c>
      <c r="GXI324" s="26" t="s">
        <v>366</v>
      </c>
      <c r="GXJ324" s="26" t="s">
        <v>366</v>
      </c>
      <c r="GXK324" s="26" t="s">
        <v>366</v>
      </c>
      <c r="GXL324" s="26" t="s">
        <v>366</v>
      </c>
      <c r="GXM324" s="26" t="s">
        <v>366</v>
      </c>
      <c r="GXN324" s="26" t="s">
        <v>366</v>
      </c>
      <c r="GXO324" s="26" t="s">
        <v>366</v>
      </c>
      <c r="GXP324" s="26" t="s">
        <v>366</v>
      </c>
      <c r="GXQ324" s="26" t="s">
        <v>366</v>
      </c>
      <c r="GXR324" s="26" t="s">
        <v>366</v>
      </c>
      <c r="GXS324" s="26" t="s">
        <v>366</v>
      </c>
      <c r="GXT324" s="26" t="s">
        <v>366</v>
      </c>
      <c r="GXU324" s="26" t="s">
        <v>366</v>
      </c>
      <c r="GXV324" s="26" t="s">
        <v>366</v>
      </c>
      <c r="GXW324" s="26" t="s">
        <v>366</v>
      </c>
      <c r="GXX324" s="26" t="s">
        <v>366</v>
      </c>
      <c r="GXY324" s="26" t="s">
        <v>366</v>
      </c>
      <c r="GXZ324" s="26" t="s">
        <v>366</v>
      </c>
      <c r="GYA324" s="26" t="s">
        <v>366</v>
      </c>
      <c r="GYB324" s="26" t="s">
        <v>366</v>
      </c>
      <c r="GYC324" s="26" t="s">
        <v>366</v>
      </c>
      <c r="GYD324" s="26" t="s">
        <v>366</v>
      </c>
      <c r="GYE324" s="26" t="s">
        <v>366</v>
      </c>
      <c r="GYF324" s="26" t="s">
        <v>366</v>
      </c>
      <c r="GYG324" s="26" t="s">
        <v>366</v>
      </c>
      <c r="GYH324" s="26" t="s">
        <v>366</v>
      </c>
      <c r="GYI324" s="26" t="s">
        <v>366</v>
      </c>
      <c r="GYJ324" s="26" t="s">
        <v>366</v>
      </c>
      <c r="GYK324" s="26" t="s">
        <v>366</v>
      </c>
      <c r="GYL324" s="26" t="s">
        <v>366</v>
      </c>
      <c r="GYM324" s="26" t="s">
        <v>366</v>
      </c>
      <c r="GYN324" s="26" t="s">
        <v>366</v>
      </c>
      <c r="GYO324" s="26" t="s">
        <v>366</v>
      </c>
      <c r="GYP324" s="26" t="s">
        <v>366</v>
      </c>
      <c r="GYQ324" s="26" t="s">
        <v>366</v>
      </c>
      <c r="GYR324" s="26" t="s">
        <v>366</v>
      </c>
      <c r="GYS324" s="26" t="s">
        <v>366</v>
      </c>
      <c r="GYT324" s="26" t="s">
        <v>366</v>
      </c>
      <c r="GYU324" s="26" t="s">
        <v>366</v>
      </c>
      <c r="GYV324" s="26" t="s">
        <v>366</v>
      </c>
      <c r="GYW324" s="26" t="s">
        <v>366</v>
      </c>
      <c r="GYX324" s="26" t="s">
        <v>366</v>
      </c>
      <c r="GYY324" s="26" t="s">
        <v>366</v>
      </c>
      <c r="GYZ324" s="26" t="s">
        <v>366</v>
      </c>
      <c r="GZA324" s="26" t="s">
        <v>366</v>
      </c>
      <c r="GZB324" s="26" t="s">
        <v>366</v>
      </c>
      <c r="GZC324" s="26" t="s">
        <v>366</v>
      </c>
      <c r="GZD324" s="26" t="s">
        <v>366</v>
      </c>
      <c r="GZE324" s="26" t="s">
        <v>366</v>
      </c>
      <c r="GZF324" s="26" t="s">
        <v>366</v>
      </c>
      <c r="GZG324" s="26" t="s">
        <v>366</v>
      </c>
      <c r="GZH324" s="26" t="s">
        <v>366</v>
      </c>
      <c r="GZI324" s="26" t="s">
        <v>366</v>
      </c>
      <c r="GZJ324" s="26" t="s">
        <v>366</v>
      </c>
      <c r="GZK324" s="26" t="s">
        <v>366</v>
      </c>
      <c r="GZL324" s="26" t="s">
        <v>366</v>
      </c>
      <c r="GZM324" s="26" t="s">
        <v>366</v>
      </c>
      <c r="GZN324" s="26" t="s">
        <v>366</v>
      </c>
      <c r="GZO324" s="26" t="s">
        <v>366</v>
      </c>
      <c r="GZP324" s="26" t="s">
        <v>366</v>
      </c>
      <c r="GZQ324" s="26" t="s">
        <v>366</v>
      </c>
      <c r="GZR324" s="26" t="s">
        <v>366</v>
      </c>
      <c r="GZS324" s="26" t="s">
        <v>366</v>
      </c>
      <c r="GZT324" s="26" t="s">
        <v>366</v>
      </c>
      <c r="GZU324" s="26" t="s">
        <v>366</v>
      </c>
      <c r="GZV324" s="26" t="s">
        <v>366</v>
      </c>
      <c r="GZW324" s="26" t="s">
        <v>366</v>
      </c>
      <c r="GZX324" s="26" t="s">
        <v>366</v>
      </c>
      <c r="GZY324" s="26" t="s">
        <v>366</v>
      </c>
      <c r="GZZ324" s="26" t="s">
        <v>366</v>
      </c>
      <c r="HAA324" s="26" t="s">
        <v>366</v>
      </c>
      <c r="HAB324" s="26" t="s">
        <v>366</v>
      </c>
      <c r="HAC324" s="26" t="s">
        <v>366</v>
      </c>
      <c r="HAD324" s="26" t="s">
        <v>366</v>
      </c>
      <c r="HAE324" s="26" t="s">
        <v>366</v>
      </c>
      <c r="HAF324" s="26" t="s">
        <v>366</v>
      </c>
      <c r="HAG324" s="26" t="s">
        <v>366</v>
      </c>
      <c r="HAH324" s="26" t="s">
        <v>366</v>
      </c>
      <c r="HAI324" s="26" t="s">
        <v>366</v>
      </c>
      <c r="HAJ324" s="26" t="s">
        <v>366</v>
      </c>
      <c r="HAK324" s="26" t="s">
        <v>366</v>
      </c>
      <c r="HAL324" s="26" t="s">
        <v>366</v>
      </c>
      <c r="HAM324" s="26" t="s">
        <v>366</v>
      </c>
      <c r="HAN324" s="26" t="s">
        <v>366</v>
      </c>
      <c r="HAO324" s="26" t="s">
        <v>366</v>
      </c>
      <c r="HAP324" s="26" t="s">
        <v>366</v>
      </c>
      <c r="HAQ324" s="26" t="s">
        <v>366</v>
      </c>
      <c r="HAR324" s="26" t="s">
        <v>366</v>
      </c>
      <c r="HAS324" s="26" t="s">
        <v>366</v>
      </c>
      <c r="HAT324" s="26" t="s">
        <v>366</v>
      </c>
      <c r="HAU324" s="26" t="s">
        <v>366</v>
      </c>
      <c r="HAV324" s="26" t="s">
        <v>366</v>
      </c>
      <c r="HAW324" s="26" t="s">
        <v>366</v>
      </c>
      <c r="HAX324" s="26" t="s">
        <v>366</v>
      </c>
      <c r="HAY324" s="26" t="s">
        <v>366</v>
      </c>
      <c r="HAZ324" s="26" t="s">
        <v>366</v>
      </c>
      <c r="HBA324" s="26" t="s">
        <v>366</v>
      </c>
      <c r="HBB324" s="26" t="s">
        <v>366</v>
      </c>
      <c r="HBC324" s="26" t="s">
        <v>366</v>
      </c>
      <c r="HBD324" s="26" t="s">
        <v>366</v>
      </c>
      <c r="HBE324" s="26" t="s">
        <v>366</v>
      </c>
      <c r="HBF324" s="26" t="s">
        <v>366</v>
      </c>
      <c r="HBG324" s="26" t="s">
        <v>366</v>
      </c>
      <c r="HBH324" s="26" t="s">
        <v>366</v>
      </c>
      <c r="HBI324" s="26" t="s">
        <v>366</v>
      </c>
      <c r="HBJ324" s="26" t="s">
        <v>366</v>
      </c>
      <c r="HBK324" s="26" t="s">
        <v>366</v>
      </c>
      <c r="HBL324" s="26" t="s">
        <v>366</v>
      </c>
      <c r="HBM324" s="26" t="s">
        <v>366</v>
      </c>
      <c r="HBN324" s="26" t="s">
        <v>366</v>
      </c>
      <c r="HBO324" s="26" t="s">
        <v>366</v>
      </c>
      <c r="HBP324" s="26" t="s">
        <v>366</v>
      </c>
      <c r="HBQ324" s="26" t="s">
        <v>366</v>
      </c>
      <c r="HBR324" s="26" t="s">
        <v>366</v>
      </c>
      <c r="HBS324" s="26" t="s">
        <v>366</v>
      </c>
      <c r="HBT324" s="26" t="s">
        <v>366</v>
      </c>
      <c r="HBU324" s="26" t="s">
        <v>366</v>
      </c>
      <c r="HBV324" s="26" t="s">
        <v>366</v>
      </c>
      <c r="HBW324" s="26" t="s">
        <v>366</v>
      </c>
      <c r="HBX324" s="26" t="s">
        <v>366</v>
      </c>
      <c r="HBY324" s="26" t="s">
        <v>366</v>
      </c>
      <c r="HBZ324" s="26" t="s">
        <v>366</v>
      </c>
      <c r="HCA324" s="26" t="s">
        <v>366</v>
      </c>
      <c r="HCB324" s="26" t="s">
        <v>366</v>
      </c>
      <c r="HCC324" s="26" t="s">
        <v>366</v>
      </c>
      <c r="HCD324" s="26" t="s">
        <v>366</v>
      </c>
      <c r="HCE324" s="26" t="s">
        <v>366</v>
      </c>
      <c r="HCF324" s="26" t="s">
        <v>366</v>
      </c>
      <c r="HCG324" s="26" t="s">
        <v>366</v>
      </c>
      <c r="HCH324" s="26" t="s">
        <v>366</v>
      </c>
      <c r="HCI324" s="26" t="s">
        <v>366</v>
      </c>
      <c r="HCJ324" s="26" t="s">
        <v>366</v>
      </c>
      <c r="HCK324" s="26" t="s">
        <v>366</v>
      </c>
      <c r="HCL324" s="26" t="s">
        <v>366</v>
      </c>
      <c r="HCM324" s="26" t="s">
        <v>366</v>
      </c>
      <c r="HCN324" s="26" t="s">
        <v>366</v>
      </c>
      <c r="HCO324" s="26" t="s">
        <v>366</v>
      </c>
      <c r="HCP324" s="26" t="s">
        <v>366</v>
      </c>
      <c r="HCQ324" s="26" t="s">
        <v>366</v>
      </c>
      <c r="HCR324" s="26" t="s">
        <v>366</v>
      </c>
      <c r="HCS324" s="26" t="s">
        <v>366</v>
      </c>
      <c r="HCT324" s="26" t="s">
        <v>366</v>
      </c>
      <c r="HCU324" s="26" t="s">
        <v>366</v>
      </c>
      <c r="HCV324" s="26" t="s">
        <v>366</v>
      </c>
      <c r="HCW324" s="26" t="s">
        <v>366</v>
      </c>
      <c r="HCX324" s="26" t="s">
        <v>366</v>
      </c>
      <c r="HCY324" s="26" t="s">
        <v>366</v>
      </c>
      <c r="HCZ324" s="26" t="s">
        <v>366</v>
      </c>
      <c r="HDA324" s="26" t="s">
        <v>366</v>
      </c>
      <c r="HDB324" s="26" t="s">
        <v>366</v>
      </c>
      <c r="HDC324" s="26" t="s">
        <v>366</v>
      </c>
      <c r="HDD324" s="26" t="s">
        <v>366</v>
      </c>
      <c r="HDE324" s="26" t="s">
        <v>366</v>
      </c>
      <c r="HDF324" s="26" t="s">
        <v>366</v>
      </c>
      <c r="HDG324" s="26" t="s">
        <v>366</v>
      </c>
      <c r="HDH324" s="26" t="s">
        <v>366</v>
      </c>
      <c r="HDI324" s="26" t="s">
        <v>366</v>
      </c>
      <c r="HDJ324" s="26" t="s">
        <v>366</v>
      </c>
      <c r="HDK324" s="26" t="s">
        <v>366</v>
      </c>
      <c r="HDL324" s="26" t="s">
        <v>366</v>
      </c>
      <c r="HDM324" s="26" t="s">
        <v>366</v>
      </c>
      <c r="HDN324" s="26" t="s">
        <v>366</v>
      </c>
      <c r="HDO324" s="26" t="s">
        <v>366</v>
      </c>
      <c r="HDP324" s="26" t="s">
        <v>366</v>
      </c>
      <c r="HDQ324" s="26" t="s">
        <v>366</v>
      </c>
      <c r="HDR324" s="26" t="s">
        <v>366</v>
      </c>
      <c r="HDS324" s="26" t="s">
        <v>366</v>
      </c>
      <c r="HDT324" s="26" t="s">
        <v>366</v>
      </c>
      <c r="HDU324" s="26" t="s">
        <v>366</v>
      </c>
      <c r="HDV324" s="26" t="s">
        <v>366</v>
      </c>
      <c r="HDW324" s="26" t="s">
        <v>366</v>
      </c>
      <c r="HDX324" s="26" t="s">
        <v>366</v>
      </c>
      <c r="HDY324" s="26" t="s">
        <v>366</v>
      </c>
      <c r="HDZ324" s="26" t="s">
        <v>366</v>
      </c>
      <c r="HEA324" s="26" t="s">
        <v>366</v>
      </c>
      <c r="HEB324" s="26" t="s">
        <v>366</v>
      </c>
      <c r="HEC324" s="26" t="s">
        <v>366</v>
      </c>
      <c r="HED324" s="26" t="s">
        <v>366</v>
      </c>
      <c r="HEE324" s="26" t="s">
        <v>366</v>
      </c>
      <c r="HEF324" s="26" t="s">
        <v>366</v>
      </c>
      <c r="HEG324" s="26" t="s">
        <v>366</v>
      </c>
      <c r="HEH324" s="26" t="s">
        <v>366</v>
      </c>
      <c r="HEI324" s="26" t="s">
        <v>366</v>
      </c>
      <c r="HEJ324" s="26" t="s">
        <v>366</v>
      </c>
      <c r="HEK324" s="26" t="s">
        <v>366</v>
      </c>
      <c r="HEL324" s="26" t="s">
        <v>366</v>
      </c>
      <c r="HEM324" s="26" t="s">
        <v>366</v>
      </c>
      <c r="HEN324" s="26" t="s">
        <v>366</v>
      </c>
      <c r="HEO324" s="26" t="s">
        <v>366</v>
      </c>
      <c r="HEP324" s="26" t="s">
        <v>366</v>
      </c>
      <c r="HEQ324" s="26" t="s">
        <v>366</v>
      </c>
      <c r="HER324" s="26" t="s">
        <v>366</v>
      </c>
      <c r="HES324" s="26" t="s">
        <v>366</v>
      </c>
      <c r="HET324" s="26" t="s">
        <v>366</v>
      </c>
      <c r="HEU324" s="26" t="s">
        <v>366</v>
      </c>
      <c r="HEV324" s="26" t="s">
        <v>366</v>
      </c>
      <c r="HEW324" s="26" t="s">
        <v>366</v>
      </c>
      <c r="HEX324" s="26" t="s">
        <v>366</v>
      </c>
      <c r="HEY324" s="26" t="s">
        <v>366</v>
      </c>
      <c r="HEZ324" s="26" t="s">
        <v>366</v>
      </c>
      <c r="HFA324" s="26" t="s">
        <v>366</v>
      </c>
      <c r="HFB324" s="26" t="s">
        <v>366</v>
      </c>
      <c r="HFC324" s="26" t="s">
        <v>366</v>
      </c>
      <c r="HFD324" s="26" t="s">
        <v>366</v>
      </c>
      <c r="HFE324" s="26" t="s">
        <v>366</v>
      </c>
      <c r="HFF324" s="26" t="s">
        <v>366</v>
      </c>
      <c r="HFG324" s="26" t="s">
        <v>366</v>
      </c>
      <c r="HFH324" s="26" t="s">
        <v>366</v>
      </c>
      <c r="HFI324" s="26" t="s">
        <v>366</v>
      </c>
      <c r="HFJ324" s="26" t="s">
        <v>366</v>
      </c>
      <c r="HFK324" s="26" t="s">
        <v>366</v>
      </c>
      <c r="HFL324" s="26" t="s">
        <v>366</v>
      </c>
      <c r="HFM324" s="26" t="s">
        <v>366</v>
      </c>
      <c r="HFN324" s="26" t="s">
        <v>366</v>
      </c>
      <c r="HFO324" s="26" t="s">
        <v>366</v>
      </c>
      <c r="HFP324" s="26" t="s">
        <v>366</v>
      </c>
      <c r="HFQ324" s="26" t="s">
        <v>366</v>
      </c>
      <c r="HFR324" s="26" t="s">
        <v>366</v>
      </c>
      <c r="HFS324" s="26" t="s">
        <v>366</v>
      </c>
      <c r="HFT324" s="26" t="s">
        <v>366</v>
      </c>
      <c r="HFU324" s="26" t="s">
        <v>366</v>
      </c>
      <c r="HFV324" s="26" t="s">
        <v>366</v>
      </c>
      <c r="HFW324" s="26" t="s">
        <v>366</v>
      </c>
      <c r="HFX324" s="26" t="s">
        <v>366</v>
      </c>
      <c r="HFY324" s="26" t="s">
        <v>366</v>
      </c>
      <c r="HFZ324" s="26" t="s">
        <v>366</v>
      </c>
      <c r="HGA324" s="26" t="s">
        <v>366</v>
      </c>
      <c r="HGB324" s="26" t="s">
        <v>366</v>
      </c>
      <c r="HGC324" s="26" t="s">
        <v>366</v>
      </c>
      <c r="HGD324" s="26" t="s">
        <v>366</v>
      </c>
      <c r="HGE324" s="26" t="s">
        <v>366</v>
      </c>
      <c r="HGF324" s="26" t="s">
        <v>366</v>
      </c>
      <c r="HGG324" s="26" t="s">
        <v>366</v>
      </c>
      <c r="HGH324" s="26" t="s">
        <v>366</v>
      </c>
      <c r="HGI324" s="26" t="s">
        <v>366</v>
      </c>
      <c r="HGJ324" s="26" t="s">
        <v>366</v>
      </c>
      <c r="HGK324" s="26" t="s">
        <v>366</v>
      </c>
      <c r="HGL324" s="26" t="s">
        <v>366</v>
      </c>
      <c r="HGM324" s="26" t="s">
        <v>366</v>
      </c>
      <c r="HGN324" s="26" t="s">
        <v>366</v>
      </c>
      <c r="HGO324" s="26" t="s">
        <v>366</v>
      </c>
      <c r="HGP324" s="26" t="s">
        <v>366</v>
      </c>
      <c r="HGQ324" s="26" t="s">
        <v>366</v>
      </c>
      <c r="HGR324" s="26" t="s">
        <v>366</v>
      </c>
      <c r="HGS324" s="26" t="s">
        <v>366</v>
      </c>
      <c r="HGT324" s="26" t="s">
        <v>366</v>
      </c>
      <c r="HGU324" s="26" t="s">
        <v>366</v>
      </c>
      <c r="HGV324" s="26" t="s">
        <v>366</v>
      </c>
      <c r="HGW324" s="26" t="s">
        <v>366</v>
      </c>
      <c r="HGX324" s="26" t="s">
        <v>366</v>
      </c>
      <c r="HGY324" s="26" t="s">
        <v>366</v>
      </c>
      <c r="HGZ324" s="26" t="s">
        <v>366</v>
      </c>
      <c r="HHA324" s="26" t="s">
        <v>366</v>
      </c>
      <c r="HHB324" s="26" t="s">
        <v>366</v>
      </c>
      <c r="HHC324" s="26" t="s">
        <v>366</v>
      </c>
      <c r="HHD324" s="26" t="s">
        <v>366</v>
      </c>
      <c r="HHE324" s="26" t="s">
        <v>366</v>
      </c>
      <c r="HHF324" s="26" t="s">
        <v>366</v>
      </c>
      <c r="HHG324" s="26" t="s">
        <v>366</v>
      </c>
      <c r="HHH324" s="26" t="s">
        <v>366</v>
      </c>
      <c r="HHI324" s="26" t="s">
        <v>366</v>
      </c>
      <c r="HHJ324" s="26" t="s">
        <v>366</v>
      </c>
      <c r="HHK324" s="26" t="s">
        <v>366</v>
      </c>
      <c r="HHL324" s="26" t="s">
        <v>366</v>
      </c>
      <c r="HHM324" s="26" t="s">
        <v>366</v>
      </c>
      <c r="HHN324" s="26" t="s">
        <v>366</v>
      </c>
      <c r="HHO324" s="26" t="s">
        <v>366</v>
      </c>
      <c r="HHP324" s="26" t="s">
        <v>366</v>
      </c>
      <c r="HHQ324" s="26" t="s">
        <v>366</v>
      </c>
      <c r="HHR324" s="26" t="s">
        <v>366</v>
      </c>
      <c r="HHS324" s="26" t="s">
        <v>366</v>
      </c>
      <c r="HHT324" s="26" t="s">
        <v>366</v>
      </c>
      <c r="HHU324" s="26" t="s">
        <v>366</v>
      </c>
      <c r="HHV324" s="26" t="s">
        <v>366</v>
      </c>
      <c r="HHW324" s="26" t="s">
        <v>366</v>
      </c>
      <c r="HHX324" s="26" t="s">
        <v>366</v>
      </c>
      <c r="HHY324" s="26" t="s">
        <v>366</v>
      </c>
      <c r="HHZ324" s="26" t="s">
        <v>366</v>
      </c>
      <c r="HIA324" s="26" t="s">
        <v>366</v>
      </c>
      <c r="HIB324" s="26" t="s">
        <v>366</v>
      </c>
      <c r="HIC324" s="26" t="s">
        <v>366</v>
      </c>
      <c r="HID324" s="26" t="s">
        <v>366</v>
      </c>
      <c r="HIE324" s="26" t="s">
        <v>366</v>
      </c>
      <c r="HIF324" s="26" t="s">
        <v>366</v>
      </c>
      <c r="HIG324" s="26" t="s">
        <v>366</v>
      </c>
      <c r="HIH324" s="26" t="s">
        <v>366</v>
      </c>
      <c r="HII324" s="26" t="s">
        <v>366</v>
      </c>
      <c r="HIJ324" s="26" t="s">
        <v>366</v>
      </c>
      <c r="HIK324" s="26" t="s">
        <v>366</v>
      </c>
      <c r="HIL324" s="26" t="s">
        <v>366</v>
      </c>
      <c r="HIM324" s="26" t="s">
        <v>366</v>
      </c>
      <c r="HIN324" s="26" t="s">
        <v>366</v>
      </c>
      <c r="HIO324" s="26" t="s">
        <v>366</v>
      </c>
      <c r="HIP324" s="26" t="s">
        <v>366</v>
      </c>
      <c r="HIQ324" s="26" t="s">
        <v>366</v>
      </c>
      <c r="HIR324" s="26" t="s">
        <v>366</v>
      </c>
      <c r="HIS324" s="26" t="s">
        <v>366</v>
      </c>
      <c r="HIT324" s="26" t="s">
        <v>366</v>
      </c>
      <c r="HIU324" s="26" t="s">
        <v>366</v>
      </c>
      <c r="HIV324" s="26" t="s">
        <v>366</v>
      </c>
      <c r="HIW324" s="26" t="s">
        <v>366</v>
      </c>
      <c r="HIX324" s="26" t="s">
        <v>366</v>
      </c>
      <c r="HIY324" s="26" t="s">
        <v>366</v>
      </c>
      <c r="HIZ324" s="26" t="s">
        <v>366</v>
      </c>
      <c r="HJA324" s="26" t="s">
        <v>366</v>
      </c>
      <c r="HJB324" s="26" t="s">
        <v>366</v>
      </c>
      <c r="HJC324" s="26" t="s">
        <v>366</v>
      </c>
      <c r="HJD324" s="26" t="s">
        <v>366</v>
      </c>
      <c r="HJE324" s="26" t="s">
        <v>366</v>
      </c>
      <c r="HJF324" s="26" t="s">
        <v>366</v>
      </c>
      <c r="HJG324" s="26" t="s">
        <v>366</v>
      </c>
      <c r="HJH324" s="26" t="s">
        <v>366</v>
      </c>
      <c r="HJI324" s="26" t="s">
        <v>366</v>
      </c>
      <c r="HJJ324" s="26" t="s">
        <v>366</v>
      </c>
      <c r="HJK324" s="26" t="s">
        <v>366</v>
      </c>
      <c r="HJL324" s="26" t="s">
        <v>366</v>
      </c>
      <c r="HJM324" s="26" t="s">
        <v>366</v>
      </c>
      <c r="HJN324" s="26" t="s">
        <v>366</v>
      </c>
      <c r="HJO324" s="26" t="s">
        <v>366</v>
      </c>
      <c r="HJP324" s="26" t="s">
        <v>366</v>
      </c>
      <c r="HJQ324" s="26" t="s">
        <v>366</v>
      </c>
      <c r="HJR324" s="26" t="s">
        <v>366</v>
      </c>
      <c r="HJS324" s="26" t="s">
        <v>366</v>
      </c>
      <c r="HJT324" s="26" t="s">
        <v>366</v>
      </c>
      <c r="HJU324" s="26" t="s">
        <v>366</v>
      </c>
      <c r="HJV324" s="26" t="s">
        <v>366</v>
      </c>
      <c r="HJW324" s="26" t="s">
        <v>366</v>
      </c>
      <c r="HJX324" s="26" t="s">
        <v>366</v>
      </c>
      <c r="HJY324" s="26" t="s">
        <v>366</v>
      </c>
      <c r="HJZ324" s="26" t="s">
        <v>366</v>
      </c>
      <c r="HKA324" s="26" t="s">
        <v>366</v>
      </c>
      <c r="HKB324" s="26" t="s">
        <v>366</v>
      </c>
      <c r="HKC324" s="26" t="s">
        <v>366</v>
      </c>
      <c r="HKD324" s="26" t="s">
        <v>366</v>
      </c>
      <c r="HKE324" s="26" t="s">
        <v>366</v>
      </c>
      <c r="HKF324" s="26" t="s">
        <v>366</v>
      </c>
      <c r="HKG324" s="26" t="s">
        <v>366</v>
      </c>
      <c r="HKH324" s="26" t="s">
        <v>366</v>
      </c>
      <c r="HKI324" s="26" t="s">
        <v>366</v>
      </c>
      <c r="HKJ324" s="26" t="s">
        <v>366</v>
      </c>
      <c r="HKK324" s="26" t="s">
        <v>366</v>
      </c>
      <c r="HKL324" s="26" t="s">
        <v>366</v>
      </c>
      <c r="HKM324" s="26" t="s">
        <v>366</v>
      </c>
      <c r="HKN324" s="26" t="s">
        <v>366</v>
      </c>
      <c r="HKO324" s="26" t="s">
        <v>366</v>
      </c>
      <c r="HKP324" s="26" t="s">
        <v>366</v>
      </c>
      <c r="HKQ324" s="26" t="s">
        <v>366</v>
      </c>
      <c r="HKR324" s="26" t="s">
        <v>366</v>
      </c>
      <c r="HKS324" s="26" t="s">
        <v>366</v>
      </c>
      <c r="HKT324" s="26" t="s">
        <v>366</v>
      </c>
      <c r="HKU324" s="26" t="s">
        <v>366</v>
      </c>
      <c r="HKV324" s="26" t="s">
        <v>366</v>
      </c>
      <c r="HKW324" s="26" t="s">
        <v>366</v>
      </c>
      <c r="HKX324" s="26" t="s">
        <v>366</v>
      </c>
      <c r="HKY324" s="26" t="s">
        <v>366</v>
      </c>
      <c r="HKZ324" s="26" t="s">
        <v>366</v>
      </c>
      <c r="HLA324" s="26" t="s">
        <v>366</v>
      </c>
      <c r="HLB324" s="26" t="s">
        <v>366</v>
      </c>
      <c r="HLC324" s="26" t="s">
        <v>366</v>
      </c>
      <c r="HLD324" s="26" t="s">
        <v>366</v>
      </c>
      <c r="HLE324" s="26" t="s">
        <v>366</v>
      </c>
      <c r="HLF324" s="26" t="s">
        <v>366</v>
      </c>
      <c r="HLG324" s="26" t="s">
        <v>366</v>
      </c>
      <c r="HLH324" s="26" t="s">
        <v>366</v>
      </c>
      <c r="HLI324" s="26" t="s">
        <v>366</v>
      </c>
      <c r="HLJ324" s="26" t="s">
        <v>366</v>
      </c>
      <c r="HLK324" s="26" t="s">
        <v>366</v>
      </c>
      <c r="HLL324" s="26" t="s">
        <v>366</v>
      </c>
      <c r="HLM324" s="26" t="s">
        <v>366</v>
      </c>
      <c r="HLN324" s="26" t="s">
        <v>366</v>
      </c>
      <c r="HLO324" s="26" t="s">
        <v>366</v>
      </c>
      <c r="HLP324" s="26" t="s">
        <v>366</v>
      </c>
      <c r="HLQ324" s="26" t="s">
        <v>366</v>
      </c>
      <c r="HLR324" s="26" t="s">
        <v>366</v>
      </c>
      <c r="HLS324" s="26" t="s">
        <v>366</v>
      </c>
      <c r="HLT324" s="26" t="s">
        <v>366</v>
      </c>
      <c r="HLU324" s="26" t="s">
        <v>366</v>
      </c>
      <c r="HLV324" s="26" t="s">
        <v>366</v>
      </c>
      <c r="HLW324" s="26" t="s">
        <v>366</v>
      </c>
      <c r="HLX324" s="26" t="s">
        <v>366</v>
      </c>
      <c r="HLY324" s="26" t="s">
        <v>366</v>
      </c>
      <c r="HLZ324" s="26" t="s">
        <v>366</v>
      </c>
      <c r="HMA324" s="26" t="s">
        <v>366</v>
      </c>
      <c r="HMB324" s="26" t="s">
        <v>366</v>
      </c>
      <c r="HMC324" s="26" t="s">
        <v>366</v>
      </c>
      <c r="HMD324" s="26" t="s">
        <v>366</v>
      </c>
      <c r="HME324" s="26" t="s">
        <v>366</v>
      </c>
      <c r="HMF324" s="26" t="s">
        <v>366</v>
      </c>
      <c r="HMG324" s="26" t="s">
        <v>366</v>
      </c>
      <c r="HMH324" s="26" t="s">
        <v>366</v>
      </c>
      <c r="HMI324" s="26" t="s">
        <v>366</v>
      </c>
      <c r="HMJ324" s="26" t="s">
        <v>366</v>
      </c>
      <c r="HMK324" s="26" t="s">
        <v>366</v>
      </c>
      <c r="HML324" s="26" t="s">
        <v>366</v>
      </c>
      <c r="HMM324" s="26" t="s">
        <v>366</v>
      </c>
      <c r="HMN324" s="26" t="s">
        <v>366</v>
      </c>
      <c r="HMO324" s="26" t="s">
        <v>366</v>
      </c>
      <c r="HMP324" s="26" t="s">
        <v>366</v>
      </c>
      <c r="HMQ324" s="26" t="s">
        <v>366</v>
      </c>
      <c r="HMR324" s="26" t="s">
        <v>366</v>
      </c>
      <c r="HMS324" s="26" t="s">
        <v>366</v>
      </c>
      <c r="HMT324" s="26" t="s">
        <v>366</v>
      </c>
      <c r="HMU324" s="26" t="s">
        <v>366</v>
      </c>
      <c r="HMV324" s="26" t="s">
        <v>366</v>
      </c>
      <c r="HMW324" s="26" t="s">
        <v>366</v>
      </c>
      <c r="HMX324" s="26" t="s">
        <v>366</v>
      </c>
      <c r="HMY324" s="26" t="s">
        <v>366</v>
      </c>
      <c r="HMZ324" s="26" t="s">
        <v>366</v>
      </c>
      <c r="HNA324" s="26" t="s">
        <v>366</v>
      </c>
      <c r="HNB324" s="26" t="s">
        <v>366</v>
      </c>
      <c r="HNC324" s="26" t="s">
        <v>366</v>
      </c>
      <c r="HND324" s="26" t="s">
        <v>366</v>
      </c>
      <c r="HNE324" s="26" t="s">
        <v>366</v>
      </c>
      <c r="HNF324" s="26" t="s">
        <v>366</v>
      </c>
      <c r="HNG324" s="26" t="s">
        <v>366</v>
      </c>
      <c r="HNH324" s="26" t="s">
        <v>366</v>
      </c>
      <c r="HNI324" s="26" t="s">
        <v>366</v>
      </c>
      <c r="HNJ324" s="26" t="s">
        <v>366</v>
      </c>
      <c r="HNK324" s="26" t="s">
        <v>366</v>
      </c>
      <c r="HNL324" s="26" t="s">
        <v>366</v>
      </c>
      <c r="HNM324" s="26" t="s">
        <v>366</v>
      </c>
      <c r="HNN324" s="26" t="s">
        <v>366</v>
      </c>
      <c r="HNO324" s="26" t="s">
        <v>366</v>
      </c>
      <c r="HNP324" s="26" t="s">
        <v>366</v>
      </c>
      <c r="HNQ324" s="26" t="s">
        <v>366</v>
      </c>
      <c r="HNR324" s="26" t="s">
        <v>366</v>
      </c>
      <c r="HNS324" s="26" t="s">
        <v>366</v>
      </c>
      <c r="HNT324" s="26" t="s">
        <v>366</v>
      </c>
      <c r="HNU324" s="26" t="s">
        <v>366</v>
      </c>
      <c r="HNV324" s="26" t="s">
        <v>366</v>
      </c>
      <c r="HNW324" s="26" t="s">
        <v>366</v>
      </c>
      <c r="HNX324" s="26" t="s">
        <v>366</v>
      </c>
      <c r="HNY324" s="26" t="s">
        <v>366</v>
      </c>
      <c r="HNZ324" s="26" t="s">
        <v>366</v>
      </c>
      <c r="HOA324" s="26" t="s">
        <v>366</v>
      </c>
      <c r="HOB324" s="26" t="s">
        <v>366</v>
      </c>
      <c r="HOC324" s="26" t="s">
        <v>366</v>
      </c>
      <c r="HOD324" s="26" t="s">
        <v>366</v>
      </c>
      <c r="HOE324" s="26" t="s">
        <v>366</v>
      </c>
      <c r="HOF324" s="26" t="s">
        <v>366</v>
      </c>
      <c r="HOG324" s="26" t="s">
        <v>366</v>
      </c>
      <c r="HOH324" s="26" t="s">
        <v>366</v>
      </c>
      <c r="HOI324" s="26" t="s">
        <v>366</v>
      </c>
      <c r="HOJ324" s="26" t="s">
        <v>366</v>
      </c>
      <c r="HOK324" s="26" t="s">
        <v>366</v>
      </c>
      <c r="HOL324" s="26" t="s">
        <v>366</v>
      </c>
      <c r="HOM324" s="26" t="s">
        <v>366</v>
      </c>
      <c r="HON324" s="26" t="s">
        <v>366</v>
      </c>
      <c r="HOO324" s="26" t="s">
        <v>366</v>
      </c>
      <c r="HOP324" s="26" t="s">
        <v>366</v>
      </c>
      <c r="HOQ324" s="26" t="s">
        <v>366</v>
      </c>
      <c r="HOR324" s="26" t="s">
        <v>366</v>
      </c>
      <c r="HOS324" s="26" t="s">
        <v>366</v>
      </c>
      <c r="HOT324" s="26" t="s">
        <v>366</v>
      </c>
      <c r="HOU324" s="26" t="s">
        <v>366</v>
      </c>
      <c r="HOV324" s="26" t="s">
        <v>366</v>
      </c>
      <c r="HOW324" s="26" t="s">
        <v>366</v>
      </c>
      <c r="HOX324" s="26" t="s">
        <v>366</v>
      </c>
      <c r="HOY324" s="26" t="s">
        <v>366</v>
      </c>
      <c r="HOZ324" s="26" t="s">
        <v>366</v>
      </c>
      <c r="HPA324" s="26" t="s">
        <v>366</v>
      </c>
      <c r="HPB324" s="26" t="s">
        <v>366</v>
      </c>
      <c r="HPC324" s="26" t="s">
        <v>366</v>
      </c>
      <c r="HPD324" s="26" t="s">
        <v>366</v>
      </c>
      <c r="HPE324" s="26" t="s">
        <v>366</v>
      </c>
      <c r="HPF324" s="26" t="s">
        <v>366</v>
      </c>
      <c r="HPG324" s="26" t="s">
        <v>366</v>
      </c>
      <c r="HPH324" s="26" t="s">
        <v>366</v>
      </c>
      <c r="HPI324" s="26" t="s">
        <v>366</v>
      </c>
      <c r="HPJ324" s="26" t="s">
        <v>366</v>
      </c>
      <c r="HPK324" s="26" t="s">
        <v>366</v>
      </c>
      <c r="HPL324" s="26" t="s">
        <v>366</v>
      </c>
      <c r="HPM324" s="26" t="s">
        <v>366</v>
      </c>
      <c r="HPN324" s="26" t="s">
        <v>366</v>
      </c>
      <c r="HPO324" s="26" t="s">
        <v>366</v>
      </c>
      <c r="HPP324" s="26" t="s">
        <v>366</v>
      </c>
      <c r="HPQ324" s="26" t="s">
        <v>366</v>
      </c>
      <c r="HPR324" s="26" t="s">
        <v>366</v>
      </c>
      <c r="HPS324" s="26" t="s">
        <v>366</v>
      </c>
      <c r="HPT324" s="26" t="s">
        <v>366</v>
      </c>
      <c r="HPU324" s="26" t="s">
        <v>366</v>
      </c>
      <c r="HPV324" s="26" t="s">
        <v>366</v>
      </c>
      <c r="HPW324" s="26" t="s">
        <v>366</v>
      </c>
      <c r="HPX324" s="26" t="s">
        <v>366</v>
      </c>
      <c r="HPY324" s="26" t="s">
        <v>366</v>
      </c>
      <c r="HPZ324" s="26" t="s">
        <v>366</v>
      </c>
      <c r="HQA324" s="26" t="s">
        <v>366</v>
      </c>
      <c r="HQB324" s="26" t="s">
        <v>366</v>
      </c>
      <c r="HQC324" s="26" t="s">
        <v>366</v>
      </c>
      <c r="HQD324" s="26" t="s">
        <v>366</v>
      </c>
      <c r="HQE324" s="26" t="s">
        <v>366</v>
      </c>
      <c r="HQF324" s="26" t="s">
        <v>366</v>
      </c>
      <c r="HQG324" s="26" t="s">
        <v>366</v>
      </c>
      <c r="HQH324" s="26" t="s">
        <v>366</v>
      </c>
      <c r="HQI324" s="26" t="s">
        <v>366</v>
      </c>
      <c r="HQJ324" s="26" t="s">
        <v>366</v>
      </c>
      <c r="HQK324" s="26" t="s">
        <v>366</v>
      </c>
      <c r="HQL324" s="26" t="s">
        <v>366</v>
      </c>
      <c r="HQM324" s="26" t="s">
        <v>366</v>
      </c>
      <c r="HQN324" s="26" t="s">
        <v>366</v>
      </c>
      <c r="HQO324" s="26" t="s">
        <v>366</v>
      </c>
      <c r="HQP324" s="26" t="s">
        <v>366</v>
      </c>
      <c r="HQQ324" s="26" t="s">
        <v>366</v>
      </c>
      <c r="HQR324" s="26" t="s">
        <v>366</v>
      </c>
      <c r="HQS324" s="26" t="s">
        <v>366</v>
      </c>
      <c r="HQT324" s="26" t="s">
        <v>366</v>
      </c>
      <c r="HQU324" s="26" t="s">
        <v>366</v>
      </c>
      <c r="HQV324" s="26" t="s">
        <v>366</v>
      </c>
      <c r="HQW324" s="26" t="s">
        <v>366</v>
      </c>
      <c r="HQX324" s="26" t="s">
        <v>366</v>
      </c>
      <c r="HQY324" s="26" t="s">
        <v>366</v>
      </c>
      <c r="HQZ324" s="26" t="s">
        <v>366</v>
      </c>
      <c r="HRA324" s="26" t="s">
        <v>366</v>
      </c>
      <c r="HRB324" s="26" t="s">
        <v>366</v>
      </c>
      <c r="HRC324" s="26" t="s">
        <v>366</v>
      </c>
      <c r="HRD324" s="26" t="s">
        <v>366</v>
      </c>
      <c r="HRE324" s="26" t="s">
        <v>366</v>
      </c>
      <c r="HRF324" s="26" t="s">
        <v>366</v>
      </c>
      <c r="HRG324" s="26" t="s">
        <v>366</v>
      </c>
      <c r="HRH324" s="26" t="s">
        <v>366</v>
      </c>
      <c r="HRI324" s="26" t="s">
        <v>366</v>
      </c>
      <c r="HRJ324" s="26" t="s">
        <v>366</v>
      </c>
      <c r="HRK324" s="26" t="s">
        <v>366</v>
      </c>
      <c r="HRL324" s="26" t="s">
        <v>366</v>
      </c>
      <c r="HRM324" s="26" t="s">
        <v>366</v>
      </c>
      <c r="HRN324" s="26" t="s">
        <v>366</v>
      </c>
      <c r="HRO324" s="26" t="s">
        <v>366</v>
      </c>
      <c r="HRP324" s="26" t="s">
        <v>366</v>
      </c>
      <c r="HRQ324" s="26" t="s">
        <v>366</v>
      </c>
      <c r="HRR324" s="26" t="s">
        <v>366</v>
      </c>
      <c r="HRS324" s="26" t="s">
        <v>366</v>
      </c>
      <c r="HRT324" s="26" t="s">
        <v>366</v>
      </c>
      <c r="HRU324" s="26" t="s">
        <v>366</v>
      </c>
      <c r="HRV324" s="26" t="s">
        <v>366</v>
      </c>
      <c r="HRW324" s="26" t="s">
        <v>366</v>
      </c>
      <c r="HRX324" s="26" t="s">
        <v>366</v>
      </c>
      <c r="HRY324" s="26" t="s">
        <v>366</v>
      </c>
      <c r="HRZ324" s="26" t="s">
        <v>366</v>
      </c>
      <c r="HSA324" s="26" t="s">
        <v>366</v>
      </c>
      <c r="HSB324" s="26" t="s">
        <v>366</v>
      </c>
      <c r="HSC324" s="26" t="s">
        <v>366</v>
      </c>
      <c r="HSD324" s="26" t="s">
        <v>366</v>
      </c>
      <c r="HSE324" s="26" t="s">
        <v>366</v>
      </c>
      <c r="HSF324" s="26" t="s">
        <v>366</v>
      </c>
      <c r="HSG324" s="26" t="s">
        <v>366</v>
      </c>
      <c r="HSH324" s="26" t="s">
        <v>366</v>
      </c>
      <c r="HSI324" s="26" t="s">
        <v>366</v>
      </c>
      <c r="HSJ324" s="26" t="s">
        <v>366</v>
      </c>
      <c r="HSK324" s="26" t="s">
        <v>366</v>
      </c>
      <c r="HSL324" s="26" t="s">
        <v>366</v>
      </c>
      <c r="HSM324" s="26" t="s">
        <v>366</v>
      </c>
      <c r="HSN324" s="26" t="s">
        <v>366</v>
      </c>
      <c r="HSO324" s="26" t="s">
        <v>366</v>
      </c>
      <c r="HSP324" s="26" t="s">
        <v>366</v>
      </c>
      <c r="HSQ324" s="26" t="s">
        <v>366</v>
      </c>
      <c r="HSR324" s="26" t="s">
        <v>366</v>
      </c>
      <c r="HSS324" s="26" t="s">
        <v>366</v>
      </c>
      <c r="HST324" s="26" t="s">
        <v>366</v>
      </c>
      <c r="HSU324" s="26" t="s">
        <v>366</v>
      </c>
      <c r="HSV324" s="26" t="s">
        <v>366</v>
      </c>
      <c r="HSW324" s="26" t="s">
        <v>366</v>
      </c>
      <c r="HSX324" s="26" t="s">
        <v>366</v>
      </c>
      <c r="HSY324" s="26" t="s">
        <v>366</v>
      </c>
      <c r="HSZ324" s="26" t="s">
        <v>366</v>
      </c>
      <c r="HTA324" s="26" t="s">
        <v>366</v>
      </c>
      <c r="HTB324" s="26" t="s">
        <v>366</v>
      </c>
      <c r="HTC324" s="26" t="s">
        <v>366</v>
      </c>
      <c r="HTD324" s="26" t="s">
        <v>366</v>
      </c>
      <c r="HTE324" s="26" t="s">
        <v>366</v>
      </c>
      <c r="HTF324" s="26" t="s">
        <v>366</v>
      </c>
      <c r="HTG324" s="26" t="s">
        <v>366</v>
      </c>
      <c r="HTH324" s="26" t="s">
        <v>366</v>
      </c>
      <c r="HTI324" s="26" t="s">
        <v>366</v>
      </c>
      <c r="HTJ324" s="26" t="s">
        <v>366</v>
      </c>
      <c r="HTK324" s="26" t="s">
        <v>366</v>
      </c>
      <c r="HTL324" s="26" t="s">
        <v>366</v>
      </c>
      <c r="HTM324" s="26" t="s">
        <v>366</v>
      </c>
      <c r="HTN324" s="26" t="s">
        <v>366</v>
      </c>
      <c r="HTO324" s="26" t="s">
        <v>366</v>
      </c>
      <c r="HTP324" s="26" t="s">
        <v>366</v>
      </c>
      <c r="HTQ324" s="26" t="s">
        <v>366</v>
      </c>
      <c r="HTR324" s="26" t="s">
        <v>366</v>
      </c>
      <c r="HTS324" s="26" t="s">
        <v>366</v>
      </c>
      <c r="HTT324" s="26" t="s">
        <v>366</v>
      </c>
      <c r="HTU324" s="26" t="s">
        <v>366</v>
      </c>
      <c r="HTV324" s="26" t="s">
        <v>366</v>
      </c>
      <c r="HTW324" s="26" t="s">
        <v>366</v>
      </c>
      <c r="HTX324" s="26" t="s">
        <v>366</v>
      </c>
      <c r="HTY324" s="26" t="s">
        <v>366</v>
      </c>
      <c r="HTZ324" s="26" t="s">
        <v>366</v>
      </c>
      <c r="HUA324" s="26" t="s">
        <v>366</v>
      </c>
      <c r="HUB324" s="26" t="s">
        <v>366</v>
      </c>
      <c r="HUC324" s="26" t="s">
        <v>366</v>
      </c>
      <c r="HUD324" s="26" t="s">
        <v>366</v>
      </c>
      <c r="HUE324" s="26" t="s">
        <v>366</v>
      </c>
      <c r="HUF324" s="26" t="s">
        <v>366</v>
      </c>
      <c r="HUG324" s="26" t="s">
        <v>366</v>
      </c>
      <c r="HUH324" s="26" t="s">
        <v>366</v>
      </c>
      <c r="HUI324" s="26" t="s">
        <v>366</v>
      </c>
      <c r="HUJ324" s="26" t="s">
        <v>366</v>
      </c>
      <c r="HUK324" s="26" t="s">
        <v>366</v>
      </c>
      <c r="HUL324" s="26" t="s">
        <v>366</v>
      </c>
      <c r="HUM324" s="26" t="s">
        <v>366</v>
      </c>
      <c r="HUN324" s="26" t="s">
        <v>366</v>
      </c>
      <c r="HUO324" s="26" t="s">
        <v>366</v>
      </c>
      <c r="HUP324" s="26" t="s">
        <v>366</v>
      </c>
      <c r="HUQ324" s="26" t="s">
        <v>366</v>
      </c>
      <c r="HUR324" s="26" t="s">
        <v>366</v>
      </c>
      <c r="HUS324" s="26" t="s">
        <v>366</v>
      </c>
      <c r="HUT324" s="26" t="s">
        <v>366</v>
      </c>
      <c r="HUU324" s="26" t="s">
        <v>366</v>
      </c>
      <c r="HUV324" s="26" t="s">
        <v>366</v>
      </c>
      <c r="HUW324" s="26" t="s">
        <v>366</v>
      </c>
      <c r="HUX324" s="26" t="s">
        <v>366</v>
      </c>
      <c r="HUY324" s="26" t="s">
        <v>366</v>
      </c>
      <c r="HUZ324" s="26" t="s">
        <v>366</v>
      </c>
      <c r="HVA324" s="26" t="s">
        <v>366</v>
      </c>
      <c r="HVB324" s="26" t="s">
        <v>366</v>
      </c>
      <c r="HVC324" s="26" t="s">
        <v>366</v>
      </c>
      <c r="HVD324" s="26" t="s">
        <v>366</v>
      </c>
      <c r="HVE324" s="26" t="s">
        <v>366</v>
      </c>
      <c r="HVF324" s="26" t="s">
        <v>366</v>
      </c>
      <c r="HVG324" s="26" t="s">
        <v>366</v>
      </c>
      <c r="HVH324" s="26" t="s">
        <v>366</v>
      </c>
      <c r="HVI324" s="26" t="s">
        <v>366</v>
      </c>
      <c r="HVJ324" s="26" t="s">
        <v>366</v>
      </c>
      <c r="HVK324" s="26" t="s">
        <v>366</v>
      </c>
      <c r="HVL324" s="26" t="s">
        <v>366</v>
      </c>
      <c r="HVM324" s="26" t="s">
        <v>366</v>
      </c>
      <c r="HVN324" s="26" t="s">
        <v>366</v>
      </c>
      <c r="HVO324" s="26" t="s">
        <v>366</v>
      </c>
      <c r="HVP324" s="26" t="s">
        <v>366</v>
      </c>
      <c r="HVQ324" s="26" t="s">
        <v>366</v>
      </c>
      <c r="HVR324" s="26" t="s">
        <v>366</v>
      </c>
      <c r="HVS324" s="26" t="s">
        <v>366</v>
      </c>
      <c r="HVT324" s="26" t="s">
        <v>366</v>
      </c>
      <c r="HVU324" s="26" t="s">
        <v>366</v>
      </c>
      <c r="HVV324" s="26" t="s">
        <v>366</v>
      </c>
      <c r="HVW324" s="26" t="s">
        <v>366</v>
      </c>
      <c r="HVX324" s="26" t="s">
        <v>366</v>
      </c>
      <c r="HVY324" s="26" t="s">
        <v>366</v>
      </c>
      <c r="HVZ324" s="26" t="s">
        <v>366</v>
      </c>
      <c r="HWA324" s="26" t="s">
        <v>366</v>
      </c>
      <c r="HWB324" s="26" t="s">
        <v>366</v>
      </c>
      <c r="HWC324" s="26" t="s">
        <v>366</v>
      </c>
      <c r="HWD324" s="26" t="s">
        <v>366</v>
      </c>
      <c r="HWE324" s="26" t="s">
        <v>366</v>
      </c>
      <c r="HWF324" s="26" t="s">
        <v>366</v>
      </c>
      <c r="HWG324" s="26" t="s">
        <v>366</v>
      </c>
      <c r="HWH324" s="26" t="s">
        <v>366</v>
      </c>
      <c r="HWI324" s="26" t="s">
        <v>366</v>
      </c>
      <c r="HWJ324" s="26" t="s">
        <v>366</v>
      </c>
      <c r="HWK324" s="26" t="s">
        <v>366</v>
      </c>
      <c r="HWL324" s="26" t="s">
        <v>366</v>
      </c>
      <c r="HWM324" s="26" t="s">
        <v>366</v>
      </c>
      <c r="HWN324" s="26" t="s">
        <v>366</v>
      </c>
      <c r="HWO324" s="26" t="s">
        <v>366</v>
      </c>
      <c r="HWP324" s="26" t="s">
        <v>366</v>
      </c>
      <c r="HWQ324" s="26" t="s">
        <v>366</v>
      </c>
      <c r="HWR324" s="26" t="s">
        <v>366</v>
      </c>
      <c r="HWS324" s="26" t="s">
        <v>366</v>
      </c>
      <c r="HWT324" s="26" t="s">
        <v>366</v>
      </c>
      <c r="HWU324" s="26" t="s">
        <v>366</v>
      </c>
      <c r="HWV324" s="26" t="s">
        <v>366</v>
      </c>
      <c r="HWW324" s="26" t="s">
        <v>366</v>
      </c>
      <c r="HWX324" s="26" t="s">
        <v>366</v>
      </c>
      <c r="HWY324" s="26" t="s">
        <v>366</v>
      </c>
      <c r="HWZ324" s="26" t="s">
        <v>366</v>
      </c>
      <c r="HXA324" s="26" t="s">
        <v>366</v>
      </c>
      <c r="HXB324" s="26" t="s">
        <v>366</v>
      </c>
      <c r="HXC324" s="26" t="s">
        <v>366</v>
      </c>
      <c r="HXD324" s="26" t="s">
        <v>366</v>
      </c>
      <c r="HXE324" s="26" t="s">
        <v>366</v>
      </c>
      <c r="HXF324" s="26" t="s">
        <v>366</v>
      </c>
      <c r="HXG324" s="26" t="s">
        <v>366</v>
      </c>
      <c r="HXH324" s="26" t="s">
        <v>366</v>
      </c>
      <c r="HXI324" s="26" t="s">
        <v>366</v>
      </c>
      <c r="HXJ324" s="26" t="s">
        <v>366</v>
      </c>
      <c r="HXK324" s="26" t="s">
        <v>366</v>
      </c>
      <c r="HXL324" s="26" t="s">
        <v>366</v>
      </c>
      <c r="HXM324" s="26" t="s">
        <v>366</v>
      </c>
      <c r="HXN324" s="26" t="s">
        <v>366</v>
      </c>
      <c r="HXO324" s="26" t="s">
        <v>366</v>
      </c>
      <c r="HXP324" s="26" t="s">
        <v>366</v>
      </c>
      <c r="HXQ324" s="26" t="s">
        <v>366</v>
      </c>
      <c r="HXR324" s="26" t="s">
        <v>366</v>
      </c>
      <c r="HXS324" s="26" t="s">
        <v>366</v>
      </c>
      <c r="HXT324" s="26" t="s">
        <v>366</v>
      </c>
      <c r="HXU324" s="26" t="s">
        <v>366</v>
      </c>
      <c r="HXV324" s="26" t="s">
        <v>366</v>
      </c>
      <c r="HXW324" s="26" t="s">
        <v>366</v>
      </c>
      <c r="HXX324" s="26" t="s">
        <v>366</v>
      </c>
      <c r="HXY324" s="26" t="s">
        <v>366</v>
      </c>
      <c r="HXZ324" s="26" t="s">
        <v>366</v>
      </c>
      <c r="HYA324" s="26" t="s">
        <v>366</v>
      </c>
      <c r="HYB324" s="26" t="s">
        <v>366</v>
      </c>
      <c r="HYC324" s="26" t="s">
        <v>366</v>
      </c>
      <c r="HYD324" s="26" t="s">
        <v>366</v>
      </c>
      <c r="HYE324" s="26" t="s">
        <v>366</v>
      </c>
      <c r="HYF324" s="26" t="s">
        <v>366</v>
      </c>
      <c r="HYG324" s="26" t="s">
        <v>366</v>
      </c>
      <c r="HYH324" s="26" t="s">
        <v>366</v>
      </c>
      <c r="HYI324" s="26" t="s">
        <v>366</v>
      </c>
      <c r="HYJ324" s="26" t="s">
        <v>366</v>
      </c>
      <c r="HYK324" s="26" t="s">
        <v>366</v>
      </c>
      <c r="HYL324" s="26" t="s">
        <v>366</v>
      </c>
      <c r="HYM324" s="26" t="s">
        <v>366</v>
      </c>
      <c r="HYN324" s="26" t="s">
        <v>366</v>
      </c>
      <c r="HYO324" s="26" t="s">
        <v>366</v>
      </c>
      <c r="HYP324" s="26" t="s">
        <v>366</v>
      </c>
      <c r="HYQ324" s="26" t="s">
        <v>366</v>
      </c>
      <c r="HYR324" s="26" t="s">
        <v>366</v>
      </c>
      <c r="HYS324" s="26" t="s">
        <v>366</v>
      </c>
      <c r="HYT324" s="26" t="s">
        <v>366</v>
      </c>
      <c r="HYU324" s="26" t="s">
        <v>366</v>
      </c>
      <c r="HYV324" s="26" t="s">
        <v>366</v>
      </c>
      <c r="HYW324" s="26" t="s">
        <v>366</v>
      </c>
      <c r="HYX324" s="26" t="s">
        <v>366</v>
      </c>
      <c r="HYY324" s="26" t="s">
        <v>366</v>
      </c>
      <c r="HYZ324" s="26" t="s">
        <v>366</v>
      </c>
      <c r="HZA324" s="26" t="s">
        <v>366</v>
      </c>
      <c r="HZB324" s="26" t="s">
        <v>366</v>
      </c>
      <c r="HZC324" s="26" t="s">
        <v>366</v>
      </c>
      <c r="HZD324" s="26" t="s">
        <v>366</v>
      </c>
      <c r="HZE324" s="26" t="s">
        <v>366</v>
      </c>
      <c r="HZF324" s="26" t="s">
        <v>366</v>
      </c>
      <c r="HZG324" s="26" t="s">
        <v>366</v>
      </c>
      <c r="HZH324" s="26" t="s">
        <v>366</v>
      </c>
      <c r="HZI324" s="26" t="s">
        <v>366</v>
      </c>
      <c r="HZJ324" s="26" t="s">
        <v>366</v>
      </c>
      <c r="HZK324" s="26" t="s">
        <v>366</v>
      </c>
      <c r="HZL324" s="26" t="s">
        <v>366</v>
      </c>
      <c r="HZM324" s="26" t="s">
        <v>366</v>
      </c>
      <c r="HZN324" s="26" t="s">
        <v>366</v>
      </c>
      <c r="HZO324" s="26" t="s">
        <v>366</v>
      </c>
      <c r="HZP324" s="26" t="s">
        <v>366</v>
      </c>
      <c r="HZQ324" s="26" t="s">
        <v>366</v>
      </c>
      <c r="HZR324" s="26" t="s">
        <v>366</v>
      </c>
      <c r="HZS324" s="26" t="s">
        <v>366</v>
      </c>
      <c r="HZT324" s="26" t="s">
        <v>366</v>
      </c>
      <c r="HZU324" s="26" t="s">
        <v>366</v>
      </c>
      <c r="HZV324" s="26" t="s">
        <v>366</v>
      </c>
      <c r="HZW324" s="26" t="s">
        <v>366</v>
      </c>
      <c r="HZX324" s="26" t="s">
        <v>366</v>
      </c>
      <c r="HZY324" s="26" t="s">
        <v>366</v>
      </c>
      <c r="HZZ324" s="26" t="s">
        <v>366</v>
      </c>
      <c r="IAA324" s="26" t="s">
        <v>366</v>
      </c>
      <c r="IAB324" s="26" t="s">
        <v>366</v>
      </c>
      <c r="IAC324" s="26" t="s">
        <v>366</v>
      </c>
      <c r="IAD324" s="26" t="s">
        <v>366</v>
      </c>
      <c r="IAE324" s="26" t="s">
        <v>366</v>
      </c>
      <c r="IAF324" s="26" t="s">
        <v>366</v>
      </c>
      <c r="IAG324" s="26" t="s">
        <v>366</v>
      </c>
      <c r="IAH324" s="26" t="s">
        <v>366</v>
      </c>
      <c r="IAI324" s="26" t="s">
        <v>366</v>
      </c>
      <c r="IAJ324" s="26" t="s">
        <v>366</v>
      </c>
      <c r="IAK324" s="26" t="s">
        <v>366</v>
      </c>
      <c r="IAL324" s="26" t="s">
        <v>366</v>
      </c>
      <c r="IAM324" s="26" t="s">
        <v>366</v>
      </c>
      <c r="IAN324" s="26" t="s">
        <v>366</v>
      </c>
      <c r="IAO324" s="26" t="s">
        <v>366</v>
      </c>
      <c r="IAP324" s="26" t="s">
        <v>366</v>
      </c>
      <c r="IAQ324" s="26" t="s">
        <v>366</v>
      </c>
      <c r="IAR324" s="26" t="s">
        <v>366</v>
      </c>
      <c r="IAS324" s="26" t="s">
        <v>366</v>
      </c>
      <c r="IAT324" s="26" t="s">
        <v>366</v>
      </c>
      <c r="IAU324" s="26" t="s">
        <v>366</v>
      </c>
      <c r="IAV324" s="26" t="s">
        <v>366</v>
      </c>
      <c r="IAW324" s="26" t="s">
        <v>366</v>
      </c>
      <c r="IAX324" s="26" t="s">
        <v>366</v>
      </c>
      <c r="IAY324" s="26" t="s">
        <v>366</v>
      </c>
      <c r="IAZ324" s="26" t="s">
        <v>366</v>
      </c>
      <c r="IBA324" s="26" t="s">
        <v>366</v>
      </c>
      <c r="IBB324" s="26" t="s">
        <v>366</v>
      </c>
      <c r="IBC324" s="26" t="s">
        <v>366</v>
      </c>
      <c r="IBD324" s="26" t="s">
        <v>366</v>
      </c>
      <c r="IBE324" s="26" t="s">
        <v>366</v>
      </c>
      <c r="IBF324" s="26" t="s">
        <v>366</v>
      </c>
      <c r="IBG324" s="26" t="s">
        <v>366</v>
      </c>
      <c r="IBH324" s="26" t="s">
        <v>366</v>
      </c>
      <c r="IBI324" s="26" t="s">
        <v>366</v>
      </c>
      <c r="IBJ324" s="26" t="s">
        <v>366</v>
      </c>
      <c r="IBK324" s="26" t="s">
        <v>366</v>
      </c>
      <c r="IBL324" s="26" t="s">
        <v>366</v>
      </c>
      <c r="IBM324" s="26" t="s">
        <v>366</v>
      </c>
      <c r="IBN324" s="26" t="s">
        <v>366</v>
      </c>
      <c r="IBO324" s="26" t="s">
        <v>366</v>
      </c>
      <c r="IBP324" s="26" t="s">
        <v>366</v>
      </c>
      <c r="IBQ324" s="26" t="s">
        <v>366</v>
      </c>
      <c r="IBR324" s="26" t="s">
        <v>366</v>
      </c>
      <c r="IBS324" s="26" t="s">
        <v>366</v>
      </c>
      <c r="IBT324" s="26" t="s">
        <v>366</v>
      </c>
      <c r="IBU324" s="26" t="s">
        <v>366</v>
      </c>
      <c r="IBV324" s="26" t="s">
        <v>366</v>
      </c>
      <c r="IBW324" s="26" t="s">
        <v>366</v>
      </c>
      <c r="IBX324" s="26" t="s">
        <v>366</v>
      </c>
      <c r="IBY324" s="26" t="s">
        <v>366</v>
      </c>
      <c r="IBZ324" s="26" t="s">
        <v>366</v>
      </c>
      <c r="ICA324" s="26" t="s">
        <v>366</v>
      </c>
      <c r="ICB324" s="26" t="s">
        <v>366</v>
      </c>
      <c r="ICC324" s="26" t="s">
        <v>366</v>
      </c>
      <c r="ICD324" s="26" t="s">
        <v>366</v>
      </c>
      <c r="ICE324" s="26" t="s">
        <v>366</v>
      </c>
      <c r="ICF324" s="26" t="s">
        <v>366</v>
      </c>
      <c r="ICG324" s="26" t="s">
        <v>366</v>
      </c>
      <c r="ICH324" s="26" t="s">
        <v>366</v>
      </c>
      <c r="ICI324" s="26" t="s">
        <v>366</v>
      </c>
      <c r="ICJ324" s="26" t="s">
        <v>366</v>
      </c>
      <c r="ICK324" s="26" t="s">
        <v>366</v>
      </c>
      <c r="ICL324" s="26" t="s">
        <v>366</v>
      </c>
      <c r="ICM324" s="26" t="s">
        <v>366</v>
      </c>
      <c r="ICN324" s="26" t="s">
        <v>366</v>
      </c>
      <c r="ICO324" s="26" t="s">
        <v>366</v>
      </c>
      <c r="ICP324" s="26" t="s">
        <v>366</v>
      </c>
      <c r="ICQ324" s="26" t="s">
        <v>366</v>
      </c>
      <c r="ICR324" s="26" t="s">
        <v>366</v>
      </c>
      <c r="ICS324" s="26" t="s">
        <v>366</v>
      </c>
      <c r="ICT324" s="26" t="s">
        <v>366</v>
      </c>
      <c r="ICU324" s="26" t="s">
        <v>366</v>
      </c>
      <c r="ICV324" s="26" t="s">
        <v>366</v>
      </c>
      <c r="ICW324" s="26" t="s">
        <v>366</v>
      </c>
      <c r="ICX324" s="26" t="s">
        <v>366</v>
      </c>
      <c r="ICY324" s="26" t="s">
        <v>366</v>
      </c>
      <c r="ICZ324" s="26" t="s">
        <v>366</v>
      </c>
      <c r="IDA324" s="26" t="s">
        <v>366</v>
      </c>
      <c r="IDB324" s="26" t="s">
        <v>366</v>
      </c>
      <c r="IDC324" s="26" t="s">
        <v>366</v>
      </c>
      <c r="IDD324" s="26" t="s">
        <v>366</v>
      </c>
      <c r="IDE324" s="26" t="s">
        <v>366</v>
      </c>
      <c r="IDF324" s="26" t="s">
        <v>366</v>
      </c>
      <c r="IDG324" s="26" t="s">
        <v>366</v>
      </c>
      <c r="IDH324" s="26" t="s">
        <v>366</v>
      </c>
      <c r="IDI324" s="26" t="s">
        <v>366</v>
      </c>
      <c r="IDJ324" s="26" t="s">
        <v>366</v>
      </c>
      <c r="IDK324" s="26" t="s">
        <v>366</v>
      </c>
      <c r="IDL324" s="26" t="s">
        <v>366</v>
      </c>
      <c r="IDM324" s="26" t="s">
        <v>366</v>
      </c>
      <c r="IDN324" s="26" t="s">
        <v>366</v>
      </c>
      <c r="IDO324" s="26" t="s">
        <v>366</v>
      </c>
      <c r="IDP324" s="26" t="s">
        <v>366</v>
      </c>
      <c r="IDQ324" s="26" t="s">
        <v>366</v>
      </c>
      <c r="IDR324" s="26" t="s">
        <v>366</v>
      </c>
      <c r="IDS324" s="26" t="s">
        <v>366</v>
      </c>
      <c r="IDT324" s="26" t="s">
        <v>366</v>
      </c>
      <c r="IDU324" s="26" t="s">
        <v>366</v>
      </c>
      <c r="IDV324" s="26" t="s">
        <v>366</v>
      </c>
      <c r="IDW324" s="26" t="s">
        <v>366</v>
      </c>
      <c r="IDX324" s="26" t="s">
        <v>366</v>
      </c>
      <c r="IDY324" s="26" t="s">
        <v>366</v>
      </c>
      <c r="IDZ324" s="26" t="s">
        <v>366</v>
      </c>
      <c r="IEA324" s="26" t="s">
        <v>366</v>
      </c>
      <c r="IEB324" s="26" t="s">
        <v>366</v>
      </c>
      <c r="IEC324" s="26" t="s">
        <v>366</v>
      </c>
      <c r="IED324" s="26" t="s">
        <v>366</v>
      </c>
      <c r="IEE324" s="26" t="s">
        <v>366</v>
      </c>
      <c r="IEF324" s="26" t="s">
        <v>366</v>
      </c>
      <c r="IEG324" s="26" t="s">
        <v>366</v>
      </c>
      <c r="IEH324" s="26" t="s">
        <v>366</v>
      </c>
      <c r="IEI324" s="26" t="s">
        <v>366</v>
      </c>
      <c r="IEJ324" s="26" t="s">
        <v>366</v>
      </c>
      <c r="IEK324" s="26" t="s">
        <v>366</v>
      </c>
      <c r="IEL324" s="26" t="s">
        <v>366</v>
      </c>
      <c r="IEM324" s="26" t="s">
        <v>366</v>
      </c>
      <c r="IEN324" s="26" t="s">
        <v>366</v>
      </c>
      <c r="IEO324" s="26" t="s">
        <v>366</v>
      </c>
      <c r="IEP324" s="26" t="s">
        <v>366</v>
      </c>
      <c r="IEQ324" s="26" t="s">
        <v>366</v>
      </c>
      <c r="IER324" s="26" t="s">
        <v>366</v>
      </c>
      <c r="IES324" s="26" t="s">
        <v>366</v>
      </c>
      <c r="IET324" s="26" t="s">
        <v>366</v>
      </c>
      <c r="IEU324" s="26" t="s">
        <v>366</v>
      </c>
      <c r="IEV324" s="26" t="s">
        <v>366</v>
      </c>
      <c r="IEW324" s="26" t="s">
        <v>366</v>
      </c>
      <c r="IEX324" s="26" t="s">
        <v>366</v>
      </c>
      <c r="IEY324" s="26" t="s">
        <v>366</v>
      </c>
      <c r="IEZ324" s="26" t="s">
        <v>366</v>
      </c>
      <c r="IFA324" s="26" t="s">
        <v>366</v>
      </c>
      <c r="IFB324" s="26" t="s">
        <v>366</v>
      </c>
      <c r="IFC324" s="26" t="s">
        <v>366</v>
      </c>
      <c r="IFD324" s="26" t="s">
        <v>366</v>
      </c>
      <c r="IFE324" s="26" t="s">
        <v>366</v>
      </c>
      <c r="IFF324" s="26" t="s">
        <v>366</v>
      </c>
      <c r="IFG324" s="26" t="s">
        <v>366</v>
      </c>
      <c r="IFH324" s="26" t="s">
        <v>366</v>
      </c>
      <c r="IFI324" s="26" t="s">
        <v>366</v>
      </c>
      <c r="IFJ324" s="26" t="s">
        <v>366</v>
      </c>
      <c r="IFK324" s="26" t="s">
        <v>366</v>
      </c>
      <c r="IFL324" s="26" t="s">
        <v>366</v>
      </c>
      <c r="IFM324" s="26" t="s">
        <v>366</v>
      </c>
      <c r="IFN324" s="26" t="s">
        <v>366</v>
      </c>
      <c r="IFO324" s="26" t="s">
        <v>366</v>
      </c>
      <c r="IFP324" s="26" t="s">
        <v>366</v>
      </c>
      <c r="IFQ324" s="26" t="s">
        <v>366</v>
      </c>
      <c r="IFR324" s="26" t="s">
        <v>366</v>
      </c>
      <c r="IFS324" s="26" t="s">
        <v>366</v>
      </c>
      <c r="IFT324" s="26" t="s">
        <v>366</v>
      </c>
      <c r="IFU324" s="26" t="s">
        <v>366</v>
      </c>
      <c r="IFV324" s="26" t="s">
        <v>366</v>
      </c>
      <c r="IFW324" s="26" t="s">
        <v>366</v>
      </c>
      <c r="IFX324" s="26" t="s">
        <v>366</v>
      </c>
      <c r="IFY324" s="26" t="s">
        <v>366</v>
      </c>
      <c r="IFZ324" s="26" t="s">
        <v>366</v>
      </c>
      <c r="IGA324" s="26" t="s">
        <v>366</v>
      </c>
      <c r="IGB324" s="26" t="s">
        <v>366</v>
      </c>
      <c r="IGC324" s="26" t="s">
        <v>366</v>
      </c>
      <c r="IGD324" s="26" t="s">
        <v>366</v>
      </c>
      <c r="IGE324" s="26" t="s">
        <v>366</v>
      </c>
      <c r="IGF324" s="26" t="s">
        <v>366</v>
      </c>
      <c r="IGG324" s="26" t="s">
        <v>366</v>
      </c>
      <c r="IGH324" s="26" t="s">
        <v>366</v>
      </c>
      <c r="IGI324" s="26" t="s">
        <v>366</v>
      </c>
      <c r="IGJ324" s="26" t="s">
        <v>366</v>
      </c>
      <c r="IGK324" s="26" t="s">
        <v>366</v>
      </c>
      <c r="IGL324" s="26" t="s">
        <v>366</v>
      </c>
      <c r="IGM324" s="26" t="s">
        <v>366</v>
      </c>
      <c r="IGN324" s="26" t="s">
        <v>366</v>
      </c>
      <c r="IGO324" s="26" t="s">
        <v>366</v>
      </c>
      <c r="IGP324" s="26" t="s">
        <v>366</v>
      </c>
      <c r="IGQ324" s="26" t="s">
        <v>366</v>
      </c>
      <c r="IGR324" s="26" t="s">
        <v>366</v>
      </c>
      <c r="IGS324" s="26" t="s">
        <v>366</v>
      </c>
      <c r="IGT324" s="26" t="s">
        <v>366</v>
      </c>
      <c r="IGU324" s="26" t="s">
        <v>366</v>
      </c>
      <c r="IGV324" s="26" t="s">
        <v>366</v>
      </c>
      <c r="IGW324" s="26" t="s">
        <v>366</v>
      </c>
      <c r="IGX324" s="26" t="s">
        <v>366</v>
      </c>
      <c r="IGY324" s="26" t="s">
        <v>366</v>
      </c>
      <c r="IGZ324" s="26" t="s">
        <v>366</v>
      </c>
      <c r="IHA324" s="26" t="s">
        <v>366</v>
      </c>
      <c r="IHB324" s="26" t="s">
        <v>366</v>
      </c>
      <c r="IHC324" s="26" t="s">
        <v>366</v>
      </c>
      <c r="IHD324" s="26" t="s">
        <v>366</v>
      </c>
      <c r="IHE324" s="26" t="s">
        <v>366</v>
      </c>
      <c r="IHF324" s="26" t="s">
        <v>366</v>
      </c>
      <c r="IHG324" s="26" t="s">
        <v>366</v>
      </c>
      <c r="IHH324" s="26" t="s">
        <v>366</v>
      </c>
      <c r="IHI324" s="26" t="s">
        <v>366</v>
      </c>
      <c r="IHJ324" s="26" t="s">
        <v>366</v>
      </c>
      <c r="IHK324" s="26" t="s">
        <v>366</v>
      </c>
      <c r="IHL324" s="26" t="s">
        <v>366</v>
      </c>
      <c r="IHM324" s="26" t="s">
        <v>366</v>
      </c>
      <c r="IHN324" s="26" t="s">
        <v>366</v>
      </c>
      <c r="IHO324" s="26" t="s">
        <v>366</v>
      </c>
      <c r="IHP324" s="26" t="s">
        <v>366</v>
      </c>
      <c r="IHQ324" s="26" t="s">
        <v>366</v>
      </c>
      <c r="IHR324" s="26" t="s">
        <v>366</v>
      </c>
      <c r="IHS324" s="26" t="s">
        <v>366</v>
      </c>
      <c r="IHT324" s="26" t="s">
        <v>366</v>
      </c>
      <c r="IHU324" s="26" t="s">
        <v>366</v>
      </c>
      <c r="IHV324" s="26" t="s">
        <v>366</v>
      </c>
      <c r="IHW324" s="26" t="s">
        <v>366</v>
      </c>
      <c r="IHX324" s="26" t="s">
        <v>366</v>
      </c>
      <c r="IHY324" s="26" t="s">
        <v>366</v>
      </c>
      <c r="IHZ324" s="26" t="s">
        <v>366</v>
      </c>
      <c r="IIA324" s="26" t="s">
        <v>366</v>
      </c>
      <c r="IIB324" s="26" t="s">
        <v>366</v>
      </c>
      <c r="IIC324" s="26" t="s">
        <v>366</v>
      </c>
      <c r="IID324" s="26" t="s">
        <v>366</v>
      </c>
      <c r="IIE324" s="26" t="s">
        <v>366</v>
      </c>
      <c r="IIF324" s="26" t="s">
        <v>366</v>
      </c>
      <c r="IIG324" s="26" t="s">
        <v>366</v>
      </c>
      <c r="IIH324" s="26" t="s">
        <v>366</v>
      </c>
      <c r="III324" s="26" t="s">
        <v>366</v>
      </c>
      <c r="IIJ324" s="26" t="s">
        <v>366</v>
      </c>
      <c r="IIK324" s="26" t="s">
        <v>366</v>
      </c>
      <c r="IIL324" s="26" t="s">
        <v>366</v>
      </c>
      <c r="IIM324" s="26" t="s">
        <v>366</v>
      </c>
      <c r="IIN324" s="26" t="s">
        <v>366</v>
      </c>
      <c r="IIO324" s="26" t="s">
        <v>366</v>
      </c>
      <c r="IIP324" s="26" t="s">
        <v>366</v>
      </c>
      <c r="IIQ324" s="26" t="s">
        <v>366</v>
      </c>
      <c r="IIR324" s="26" t="s">
        <v>366</v>
      </c>
      <c r="IIS324" s="26" t="s">
        <v>366</v>
      </c>
      <c r="IIT324" s="26" t="s">
        <v>366</v>
      </c>
      <c r="IIU324" s="26" t="s">
        <v>366</v>
      </c>
      <c r="IIV324" s="26" t="s">
        <v>366</v>
      </c>
      <c r="IIW324" s="26" t="s">
        <v>366</v>
      </c>
      <c r="IIX324" s="26" t="s">
        <v>366</v>
      </c>
      <c r="IIY324" s="26" t="s">
        <v>366</v>
      </c>
      <c r="IIZ324" s="26" t="s">
        <v>366</v>
      </c>
      <c r="IJA324" s="26" t="s">
        <v>366</v>
      </c>
      <c r="IJB324" s="26" t="s">
        <v>366</v>
      </c>
      <c r="IJC324" s="26" t="s">
        <v>366</v>
      </c>
      <c r="IJD324" s="26" t="s">
        <v>366</v>
      </c>
      <c r="IJE324" s="26" t="s">
        <v>366</v>
      </c>
      <c r="IJF324" s="26" t="s">
        <v>366</v>
      </c>
      <c r="IJG324" s="26" t="s">
        <v>366</v>
      </c>
      <c r="IJH324" s="26" t="s">
        <v>366</v>
      </c>
      <c r="IJI324" s="26" t="s">
        <v>366</v>
      </c>
      <c r="IJJ324" s="26" t="s">
        <v>366</v>
      </c>
      <c r="IJK324" s="26" t="s">
        <v>366</v>
      </c>
      <c r="IJL324" s="26" t="s">
        <v>366</v>
      </c>
      <c r="IJM324" s="26" t="s">
        <v>366</v>
      </c>
      <c r="IJN324" s="26" t="s">
        <v>366</v>
      </c>
      <c r="IJO324" s="26" t="s">
        <v>366</v>
      </c>
      <c r="IJP324" s="26" t="s">
        <v>366</v>
      </c>
      <c r="IJQ324" s="26" t="s">
        <v>366</v>
      </c>
      <c r="IJR324" s="26" t="s">
        <v>366</v>
      </c>
      <c r="IJS324" s="26" t="s">
        <v>366</v>
      </c>
      <c r="IJT324" s="26" t="s">
        <v>366</v>
      </c>
      <c r="IJU324" s="26" t="s">
        <v>366</v>
      </c>
      <c r="IJV324" s="26" t="s">
        <v>366</v>
      </c>
      <c r="IJW324" s="26" t="s">
        <v>366</v>
      </c>
      <c r="IJX324" s="26" t="s">
        <v>366</v>
      </c>
      <c r="IJY324" s="26" t="s">
        <v>366</v>
      </c>
      <c r="IJZ324" s="26" t="s">
        <v>366</v>
      </c>
      <c r="IKA324" s="26" t="s">
        <v>366</v>
      </c>
      <c r="IKB324" s="26" t="s">
        <v>366</v>
      </c>
      <c r="IKC324" s="26" t="s">
        <v>366</v>
      </c>
      <c r="IKD324" s="26" t="s">
        <v>366</v>
      </c>
      <c r="IKE324" s="26" t="s">
        <v>366</v>
      </c>
      <c r="IKF324" s="26" t="s">
        <v>366</v>
      </c>
      <c r="IKG324" s="26" t="s">
        <v>366</v>
      </c>
      <c r="IKH324" s="26" t="s">
        <v>366</v>
      </c>
      <c r="IKI324" s="26" t="s">
        <v>366</v>
      </c>
      <c r="IKJ324" s="26" t="s">
        <v>366</v>
      </c>
      <c r="IKK324" s="26" t="s">
        <v>366</v>
      </c>
      <c r="IKL324" s="26" t="s">
        <v>366</v>
      </c>
      <c r="IKM324" s="26" t="s">
        <v>366</v>
      </c>
      <c r="IKN324" s="26" t="s">
        <v>366</v>
      </c>
      <c r="IKO324" s="26" t="s">
        <v>366</v>
      </c>
      <c r="IKP324" s="26" t="s">
        <v>366</v>
      </c>
      <c r="IKQ324" s="26" t="s">
        <v>366</v>
      </c>
      <c r="IKR324" s="26" t="s">
        <v>366</v>
      </c>
      <c r="IKS324" s="26" t="s">
        <v>366</v>
      </c>
      <c r="IKT324" s="26" t="s">
        <v>366</v>
      </c>
      <c r="IKU324" s="26" t="s">
        <v>366</v>
      </c>
      <c r="IKV324" s="26" t="s">
        <v>366</v>
      </c>
      <c r="IKW324" s="26" t="s">
        <v>366</v>
      </c>
      <c r="IKX324" s="26" t="s">
        <v>366</v>
      </c>
      <c r="IKY324" s="26" t="s">
        <v>366</v>
      </c>
      <c r="IKZ324" s="26" t="s">
        <v>366</v>
      </c>
      <c r="ILA324" s="26" t="s">
        <v>366</v>
      </c>
      <c r="ILB324" s="26" t="s">
        <v>366</v>
      </c>
      <c r="ILC324" s="26" t="s">
        <v>366</v>
      </c>
      <c r="ILD324" s="26" t="s">
        <v>366</v>
      </c>
      <c r="ILE324" s="26" t="s">
        <v>366</v>
      </c>
      <c r="ILF324" s="26" t="s">
        <v>366</v>
      </c>
      <c r="ILG324" s="26" t="s">
        <v>366</v>
      </c>
      <c r="ILH324" s="26" t="s">
        <v>366</v>
      </c>
      <c r="ILI324" s="26" t="s">
        <v>366</v>
      </c>
      <c r="ILJ324" s="26" t="s">
        <v>366</v>
      </c>
      <c r="ILK324" s="26" t="s">
        <v>366</v>
      </c>
      <c r="ILL324" s="26" t="s">
        <v>366</v>
      </c>
      <c r="ILM324" s="26" t="s">
        <v>366</v>
      </c>
      <c r="ILN324" s="26" t="s">
        <v>366</v>
      </c>
      <c r="ILO324" s="26" t="s">
        <v>366</v>
      </c>
      <c r="ILP324" s="26" t="s">
        <v>366</v>
      </c>
      <c r="ILQ324" s="26" t="s">
        <v>366</v>
      </c>
      <c r="ILR324" s="26" t="s">
        <v>366</v>
      </c>
      <c r="ILS324" s="26" t="s">
        <v>366</v>
      </c>
      <c r="ILT324" s="26" t="s">
        <v>366</v>
      </c>
      <c r="ILU324" s="26" t="s">
        <v>366</v>
      </c>
      <c r="ILV324" s="26" t="s">
        <v>366</v>
      </c>
      <c r="ILW324" s="26" t="s">
        <v>366</v>
      </c>
      <c r="ILX324" s="26" t="s">
        <v>366</v>
      </c>
      <c r="ILY324" s="26" t="s">
        <v>366</v>
      </c>
      <c r="ILZ324" s="26" t="s">
        <v>366</v>
      </c>
      <c r="IMA324" s="26" t="s">
        <v>366</v>
      </c>
      <c r="IMB324" s="26" t="s">
        <v>366</v>
      </c>
      <c r="IMC324" s="26" t="s">
        <v>366</v>
      </c>
      <c r="IMD324" s="26" t="s">
        <v>366</v>
      </c>
      <c r="IME324" s="26" t="s">
        <v>366</v>
      </c>
      <c r="IMF324" s="26" t="s">
        <v>366</v>
      </c>
      <c r="IMG324" s="26" t="s">
        <v>366</v>
      </c>
      <c r="IMH324" s="26" t="s">
        <v>366</v>
      </c>
      <c r="IMI324" s="26" t="s">
        <v>366</v>
      </c>
      <c r="IMJ324" s="26" t="s">
        <v>366</v>
      </c>
      <c r="IMK324" s="26" t="s">
        <v>366</v>
      </c>
      <c r="IML324" s="26" t="s">
        <v>366</v>
      </c>
      <c r="IMM324" s="26" t="s">
        <v>366</v>
      </c>
      <c r="IMN324" s="26" t="s">
        <v>366</v>
      </c>
      <c r="IMO324" s="26" t="s">
        <v>366</v>
      </c>
      <c r="IMP324" s="26" t="s">
        <v>366</v>
      </c>
      <c r="IMQ324" s="26" t="s">
        <v>366</v>
      </c>
      <c r="IMR324" s="26" t="s">
        <v>366</v>
      </c>
      <c r="IMS324" s="26" t="s">
        <v>366</v>
      </c>
      <c r="IMT324" s="26" t="s">
        <v>366</v>
      </c>
      <c r="IMU324" s="26" t="s">
        <v>366</v>
      </c>
      <c r="IMV324" s="26" t="s">
        <v>366</v>
      </c>
      <c r="IMW324" s="26" t="s">
        <v>366</v>
      </c>
      <c r="IMX324" s="26" t="s">
        <v>366</v>
      </c>
      <c r="IMY324" s="26" t="s">
        <v>366</v>
      </c>
      <c r="IMZ324" s="26" t="s">
        <v>366</v>
      </c>
      <c r="INA324" s="26" t="s">
        <v>366</v>
      </c>
      <c r="INB324" s="26" t="s">
        <v>366</v>
      </c>
      <c r="INC324" s="26" t="s">
        <v>366</v>
      </c>
      <c r="IND324" s="26" t="s">
        <v>366</v>
      </c>
      <c r="INE324" s="26" t="s">
        <v>366</v>
      </c>
      <c r="INF324" s="26" t="s">
        <v>366</v>
      </c>
      <c r="ING324" s="26" t="s">
        <v>366</v>
      </c>
      <c r="INH324" s="26" t="s">
        <v>366</v>
      </c>
      <c r="INI324" s="26" t="s">
        <v>366</v>
      </c>
      <c r="INJ324" s="26" t="s">
        <v>366</v>
      </c>
      <c r="INK324" s="26" t="s">
        <v>366</v>
      </c>
      <c r="INL324" s="26" t="s">
        <v>366</v>
      </c>
      <c r="INM324" s="26" t="s">
        <v>366</v>
      </c>
      <c r="INN324" s="26" t="s">
        <v>366</v>
      </c>
      <c r="INO324" s="26" t="s">
        <v>366</v>
      </c>
      <c r="INP324" s="26" t="s">
        <v>366</v>
      </c>
      <c r="INQ324" s="26" t="s">
        <v>366</v>
      </c>
      <c r="INR324" s="26" t="s">
        <v>366</v>
      </c>
      <c r="INS324" s="26" t="s">
        <v>366</v>
      </c>
      <c r="INT324" s="26" t="s">
        <v>366</v>
      </c>
      <c r="INU324" s="26" t="s">
        <v>366</v>
      </c>
      <c r="INV324" s="26" t="s">
        <v>366</v>
      </c>
      <c r="INW324" s="26" t="s">
        <v>366</v>
      </c>
      <c r="INX324" s="26" t="s">
        <v>366</v>
      </c>
      <c r="INY324" s="26" t="s">
        <v>366</v>
      </c>
      <c r="INZ324" s="26" t="s">
        <v>366</v>
      </c>
      <c r="IOA324" s="26" t="s">
        <v>366</v>
      </c>
      <c r="IOB324" s="26" t="s">
        <v>366</v>
      </c>
      <c r="IOC324" s="26" t="s">
        <v>366</v>
      </c>
      <c r="IOD324" s="26" t="s">
        <v>366</v>
      </c>
      <c r="IOE324" s="26" t="s">
        <v>366</v>
      </c>
      <c r="IOF324" s="26" t="s">
        <v>366</v>
      </c>
      <c r="IOG324" s="26" t="s">
        <v>366</v>
      </c>
      <c r="IOH324" s="26" t="s">
        <v>366</v>
      </c>
      <c r="IOI324" s="26" t="s">
        <v>366</v>
      </c>
      <c r="IOJ324" s="26" t="s">
        <v>366</v>
      </c>
      <c r="IOK324" s="26" t="s">
        <v>366</v>
      </c>
      <c r="IOL324" s="26" t="s">
        <v>366</v>
      </c>
      <c r="IOM324" s="26" t="s">
        <v>366</v>
      </c>
      <c r="ION324" s="26" t="s">
        <v>366</v>
      </c>
      <c r="IOO324" s="26" t="s">
        <v>366</v>
      </c>
      <c r="IOP324" s="26" t="s">
        <v>366</v>
      </c>
      <c r="IOQ324" s="26" t="s">
        <v>366</v>
      </c>
      <c r="IOR324" s="26" t="s">
        <v>366</v>
      </c>
      <c r="IOS324" s="26" t="s">
        <v>366</v>
      </c>
      <c r="IOT324" s="26" t="s">
        <v>366</v>
      </c>
      <c r="IOU324" s="26" t="s">
        <v>366</v>
      </c>
      <c r="IOV324" s="26" t="s">
        <v>366</v>
      </c>
      <c r="IOW324" s="26" t="s">
        <v>366</v>
      </c>
      <c r="IOX324" s="26" t="s">
        <v>366</v>
      </c>
      <c r="IOY324" s="26" t="s">
        <v>366</v>
      </c>
      <c r="IOZ324" s="26" t="s">
        <v>366</v>
      </c>
      <c r="IPA324" s="26" t="s">
        <v>366</v>
      </c>
      <c r="IPB324" s="26" t="s">
        <v>366</v>
      </c>
      <c r="IPC324" s="26" t="s">
        <v>366</v>
      </c>
      <c r="IPD324" s="26" t="s">
        <v>366</v>
      </c>
      <c r="IPE324" s="26" t="s">
        <v>366</v>
      </c>
      <c r="IPF324" s="26" t="s">
        <v>366</v>
      </c>
      <c r="IPG324" s="26" t="s">
        <v>366</v>
      </c>
      <c r="IPH324" s="26" t="s">
        <v>366</v>
      </c>
      <c r="IPI324" s="26" t="s">
        <v>366</v>
      </c>
      <c r="IPJ324" s="26" t="s">
        <v>366</v>
      </c>
      <c r="IPK324" s="26" t="s">
        <v>366</v>
      </c>
      <c r="IPL324" s="26" t="s">
        <v>366</v>
      </c>
      <c r="IPM324" s="26" t="s">
        <v>366</v>
      </c>
      <c r="IPN324" s="26" t="s">
        <v>366</v>
      </c>
      <c r="IPO324" s="26" t="s">
        <v>366</v>
      </c>
      <c r="IPP324" s="26" t="s">
        <v>366</v>
      </c>
      <c r="IPQ324" s="26" t="s">
        <v>366</v>
      </c>
      <c r="IPR324" s="26" t="s">
        <v>366</v>
      </c>
      <c r="IPS324" s="26" t="s">
        <v>366</v>
      </c>
      <c r="IPT324" s="26" t="s">
        <v>366</v>
      </c>
      <c r="IPU324" s="26" t="s">
        <v>366</v>
      </c>
      <c r="IPV324" s="26" t="s">
        <v>366</v>
      </c>
      <c r="IPW324" s="26" t="s">
        <v>366</v>
      </c>
      <c r="IPX324" s="26" t="s">
        <v>366</v>
      </c>
      <c r="IPY324" s="26" t="s">
        <v>366</v>
      </c>
      <c r="IPZ324" s="26" t="s">
        <v>366</v>
      </c>
      <c r="IQA324" s="26" t="s">
        <v>366</v>
      </c>
      <c r="IQB324" s="26" t="s">
        <v>366</v>
      </c>
      <c r="IQC324" s="26" t="s">
        <v>366</v>
      </c>
      <c r="IQD324" s="26" t="s">
        <v>366</v>
      </c>
      <c r="IQE324" s="26" t="s">
        <v>366</v>
      </c>
      <c r="IQF324" s="26" t="s">
        <v>366</v>
      </c>
      <c r="IQG324" s="26" t="s">
        <v>366</v>
      </c>
      <c r="IQH324" s="26" t="s">
        <v>366</v>
      </c>
      <c r="IQI324" s="26" t="s">
        <v>366</v>
      </c>
      <c r="IQJ324" s="26" t="s">
        <v>366</v>
      </c>
      <c r="IQK324" s="26" t="s">
        <v>366</v>
      </c>
      <c r="IQL324" s="26" t="s">
        <v>366</v>
      </c>
      <c r="IQM324" s="26" t="s">
        <v>366</v>
      </c>
      <c r="IQN324" s="26" t="s">
        <v>366</v>
      </c>
      <c r="IQO324" s="26" t="s">
        <v>366</v>
      </c>
      <c r="IQP324" s="26" t="s">
        <v>366</v>
      </c>
      <c r="IQQ324" s="26" t="s">
        <v>366</v>
      </c>
      <c r="IQR324" s="26" t="s">
        <v>366</v>
      </c>
      <c r="IQS324" s="26" t="s">
        <v>366</v>
      </c>
      <c r="IQT324" s="26" t="s">
        <v>366</v>
      </c>
      <c r="IQU324" s="26" t="s">
        <v>366</v>
      </c>
      <c r="IQV324" s="26" t="s">
        <v>366</v>
      </c>
      <c r="IQW324" s="26" t="s">
        <v>366</v>
      </c>
      <c r="IQX324" s="26" t="s">
        <v>366</v>
      </c>
      <c r="IQY324" s="26" t="s">
        <v>366</v>
      </c>
      <c r="IQZ324" s="26" t="s">
        <v>366</v>
      </c>
      <c r="IRA324" s="26" t="s">
        <v>366</v>
      </c>
      <c r="IRB324" s="26" t="s">
        <v>366</v>
      </c>
      <c r="IRC324" s="26" t="s">
        <v>366</v>
      </c>
      <c r="IRD324" s="26" t="s">
        <v>366</v>
      </c>
      <c r="IRE324" s="26" t="s">
        <v>366</v>
      </c>
      <c r="IRF324" s="26" t="s">
        <v>366</v>
      </c>
      <c r="IRG324" s="26" t="s">
        <v>366</v>
      </c>
      <c r="IRH324" s="26" t="s">
        <v>366</v>
      </c>
      <c r="IRI324" s="26" t="s">
        <v>366</v>
      </c>
      <c r="IRJ324" s="26" t="s">
        <v>366</v>
      </c>
      <c r="IRK324" s="26" t="s">
        <v>366</v>
      </c>
      <c r="IRL324" s="26" t="s">
        <v>366</v>
      </c>
      <c r="IRM324" s="26" t="s">
        <v>366</v>
      </c>
      <c r="IRN324" s="26" t="s">
        <v>366</v>
      </c>
      <c r="IRO324" s="26" t="s">
        <v>366</v>
      </c>
      <c r="IRP324" s="26" t="s">
        <v>366</v>
      </c>
      <c r="IRQ324" s="26" t="s">
        <v>366</v>
      </c>
      <c r="IRR324" s="26" t="s">
        <v>366</v>
      </c>
      <c r="IRS324" s="26" t="s">
        <v>366</v>
      </c>
      <c r="IRT324" s="26" t="s">
        <v>366</v>
      </c>
      <c r="IRU324" s="26" t="s">
        <v>366</v>
      </c>
      <c r="IRV324" s="26" t="s">
        <v>366</v>
      </c>
      <c r="IRW324" s="26" t="s">
        <v>366</v>
      </c>
      <c r="IRX324" s="26" t="s">
        <v>366</v>
      </c>
      <c r="IRY324" s="26" t="s">
        <v>366</v>
      </c>
      <c r="IRZ324" s="26" t="s">
        <v>366</v>
      </c>
      <c r="ISA324" s="26" t="s">
        <v>366</v>
      </c>
      <c r="ISB324" s="26" t="s">
        <v>366</v>
      </c>
      <c r="ISC324" s="26" t="s">
        <v>366</v>
      </c>
      <c r="ISD324" s="26" t="s">
        <v>366</v>
      </c>
      <c r="ISE324" s="26" t="s">
        <v>366</v>
      </c>
      <c r="ISF324" s="26" t="s">
        <v>366</v>
      </c>
      <c r="ISG324" s="26" t="s">
        <v>366</v>
      </c>
      <c r="ISH324" s="26" t="s">
        <v>366</v>
      </c>
      <c r="ISI324" s="26" t="s">
        <v>366</v>
      </c>
      <c r="ISJ324" s="26" t="s">
        <v>366</v>
      </c>
      <c r="ISK324" s="26" t="s">
        <v>366</v>
      </c>
      <c r="ISL324" s="26" t="s">
        <v>366</v>
      </c>
      <c r="ISM324" s="26" t="s">
        <v>366</v>
      </c>
      <c r="ISN324" s="26" t="s">
        <v>366</v>
      </c>
      <c r="ISO324" s="26" t="s">
        <v>366</v>
      </c>
      <c r="ISP324" s="26" t="s">
        <v>366</v>
      </c>
      <c r="ISQ324" s="26" t="s">
        <v>366</v>
      </c>
      <c r="ISR324" s="26" t="s">
        <v>366</v>
      </c>
      <c r="ISS324" s="26" t="s">
        <v>366</v>
      </c>
      <c r="IST324" s="26" t="s">
        <v>366</v>
      </c>
      <c r="ISU324" s="26" t="s">
        <v>366</v>
      </c>
      <c r="ISV324" s="26" t="s">
        <v>366</v>
      </c>
      <c r="ISW324" s="26" t="s">
        <v>366</v>
      </c>
      <c r="ISX324" s="26" t="s">
        <v>366</v>
      </c>
      <c r="ISY324" s="26" t="s">
        <v>366</v>
      </c>
      <c r="ISZ324" s="26" t="s">
        <v>366</v>
      </c>
      <c r="ITA324" s="26" t="s">
        <v>366</v>
      </c>
      <c r="ITB324" s="26" t="s">
        <v>366</v>
      </c>
      <c r="ITC324" s="26" t="s">
        <v>366</v>
      </c>
      <c r="ITD324" s="26" t="s">
        <v>366</v>
      </c>
      <c r="ITE324" s="26" t="s">
        <v>366</v>
      </c>
      <c r="ITF324" s="26" t="s">
        <v>366</v>
      </c>
      <c r="ITG324" s="26" t="s">
        <v>366</v>
      </c>
      <c r="ITH324" s="26" t="s">
        <v>366</v>
      </c>
      <c r="ITI324" s="26" t="s">
        <v>366</v>
      </c>
      <c r="ITJ324" s="26" t="s">
        <v>366</v>
      </c>
      <c r="ITK324" s="26" t="s">
        <v>366</v>
      </c>
      <c r="ITL324" s="26" t="s">
        <v>366</v>
      </c>
      <c r="ITM324" s="26" t="s">
        <v>366</v>
      </c>
      <c r="ITN324" s="26" t="s">
        <v>366</v>
      </c>
      <c r="ITO324" s="26" t="s">
        <v>366</v>
      </c>
      <c r="ITP324" s="26" t="s">
        <v>366</v>
      </c>
      <c r="ITQ324" s="26" t="s">
        <v>366</v>
      </c>
      <c r="ITR324" s="26" t="s">
        <v>366</v>
      </c>
      <c r="ITS324" s="26" t="s">
        <v>366</v>
      </c>
      <c r="ITT324" s="26" t="s">
        <v>366</v>
      </c>
      <c r="ITU324" s="26" t="s">
        <v>366</v>
      </c>
      <c r="ITV324" s="26" t="s">
        <v>366</v>
      </c>
      <c r="ITW324" s="26" t="s">
        <v>366</v>
      </c>
      <c r="ITX324" s="26" t="s">
        <v>366</v>
      </c>
      <c r="ITY324" s="26" t="s">
        <v>366</v>
      </c>
      <c r="ITZ324" s="26" t="s">
        <v>366</v>
      </c>
      <c r="IUA324" s="26" t="s">
        <v>366</v>
      </c>
      <c r="IUB324" s="26" t="s">
        <v>366</v>
      </c>
      <c r="IUC324" s="26" t="s">
        <v>366</v>
      </c>
      <c r="IUD324" s="26" t="s">
        <v>366</v>
      </c>
      <c r="IUE324" s="26" t="s">
        <v>366</v>
      </c>
      <c r="IUF324" s="26" t="s">
        <v>366</v>
      </c>
      <c r="IUG324" s="26" t="s">
        <v>366</v>
      </c>
      <c r="IUH324" s="26" t="s">
        <v>366</v>
      </c>
      <c r="IUI324" s="26" t="s">
        <v>366</v>
      </c>
      <c r="IUJ324" s="26" t="s">
        <v>366</v>
      </c>
      <c r="IUK324" s="26" t="s">
        <v>366</v>
      </c>
      <c r="IUL324" s="26" t="s">
        <v>366</v>
      </c>
      <c r="IUM324" s="26" t="s">
        <v>366</v>
      </c>
      <c r="IUN324" s="26" t="s">
        <v>366</v>
      </c>
      <c r="IUO324" s="26" t="s">
        <v>366</v>
      </c>
      <c r="IUP324" s="26" t="s">
        <v>366</v>
      </c>
      <c r="IUQ324" s="26" t="s">
        <v>366</v>
      </c>
      <c r="IUR324" s="26" t="s">
        <v>366</v>
      </c>
      <c r="IUS324" s="26" t="s">
        <v>366</v>
      </c>
      <c r="IUT324" s="26" t="s">
        <v>366</v>
      </c>
      <c r="IUU324" s="26" t="s">
        <v>366</v>
      </c>
      <c r="IUV324" s="26" t="s">
        <v>366</v>
      </c>
      <c r="IUW324" s="26" t="s">
        <v>366</v>
      </c>
      <c r="IUX324" s="26" t="s">
        <v>366</v>
      </c>
      <c r="IUY324" s="26" t="s">
        <v>366</v>
      </c>
      <c r="IUZ324" s="26" t="s">
        <v>366</v>
      </c>
      <c r="IVA324" s="26" t="s">
        <v>366</v>
      </c>
      <c r="IVB324" s="26" t="s">
        <v>366</v>
      </c>
      <c r="IVC324" s="26" t="s">
        <v>366</v>
      </c>
      <c r="IVD324" s="26" t="s">
        <v>366</v>
      </c>
      <c r="IVE324" s="26" t="s">
        <v>366</v>
      </c>
      <c r="IVF324" s="26" t="s">
        <v>366</v>
      </c>
      <c r="IVG324" s="26" t="s">
        <v>366</v>
      </c>
      <c r="IVH324" s="26" t="s">
        <v>366</v>
      </c>
      <c r="IVI324" s="26" t="s">
        <v>366</v>
      </c>
      <c r="IVJ324" s="26" t="s">
        <v>366</v>
      </c>
      <c r="IVK324" s="26" t="s">
        <v>366</v>
      </c>
      <c r="IVL324" s="26" t="s">
        <v>366</v>
      </c>
      <c r="IVM324" s="26" t="s">
        <v>366</v>
      </c>
      <c r="IVN324" s="26" t="s">
        <v>366</v>
      </c>
      <c r="IVO324" s="26" t="s">
        <v>366</v>
      </c>
      <c r="IVP324" s="26" t="s">
        <v>366</v>
      </c>
      <c r="IVQ324" s="26" t="s">
        <v>366</v>
      </c>
      <c r="IVR324" s="26" t="s">
        <v>366</v>
      </c>
      <c r="IVS324" s="26" t="s">
        <v>366</v>
      </c>
      <c r="IVT324" s="26" t="s">
        <v>366</v>
      </c>
      <c r="IVU324" s="26" t="s">
        <v>366</v>
      </c>
      <c r="IVV324" s="26" t="s">
        <v>366</v>
      </c>
      <c r="IVW324" s="26" t="s">
        <v>366</v>
      </c>
      <c r="IVX324" s="26" t="s">
        <v>366</v>
      </c>
      <c r="IVY324" s="26" t="s">
        <v>366</v>
      </c>
      <c r="IVZ324" s="26" t="s">
        <v>366</v>
      </c>
      <c r="IWA324" s="26" t="s">
        <v>366</v>
      </c>
      <c r="IWB324" s="26" t="s">
        <v>366</v>
      </c>
      <c r="IWC324" s="26" t="s">
        <v>366</v>
      </c>
      <c r="IWD324" s="26" t="s">
        <v>366</v>
      </c>
      <c r="IWE324" s="26" t="s">
        <v>366</v>
      </c>
      <c r="IWF324" s="26" t="s">
        <v>366</v>
      </c>
      <c r="IWG324" s="26" t="s">
        <v>366</v>
      </c>
      <c r="IWH324" s="26" t="s">
        <v>366</v>
      </c>
      <c r="IWI324" s="26" t="s">
        <v>366</v>
      </c>
      <c r="IWJ324" s="26" t="s">
        <v>366</v>
      </c>
      <c r="IWK324" s="26" t="s">
        <v>366</v>
      </c>
      <c r="IWL324" s="26" t="s">
        <v>366</v>
      </c>
      <c r="IWM324" s="26" t="s">
        <v>366</v>
      </c>
      <c r="IWN324" s="26" t="s">
        <v>366</v>
      </c>
      <c r="IWO324" s="26" t="s">
        <v>366</v>
      </c>
      <c r="IWP324" s="26" t="s">
        <v>366</v>
      </c>
      <c r="IWQ324" s="26" t="s">
        <v>366</v>
      </c>
      <c r="IWR324" s="26" t="s">
        <v>366</v>
      </c>
      <c r="IWS324" s="26" t="s">
        <v>366</v>
      </c>
      <c r="IWT324" s="26" t="s">
        <v>366</v>
      </c>
      <c r="IWU324" s="26" t="s">
        <v>366</v>
      </c>
      <c r="IWV324" s="26" t="s">
        <v>366</v>
      </c>
      <c r="IWW324" s="26" t="s">
        <v>366</v>
      </c>
      <c r="IWX324" s="26" t="s">
        <v>366</v>
      </c>
      <c r="IWY324" s="26" t="s">
        <v>366</v>
      </c>
      <c r="IWZ324" s="26" t="s">
        <v>366</v>
      </c>
      <c r="IXA324" s="26" t="s">
        <v>366</v>
      </c>
      <c r="IXB324" s="26" t="s">
        <v>366</v>
      </c>
      <c r="IXC324" s="26" t="s">
        <v>366</v>
      </c>
      <c r="IXD324" s="26" t="s">
        <v>366</v>
      </c>
      <c r="IXE324" s="26" t="s">
        <v>366</v>
      </c>
      <c r="IXF324" s="26" t="s">
        <v>366</v>
      </c>
      <c r="IXG324" s="26" t="s">
        <v>366</v>
      </c>
      <c r="IXH324" s="26" t="s">
        <v>366</v>
      </c>
      <c r="IXI324" s="26" t="s">
        <v>366</v>
      </c>
      <c r="IXJ324" s="26" t="s">
        <v>366</v>
      </c>
      <c r="IXK324" s="26" t="s">
        <v>366</v>
      </c>
      <c r="IXL324" s="26" t="s">
        <v>366</v>
      </c>
      <c r="IXM324" s="26" t="s">
        <v>366</v>
      </c>
      <c r="IXN324" s="26" t="s">
        <v>366</v>
      </c>
      <c r="IXO324" s="26" t="s">
        <v>366</v>
      </c>
      <c r="IXP324" s="26" t="s">
        <v>366</v>
      </c>
      <c r="IXQ324" s="26" t="s">
        <v>366</v>
      </c>
      <c r="IXR324" s="26" t="s">
        <v>366</v>
      </c>
      <c r="IXS324" s="26" t="s">
        <v>366</v>
      </c>
      <c r="IXT324" s="26" t="s">
        <v>366</v>
      </c>
      <c r="IXU324" s="26" t="s">
        <v>366</v>
      </c>
      <c r="IXV324" s="26" t="s">
        <v>366</v>
      </c>
      <c r="IXW324" s="26" t="s">
        <v>366</v>
      </c>
      <c r="IXX324" s="26" t="s">
        <v>366</v>
      </c>
      <c r="IXY324" s="26" t="s">
        <v>366</v>
      </c>
      <c r="IXZ324" s="26" t="s">
        <v>366</v>
      </c>
      <c r="IYA324" s="26" t="s">
        <v>366</v>
      </c>
      <c r="IYB324" s="26" t="s">
        <v>366</v>
      </c>
      <c r="IYC324" s="26" t="s">
        <v>366</v>
      </c>
      <c r="IYD324" s="26" t="s">
        <v>366</v>
      </c>
      <c r="IYE324" s="26" t="s">
        <v>366</v>
      </c>
      <c r="IYF324" s="26" t="s">
        <v>366</v>
      </c>
      <c r="IYG324" s="26" t="s">
        <v>366</v>
      </c>
      <c r="IYH324" s="26" t="s">
        <v>366</v>
      </c>
      <c r="IYI324" s="26" t="s">
        <v>366</v>
      </c>
      <c r="IYJ324" s="26" t="s">
        <v>366</v>
      </c>
      <c r="IYK324" s="26" t="s">
        <v>366</v>
      </c>
      <c r="IYL324" s="26" t="s">
        <v>366</v>
      </c>
      <c r="IYM324" s="26" t="s">
        <v>366</v>
      </c>
      <c r="IYN324" s="26" t="s">
        <v>366</v>
      </c>
      <c r="IYO324" s="26" t="s">
        <v>366</v>
      </c>
      <c r="IYP324" s="26" t="s">
        <v>366</v>
      </c>
      <c r="IYQ324" s="26" t="s">
        <v>366</v>
      </c>
      <c r="IYR324" s="26" t="s">
        <v>366</v>
      </c>
      <c r="IYS324" s="26" t="s">
        <v>366</v>
      </c>
      <c r="IYT324" s="26" t="s">
        <v>366</v>
      </c>
      <c r="IYU324" s="26" t="s">
        <v>366</v>
      </c>
      <c r="IYV324" s="26" t="s">
        <v>366</v>
      </c>
      <c r="IYW324" s="26" t="s">
        <v>366</v>
      </c>
      <c r="IYX324" s="26" t="s">
        <v>366</v>
      </c>
      <c r="IYY324" s="26" t="s">
        <v>366</v>
      </c>
      <c r="IYZ324" s="26" t="s">
        <v>366</v>
      </c>
      <c r="IZA324" s="26" t="s">
        <v>366</v>
      </c>
      <c r="IZB324" s="26" t="s">
        <v>366</v>
      </c>
      <c r="IZC324" s="26" t="s">
        <v>366</v>
      </c>
      <c r="IZD324" s="26" t="s">
        <v>366</v>
      </c>
      <c r="IZE324" s="26" t="s">
        <v>366</v>
      </c>
      <c r="IZF324" s="26" t="s">
        <v>366</v>
      </c>
      <c r="IZG324" s="26" t="s">
        <v>366</v>
      </c>
      <c r="IZH324" s="26" t="s">
        <v>366</v>
      </c>
      <c r="IZI324" s="26" t="s">
        <v>366</v>
      </c>
      <c r="IZJ324" s="26" t="s">
        <v>366</v>
      </c>
      <c r="IZK324" s="26" t="s">
        <v>366</v>
      </c>
      <c r="IZL324" s="26" t="s">
        <v>366</v>
      </c>
      <c r="IZM324" s="26" t="s">
        <v>366</v>
      </c>
      <c r="IZN324" s="26" t="s">
        <v>366</v>
      </c>
      <c r="IZO324" s="26" t="s">
        <v>366</v>
      </c>
      <c r="IZP324" s="26" t="s">
        <v>366</v>
      </c>
      <c r="IZQ324" s="26" t="s">
        <v>366</v>
      </c>
      <c r="IZR324" s="26" t="s">
        <v>366</v>
      </c>
      <c r="IZS324" s="26" t="s">
        <v>366</v>
      </c>
      <c r="IZT324" s="26" t="s">
        <v>366</v>
      </c>
      <c r="IZU324" s="26" t="s">
        <v>366</v>
      </c>
      <c r="IZV324" s="26" t="s">
        <v>366</v>
      </c>
      <c r="IZW324" s="26" t="s">
        <v>366</v>
      </c>
      <c r="IZX324" s="26" t="s">
        <v>366</v>
      </c>
      <c r="IZY324" s="26" t="s">
        <v>366</v>
      </c>
      <c r="IZZ324" s="26" t="s">
        <v>366</v>
      </c>
      <c r="JAA324" s="26" t="s">
        <v>366</v>
      </c>
      <c r="JAB324" s="26" t="s">
        <v>366</v>
      </c>
      <c r="JAC324" s="26" t="s">
        <v>366</v>
      </c>
      <c r="JAD324" s="26" t="s">
        <v>366</v>
      </c>
      <c r="JAE324" s="26" t="s">
        <v>366</v>
      </c>
      <c r="JAF324" s="26" t="s">
        <v>366</v>
      </c>
      <c r="JAG324" s="26" t="s">
        <v>366</v>
      </c>
      <c r="JAH324" s="26" t="s">
        <v>366</v>
      </c>
      <c r="JAI324" s="26" t="s">
        <v>366</v>
      </c>
      <c r="JAJ324" s="26" t="s">
        <v>366</v>
      </c>
      <c r="JAK324" s="26" t="s">
        <v>366</v>
      </c>
      <c r="JAL324" s="26" t="s">
        <v>366</v>
      </c>
      <c r="JAM324" s="26" t="s">
        <v>366</v>
      </c>
      <c r="JAN324" s="26" t="s">
        <v>366</v>
      </c>
      <c r="JAO324" s="26" t="s">
        <v>366</v>
      </c>
      <c r="JAP324" s="26" t="s">
        <v>366</v>
      </c>
      <c r="JAQ324" s="26" t="s">
        <v>366</v>
      </c>
      <c r="JAR324" s="26" t="s">
        <v>366</v>
      </c>
      <c r="JAS324" s="26" t="s">
        <v>366</v>
      </c>
      <c r="JAT324" s="26" t="s">
        <v>366</v>
      </c>
      <c r="JAU324" s="26" t="s">
        <v>366</v>
      </c>
      <c r="JAV324" s="26" t="s">
        <v>366</v>
      </c>
      <c r="JAW324" s="26" t="s">
        <v>366</v>
      </c>
      <c r="JAX324" s="26" t="s">
        <v>366</v>
      </c>
      <c r="JAY324" s="26" t="s">
        <v>366</v>
      </c>
      <c r="JAZ324" s="26" t="s">
        <v>366</v>
      </c>
      <c r="JBA324" s="26" t="s">
        <v>366</v>
      </c>
      <c r="JBB324" s="26" t="s">
        <v>366</v>
      </c>
      <c r="JBC324" s="26" t="s">
        <v>366</v>
      </c>
      <c r="JBD324" s="26" t="s">
        <v>366</v>
      </c>
      <c r="JBE324" s="26" t="s">
        <v>366</v>
      </c>
      <c r="JBF324" s="26" t="s">
        <v>366</v>
      </c>
      <c r="JBG324" s="26" t="s">
        <v>366</v>
      </c>
      <c r="JBH324" s="26" t="s">
        <v>366</v>
      </c>
      <c r="JBI324" s="26" t="s">
        <v>366</v>
      </c>
      <c r="JBJ324" s="26" t="s">
        <v>366</v>
      </c>
      <c r="JBK324" s="26" t="s">
        <v>366</v>
      </c>
      <c r="JBL324" s="26" t="s">
        <v>366</v>
      </c>
      <c r="JBM324" s="26" t="s">
        <v>366</v>
      </c>
      <c r="JBN324" s="26" t="s">
        <v>366</v>
      </c>
      <c r="JBO324" s="26" t="s">
        <v>366</v>
      </c>
      <c r="JBP324" s="26" t="s">
        <v>366</v>
      </c>
      <c r="JBQ324" s="26" t="s">
        <v>366</v>
      </c>
      <c r="JBR324" s="26" t="s">
        <v>366</v>
      </c>
      <c r="JBS324" s="26" t="s">
        <v>366</v>
      </c>
      <c r="JBT324" s="26" t="s">
        <v>366</v>
      </c>
      <c r="JBU324" s="26" t="s">
        <v>366</v>
      </c>
      <c r="JBV324" s="26" t="s">
        <v>366</v>
      </c>
      <c r="JBW324" s="26" t="s">
        <v>366</v>
      </c>
      <c r="JBX324" s="26" t="s">
        <v>366</v>
      </c>
      <c r="JBY324" s="26" t="s">
        <v>366</v>
      </c>
      <c r="JBZ324" s="26" t="s">
        <v>366</v>
      </c>
      <c r="JCA324" s="26" t="s">
        <v>366</v>
      </c>
      <c r="JCB324" s="26" t="s">
        <v>366</v>
      </c>
      <c r="JCC324" s="26" t="s">
        <v>366</v>
      </c>
      <c r="JCD324" s="26" t="s">
        <v>366</v>
      </c>
      <c r="JCE324" s="26" t="s">
        <v>366</v>
      </c>
      <c r="JCF324" s="26" t="s">
        <v>366</v>
      </c>
      <c r="JCG324" s="26" t="s">
        <v>366</v>
      </c>
      <c r="JCH324" s="26" t="s">
        <v>366</v>
      </c>
      <c r="JCI324" s="26" t="s">
        <v>366</v>
      </c>
      <c r="JCJ324" s="26" t="s">
        <v>366</v>
      </c>
      <c r="JCK324" s="26" t="s">
        <v>366</v>
      </c>
      <c r="JCL324" s="26" t="s">
        <v>366</v>
      </c>
      <c r="JCM324" s="26" t="s">
        <v>366</v>
      </c>
      <c r="JCN324" s="26" t="s">
        <v>366</v>
      </c>
      <c r="JCO324" s="26" t="s">
        <v>366</v>
      </c>
      <c r="JCP324" s="26" t="s">
        <v>366</v>
      </c>
      <c r="JCQ324" s="26" t="s">
        <v>366</v>
      </c>
      <c r="JCR324" s="26" t="s">
        <v>366</v>
      </c>
      <c r="JCS324" s="26" t="s">
        <v>366</v>
      </c>
      <c r="JCT324" s="26" t="s">
        <v>366</v>
      </c>
      <c r="JCU324" s="26" t="s">
        <v>366</v>
      </c>
      <c r="JCV324" s="26" t="s">
        <v>366</v>
      </c>
      <c r="JCW324" s="26" t="s">
        <v>366</v>
      </c>
      <c r="JCX324" s="26" t="s">
        <v>366</v>
      </c>
      <c r="JCY324" s="26" t="s">
        <v>366</v>
      </c>
      <c r="JCZ324" s="26" t="s">
        <v>366</v>
      </c>
      <c r="JDA324" s="26" t="s">
        <v>366</v>
      </c>
      <c r="JDB324" s="26" t="s">
        <v>366</v>
      </c>
      <c r="JDC324" s="26" t="s">
        <v>366</v>
      </c>
      <c r="JDD324" s="26" t="s">
        <v>366</v>
      </c>
      <c r="JDE324" s="26" t="s">
        <v>366</v>
      </c>
      <c r="JDF324" s="26" t="s">
        <v>366</v>
      </c>
      <c r="JDG324" s="26" t="s">
        <v>366</v>
      </c>
      <c r="JDH324" s="26" t="s">
        <v>366</v>
      </c>
      <c r="JDI324" s="26" t="s">
        <v>366</v>
      </c>
      <c r="JDJ324" s="26" t="s">
        <v>366</v>
      </c>
      <c r="JDK324" s="26" t="s">
        <v>366</v>
      </c>
      <c r="JDL324" s="26" t="s">
        <v>366</v>
      </c>
      <c r="JDM324" s="26" t="s">
        <v>366</v>
      </c>
      <c r="JDN324" s="26" t="s">
        <v>366</v>
      </c>
      <c r="JDO324" s="26" t="s">
        <v>366</v>
      </c>
      <c r="JDP324" s="26" t="s">
        <v>366</v>
      </c>
      <c r="JDQ324" s="26" t="s">
        <v>366</v>
      </c>
      <c r="JDR324" s="26" t="s">
        <v>366</v>
      </c>
      <c r="JDS324" s="26" t="s">
        <v>366</v>
      </c>
      <c r="JDT324" s="26" t="s">
        <v>366</v>
      </c>
      <c r="JDU324" s="26" t="s">
        <v>366</v>
      </c>
      <c r="JDV324" s="26" t="s">
        <v>366</v>
      </c>
      <c r="JDW324" s="26" t="s">
        <v>366</v>
      </c>
      <c r="JDX324" s="26" t="s">
        <v>366</v>
      </c>
      <c r="JDY324" s="26" t="s">
        <v>366</v>
      </c>
      <c r="JDZ324" s="26" t="s">
        <v>366</v>
      </c>
      <c r="JEA324" s="26" t="s">
        <v>366</v>
      </c>
      <c r="JEB324" s="26" t="s">
        <v>366</v>
      </c>
      <c r="JEC324" s="26" t="s">
        <v>366</v>
      </c>
      <c r="JED324" s="26" t="s">
        <v>366</v>
      </c>
      <c r="JEE324" s="26" t="s">
        <v>366</v>
      </c>
      <c r="JEF324" s="26" t="s">
        <v>366</v>
      </c>
      <c r="JEG324" s="26" t="s">
        <v>366</v>
      </c>
      <c r="JEH324" s="26" t="s">
        <v>366</v>
      </c>
      <c r="JEI324" s="26" t="s">
        <v>366</v>
      </c>
      <c r="JEJ324" s="26" t="s">
        <v>366</v>
      </c>
      <c r="JEK324" s="26" t="s">
        <v>366</v>
      </c>
      <c r="JEL324" s="26" t="s">
        <v>366</v>
      </c>
      <c r="JEM324" s="26" t="s">
        <v>366</v>
      </c>
      <c r="JEN324" s="26" t="s">
        <v>366</v>
      </c>
      <c r="JEO324" s="26" t="s">
        <v>366</v>
      </c>
      <c r="JEP324" s="26" t="s">
        <v>366</v>
      </c>
      <c r="JEQ324" s="26" t="s">
        <v>366</v>
      </c>
      <c r="JER324" s="26" t="s">
        <v>366</v>
      </c>
      <c r="JES324" s="26" t="s">
        <v>366</v>
      </c>
      <c r="JET324" s="26" t="s">
        <v>366</v>
      </c>
      <c r="JEU324" s="26" t="s">
        <v>366</v>
      </c>
      <c r="JEV324" s="26" t="s">
        <v>366</v>
      </c>
      <c r="JEW324" s="26" t="s">
        <v>366</v>
      </c>
      <c r="JEX324" s="26" t="s">
        <v>366</v>
      </c>
      <c r="JEY324" s="26" t="s">
        <v>366</v>
      </c>
      <c r="JEZ324" s="26" t="s">
        <v>366</v>
      </c>
      <c r="JFA324" s="26" t="s">
        <v>366</v>
      </c>
      <c r="JFB324" s="26" t="s">
        <v>366</v>
      </c>
      <c r="JFC324" s="26" t="s">
        <v>366</v>
      </c>
      <c r="JFD324" s="26" t="s">
        <v>366</v>
      </c>
      <c r="JFE324" s="26" t="s">
        <v>366</v>
      </c>
      <c r="JFF324" s="26" t="s">
        <v>366</v>
      </c>
      <c r="JFG324" s="26" t="s">
        <v>366</v>
      </c>
      <c r="JFH324" s="26" t="s">
        <v>366</v>
      </c>
      <c r="JFI324" s="26" t="s">
        <v>366</v>
      </c>
      <c r="JFJ324" s="26" t="s">
        <v>366</v>
      </c>
      <c r="JFK324" s="26" t="s">
        <v>366</v>
      </c>
      <c r="JFL324" s="26" t="s">
        <v>366</v>
      </c>
      <c r="JFM324" s="26" t="s">
        <v>366</v>
      </c>
      <c r="JFN324" s="26" t="s">
        <v>366</v>
      </c>
      <c r="JFO324" s="26" t="s">
        <v>366</v>
      </c>
      <c r="JFP324" s="26" t="s">
        <v>366</v>
      </c>
      <c r="JFQ324" s="26" t="s">
        <v>366</v>
      </c>
      <c r="JFR324" s="26" t="s">
        <v>366</v>
      </c>
      <c r="JFS324" s="26" t="s">
        <v>366</v>
      </c>
      <c r="JFT324" s="26" t="s">
        <v>366</v>
      </c>
      <c r="JFU324" s="26" t="s">
        <v>366</v>
      </c>
      <c r="JFV324" s="26" t="s">
        <v>366</v>
      </c>
      <c r="JFW324" s="26" t="s">
        <v>366</v>
      </c>
      <c r="JFX324" s="26" t="s">
        <v>366</v>
      </c>
      <c r="JFY324" s="26" t="s">
        <v>366</v>
      </c>
      <c r="JFZ324" s="26" t="s">
        <v>366</v>
      </c>
      <c r="JGA324" s="26" t="s">
        <v>366</v>
      </c>
      <c r="JGB324" s="26" t="s">
        <v>366</v>
      </c>
      <c r="JGC324" s="26" t="s">
        <v>366</v>
      </c>
      <c r="JGD324" s="26" t="s">
        <v>366</v>
      </c>
      <c r="JGE324" s="26" t="s">
        <v>366</v>
      </c>
      <c r="JGF324" s="26" t="s">
        <v>366</v>
      </c>
      <c r="JGG324" s="26" t="s">
        <v>366</v>
      </c>
      <c r="JGH324" s="26" t="s">
        <v>366</v>
      </c>
      <c r="JGI324" s="26" t="s">
        <v>366</v>
      </c>
      <c r="JGJ324" s="26" t="s">
        <v>366</v>
      </c>
      <c r="JGK324" s="26" t="s">
        <v>366</v>
      </c>
      <c r="JGL324" s="26" t="s">
        <v>366</v>
      </c>
      <c r="JGM324" s="26" t="s">
        <v>366</v>
      </c>
      <c r="JGN324" s="26" t="s">
        <v>366</v>
      </c>
      <c r="JGO324" s="26" t="s">
        <v>366</v>
      </c>
      <c r="JGP324" s="26" t="s">
        <v>366</v>
      </c>
      <c r="JGQ324" s="26" t="s">
        <v>366</v>
      </c>
      <c r="JGR324" s="26" t="s">
        <v>366</v>
      </c>
      <c r="JGS324" s="26" t="s">
        <v>366</v>
      </c>
      <c r="JGT324" s="26" t="s">
        <v>366</v>
      </c>
      <c r="JGU324" s="26" t="s">
        <v>366</v>
      </c>
      <c r="JGV324" s="26" t="s">
        <v>366</v>
      </c>
      <c r="JGW324" s="26" t="s">
        <v>366</v>
      </c>
      <c r="JGX324" s="26" t="s">
        <v>366</v>
      </c>
      <c r="JGY324" s="26" t="s">
        <v>366</v>
      </c>
      <c r="JGZ324" s="26" t="s">
        <v>366</v>
      </c>
      <c r="JHA324" s="26" t="s">
        <v>366</v>
      </c>
      <c r="JHB324" s="26" t="s">
        <v>366</v>
      </c>
      <c r="JHC324" s="26" t="s">
        <v>366</v>
      </c>
      <c r="JHD324" s="26" t="s">
        <v>366</v>
      </c>
      <c r="JHE324" s="26" t="s">
        <v>366</v>
      </c>
      <c r="JHF324" s="26" t="s">
        <v>366</v>
      </c>
      <c r="JHG324" s="26" t="s">
        <v>366</v>
      </c>
      <c r="JHH324" s="26" t="s">
        <v>366</v>
      </c>
      <c r="JHI324" s="26" t="s">
        <v>366</v>
      </c>
      <c r="JHJ324" s="26" t="s">
        <v>366</v>
      </c>
      <c r="JHK324" s="26" t="s">
        <v>366</v>
      </c>
      <c r="JHL324" s="26" t="s">
        <v>366</v>
      </c>
      <c r="JHM324" s="26" t="s">
        <v>366</v>
      </c>
      <c r="JHN324" s="26" t="s">
        <v>366</v>
      </c>
      <c r="JHO324" s="26" t="s">
        <v>366</v>
      </c>
      <c r="JHP324" s="26" t="s">
        <v>366</v>
      </c>
      <c r="JHQ324" s="26" t="s">
        <v>366</v>
      </c>
      <c r="JHR324" s="26" t="s">
        <v>366</v>
      </c>
      <c r="JHS324" s="26" t="s">
        <v>366</v>
      </c>
      <c r="JHT324" s="26" t="s">
        <v>366</v>
      </c>
      <c r="JHU324" s="26" t="s">
        <v>366</v>
      </c>
      <c r="JHV324" s="26" t="s">
        <v>366</v>
      </c>
      <c r="JHW324" s="26" t="s">
        <v>366</v>
      </c>
      <c r="JHX324" s="26" t="s">
        <v>366</v>
      </c>
      <c r="JHY324" s="26" t="s">
        <v>366</v>
      </c>
      <c r="JHZ324" s="26" t="s">
        <v>366</v>
      </c>
      <c r="JIA324" s="26" t="s">
        <v>366</v>
      </c>
      <c r="JIB324" s="26" t="s">
        <v>366</v>
      </c>
      <c r="JIC324" s="26" t="s">
        <v>366</v>
      </c>
      <c r="JID324" s="26" t="s">
        <v>366</v>
      </c>
      <c r="JIE324" s="26" t="s">
        <v>366</v>
      </c>
      <c r="JIF324" s="26" t="s">
        <v>366</v>
      </c>
      <c r="JIG324" s="26" t="s">
        <v>366</v>
      </c>
      <c r="JIH324" s="26" t="s">
        <v>366</v>
      </c>
      <c r="JII324" s="26" t="s">
        <v>366</v>
      </c>
      <c r="JIJ324" s="26" t="s">
        <v>366</v>
      </c>
      <c r="JIK324" s="26" t="s">
        <v>366</v>
      </c>
      <c r="JIL324" s="26" t="s">
        <v>366</v>
      </c>
      <c r="JIM324" s="26" t="s">
        <v>366</v>
      </c>
      <c r="JIN324" s="26" t="s">
        <v>366</v>
      </c>
      <c r="JIO324" s="26" t="s">
        <v>366</v>
      </c>
      <c r="JIP324" s="26" t="s">
        <v>366</v>
      </c>
      <c r="JIQ324" s="26" t="s">
        <v>366</v>
      </c>
      <c r="JIR324" s="26" t="s">
        <v>366</v>
      </c>
      <c r="JIS324" s="26" t="s">
        <v>366</v>
      </c>
      <c r="JIT324" s="26" t="s">
        <v>366</v>
      </c>
      <c r="JIU324" s="26" t="s">
        <v>366</v>
      </c>
      <c r="JIV324" s="26" t="s">
        <v>366</v>
      </c>
      <c r="JIW324" s="26" t="s">
        <v>366</v>
      </c>
      <c r="JIX324" s="26" t="s">
        <v>366</v>
      </c>
      <c r="JIY324" s="26" t="s">
        <v>366</v>
      </c>
      <c r="JIZ324" s="26" t="s">
        <v>366</v>
      </c>
      <c r="JJA324" s="26" t="s">
        <v>366</v>
      </c>
      <c r="JJB324" s="26" t="s">
        <v>366</v>
      </c>
      <c r="JJC324" s="26" t="s">
        <v>366</v>
      </c>
      <c r="JJD324" s="26" t="s">
        <v>366</v>
      </c>
      <c r="JJE324" s="26" t="s">
        <v>366</v>
      </c>
      <c r="JJF324" s="26" t="s">
        <v>366</v>
      </c>
      <c r="JJG324" s="26" t="s">
        <v>366</v>
      </c>
      <c r="JJH324" s="26" t="s">
        <v>366</v>
      </c>
      <c r="JJI324" s="26" t="s">
        <v>366</v>
      </c>
      <c r="JJJ324" s="26" t="s">
        <v>366</v>
      </c>
      <c r="JJK324" s="26" t="s">
        <v>366</v>
      </c>
      <c r="JJL324" s="26" t="s">
        <v>366</v>
      </c>
      <c r="JJM324" s="26" t="s">
        <v>366</v>
      </c>
      <c r="JJN324" s="26" t="s">
        <v>366</v>
      </c>
      <c r="JJO324" s="26" t="s">
        <v>366</v>
      </c>
      <c r="JJP324" s="26" t="s">
        <v>366</v>
      </c>
      <c r="JJQ324" s="26" t="s">
        <v>366</v>
      </c>
      <c r="JJR324" s="26" t="s">
        <v>366</v>
      </c>
      <c r="JJS324" s="26" t="s">
        <v>366</v>
      </c>
      <c r="JJT324" s="26" t="s">
        <v>366</v>
      </c>
      <c r="JJU324" s="26" t="s">
        <v>366</v>
      </c>
      <c r="JJV324" s="26" t="s">
        <v>366</v>
      </c>
      <c r="JJW324" s="26" t="s">
        <v>366</v>
      </c>
      <c r="JJX324" s="26" t="s">
        <v>366</v>
      </c>
      <c r="JJY324" s="26" t="s">
        <v>366</v>
      </c>
      <c r="JJZ324" s="26" t="s">
        <v>366</v>
      </c>
      <c r="JKA324" s="26" t="s">
        <v>366</v>
      </c>
      <c r="JKB324" s="26" t="s">
        <v>366</v>
      </c>
      <c r="JKC324" s="26" t="s">
        <v>366</v>
      </c>
      <c r="JKD324" s="26" t="s">
        <v>366</v>
      </c>
      <c r="JKE324" s="26" t="s">
        <v>366</v>
      </c>
      <c r="JKF324" s="26" t="s">
        <v>366</v>
      </c>
      <c r="JKG324" s="26" t="s">
        <v>366</v>
      </c>
      <c r="JKH324" s="26" t="s">
        <v>366</v>
      </c>
      <c r="JKI324" s="26" t="s">
        <v>366</v>
      </c>
      <c r="JKJ324" s="26" t="s">
        <v>366</v>
      </c>
      <c r="JKK324" s="26" t="s">
        <v>366</v>
      </c>
      <c r="JKL324" s="26" t="s">
        <v>366</v>
      </c>
      <c r="JKM324" s="26" t="s">
        <v>366</v>
      </c>
      <c r="JKN324" s="26" t="s">
        <v>366</v>
      </c>
      <c r="JKO324" s="26" t="s">
        <v>366</v>
      </c>
      <c r="JKP324" s="26" t="s">
        <v>366</v>
      </c>
      <c r="JKQ324" s="26" t="s">
        <v>366</v>
      </c>
      <c r="JKR324" s="26" t="s">
        <v>366</v>
      </c>
      <c r="JKS324" s="26" t="s">
        <v>366</v>
      </c>
      <c r="JKT324" s="26" t="s">
        <v>366</v>
      </c>
      <c r="JKU324" s="26" t="s">
        <v>366</v>
      </c>
      <c r="JKV324" s="26" t="s">
        <v>366</v>
      </c>
      <c r="JKW324" s="26" t="s">
        <v>366</v>
      </c>
      <c r="JKX324" s="26" t="s">
        <v>366</v>
      </c>
      <c r="JKY324" s="26" t="s">
        <v>366</v>
      </c>
      <c r="JKZ324" s="26" t="s">
        <v>366</v>
      </c>
      <c r="JLA324" s="26" t="s">
        <v>366</v>
      </c>
      <c r="JLB324" s="26" t="s">
        <v>366</v>
      </c>
      <c r="JLC324" s="26" t="s">
        <v>366</v>
      </c>
      <c r="JLD324" s="26" t="s">
        <v>366</v>
      </c>
      <c r="JLE324" s="26" t="s">
        <v>366</v>
      </c>
      <c r="JLF324" s="26" t="s">
        <v>366</v>
      </c>
      <c r="JLG324" s="26" t="s">
        <v>366</v>
      </c>
      <c r="JLH324" s="26" t="s">
        <v>366</v>
      </c>
      <c r="JLI324" s="26" t="s">
        <v>366</v>
      </c>
      <c r="JLJ324" s="26" t="s">
        <v>366</v>
      </c>
      <c r="JLK324" s="26" t="s">
        <v>366</v>
      </c>
      <c r="JLL324" s="26" t="s">
        <v>366</v>
      </c>
      <c r="JLM324" s="26" t="s">
        <v>366</v>
      </c>
      <c r="JLN324" s="26" t="s">
        <v>366</v>
      </c>
      <c r="JLO324" s="26" t="s">
        <v>366</v>
      </c>
      <c r="JLP324" s="26" t="s">
        <v>366</v>
      </c>
      <c r="JLQ324" s="26" t="s">
        <v>366</v>
      </c>
      <c r="JLR324" s="26" t="s">
        <v>366</v>
      </c>
      <c r="JLS324" s="26" t="s">
        <v>366</v>
      </c>
      <c r="JLT324" s="26" t="s">
        <v>366</v>
      </c>
      <c r="JLU324" s="26" t="s">
        <v>366</v>
      </c>
      <c r="JLV324" s="26" t="s">
        <v>366</v>
      </c>
      <c r="JLW324" s="26" t="s">
        <v>366</v>
      </c>
      <c r="JLX324" s="26" t="s">
        <v>366</v>
      </c>
      <c r="JLY324" s="26" t="s">
        <v>366</v>
      </c>
      <c r="JLZ324" s="26" t="s">
        <v>366</v>
      </c>
      <c r="JMA324" s="26" t="s">
        <v>366</v>
      </c>
      <c r="JMB324" s="26" t="s">
        <v>366</v>
      </c>
      <c r="JMC324" s="26" t="s">
        <v>366</v>
      </c>
      <c r="JMD324" s="26" t="s">
        <v>366</v>
      </c>
      <c r="JME324" s="26" t="s">
        <v>366</v>
      </c>
      <c r="JMF324" s="26" t="s">
        <v>366</v>
      </c>
      <c r="JMG324" s="26" t="s">
        <v>366</v>
      </c>
      <c r="JMH324" s="26" t="s">
        <v>366</v>
      </c>
      <c r="JMI324" s="26" t="s">
        <v>366</v>
      </c>
      <c r="JMJ324" s="26" t="s">
        <v>366</v>
      </c>
      <c r="JMK324" s="26" t="s">
        <v>366</v>
      </c>
      <c r="JML324" s="26" t="s">
        <v>366</v>
      </c>
      <c r="JMM324" s="26" t="s">
        <v>366</v>
      </c>
      <c r="JMN324" s="26" t="s">
        <v>366</v>
      </c>
      <c r="JMO324" s="26" t="s">
        <v>366</v>
      </c>
      <c r="JMP324" s="26" t="s">
        <v>366</v>
      </c>
      <c r="JMQ324" s="26" t="s">
        <v>366</v>
      </c>
      <c r="JMR324" s="26" t="s">
        <v>366</v>
      </c>
      <c r="JMS324" s="26" t="s">
        <v>366</v>
      </c>
      <c r="JMT324" s="26" t="s">
        <v>366</v>
      </c>
      <c r="JMU324" s="26" t="s">
        <v>366</v>
      </c>
      <c r="JMV324" s="26" t="s">
        <v>366</v>
      </c>
      <c r="JMW324" s="26" t="s">
        <v>366</v>
      </c>
      <c r="JMX324" s="26" t="s">
        <v>366</v>
      </c>
      <c r="JMY324" s="26" t="s">
        <v>366</v>
      </c>
      <c r="JMZ324" s="26" t="s">
        <v>366</v>
      </c>
      <c r="JNA324" s="26" t="s">
        <v>366</v>
      </c>
      <c r="JNB324" s="26" t="s">
        <v>366</v>
      </c>
      <c r="JNC324" s="26" t="s">
        <v>366</v>
      </c>
      <c r="JND324" s="26" t="s">
        <v>366</v>
      </c>
      <c r="JNE324" s="26" t="s">
        <v>366</v>
      </c>
      <c r="JNF324" s="26" t="s">
        <v>366</v>
      </c>
      <c r="JNG324" s="26" t="s">
        <v>366</v>
      </c>
      <c r="JNH324" s="26" t="s">
        <v>366</v>
      </c>
      <c r="JNI324" s="26" t="s">
        <v>366</v>
      </c>
      <c r="JNJ324" s="26" t="s">
        <v>366</v>
      </c>
      <c r="JNK324" s="26" t="s">
        <v>366</v>
      </c>
      <c r="JNL324" s="26" t="s">
        <v>366</v>
      </c>
      <c r="JNM324" s="26" t="s">
        <v>366</v>
      </c>
      <c r="JNN324" s="26" t="s">
        <v>366</v>
      </c>
      <c r="JNO324" s="26" t="s">
        <v>366</v>
      </c>
      <c r="JNP324" s="26" t="s">
        <v>366</v>
      </c>
      <c r="JNQ324" s="26" t="s">
        <v>366</v>
      </c>
      <c r="JNR324" s="26" t="s">
        <v>366</v>
      </c>
      <c r="JNS324" s="26" t="s">
        <v>366</v>
      </c>
      <c r="JNT324" s="26" t="s">
        <v>366</v>
      </c>
      <c r="JNU324" s="26" t="s">
        <v>366</v>
      </c>
      <c r="JNV324" s="26" t="s">
        <v>366</v>
      </c>
      <c r="JNW324" s="26" t="s">
        <v>366</v>
      </c>
      <c r="JNX324" s="26" t="s">
        <v>366</v>
      </c>
      <c r="JNY324" s="26" t="s">
        <v>366</v>
      </c>
      <c r="JNZ324" s="26" t="s">
        <v>366</v>
      </c>
      <c r="JOA324" s="26" t="s">
        <v>366</v>
      </c>
      <c r="JOB324" s="26" t="s">
        <v>366</v>
      </c>
      <c r="JOC324" s="26" t="s">
        <v>366</v>
      </c>
      <c r="JOD324" s="26" t="s">
        <v>366</v>
      </c>
      <c r="JOE324" s="26" t="s">
        <v>366</v>
      </c>
      <c r="JOF324" s="26" t="s">
        <v>366</v>
      </c>
      <c r="JOG324" s="26" t="s">
        <v>366</v>
      </c>
      <c r="JOH324" s="26" t="s">
        <v>366</v>
      </c>
      <c r="JOI324" s="26" t="s">
        <v>366</v>
      </c>
      <c r="JOJ324" s="26" t="s">
        <v>366</v>
      </c>
      <c r="JOK324" s="26" t="s">
        <v>366</v>
      </c>
      <c r="JOL324" s="26" t="s">
        <v>366</v>
      </c>
      <c r="JOM324" s="26" t="s">
        <v>366</v>
      </c>
      <c r="JON324" s="26" t="s">
        <v>366</v>
      </c>
      <c r="JOO324" s="26" t="s">
        <v>366</v>
      </c>
      <c r="JOP324" s="26" t="s">
        <v>366</v>
      </c>
      <c r="JOQ324" s="26" t="s">
        <v>366</v>
      </c>
      <c r="JOR324" s="26" t="s">
        <v>366</v>
      </c>
      <c r="JOS324" s="26" t="s">
        <v>366</v>
      </c>
      <c r="JOT324" s="26" t="s">
        <v>366</v>
      </c>
      <c r="JOU324" s="26" t="s">
        <v>366</v>
      </c>
      <c r="JOV324" s="26" t="s">
        <v>366</v>
      </c>
      <c r="JOW324" s="26" t="s">
        <v>366</v>
      </c>
      <c r="JOX324" s="26" t="s">
        <v>366</v>
      </c>
      <c r="JOY324" s="26" t="s">
        <v>366</v>
      </c>
      <c r="JOZ324" s="26" t="s">
        <v>366</v>
      </c>
      <c r="JPA324" s="26" t="s">
        <v>366</v>
      </c>
      <c r="JPB324" s="26" t="s">
        <v>366</v>
      </c>
      <c r="JPC324" s="26" t="s">
        <v>366</v>
      </c>
      <c r="JPD324" s="26" t="s">
        <v>366</v>
      </c>
      <c r="JPE324" s="26" t="s">
        <v>366</v>
      </c>
      <c r="JPF324" s="26" t="s">
        <v>366</v>
      </c>
      <c r="JPG324" s="26" t="s">
        <v>366</v>
      </c>
      <c r="JPH324" s="26" t="s">
        <v>366</v>
      </c>
      <c r="JPI324" s="26" t="s">
        <v>366</v>
      </c>
      <c r="JPJ324" s="26" t="s">
        <v>366</v>
      </c>
      <c r="JPK324" s="26" t="s">
        <v>366</v>
      </c>
      <c r="JPL324" s="26" t="s">
        <v>366</v>
      </c>
      <c r="JPM324" s="26" t="s">
        <v>366</v>
      </c>
      <c r="JPN324" s="26" t="s">
        <v>366</v>
      </c>
      <c r="JPO324" s="26" t="s">
        <v>366</v>
      </c>
      <c r="JPP324" s="26" t="s">
        <v>366</v>
      </c>
      <c r="JPQ324" s="26" t="s">
        <v>366</v>
      </c>
      <c r="JPR324" s="26" t="s">
        <v>366</v>
      </c>
      <c r="JPS324" s="26" t="s">
        <v>366</v>
      </c>
      <c r="JPT324" s="26" t="s">
        <v>366</v>
      </c>
      <c r="JPU324" s="26" t="s">
        <v>366</v>
      </c>
      <c r="JPV324" s="26" t="s">
        <v>366</v>
      </c>
      <c r="JPW324" s="26" t="s">
        <v>366</v>
      </c>
      <c r="JPX324" s="26" t="s">
        <v>366</v>
      </c>
      <c r="JPY324" s="26" t="s">
        <v>366</v>
      </c>
      <c r="JPZ324" s="26" t="s">
        <v>366</v>
      </c>
      <c r="JQA324" s="26" t="s">
        <v>366</v>
      </c>
      <c r="JQB324" s="26" t="s">
        <v>366</v>
      </c>
      <c r="JQC324" s="26" t="s">
        <v>366</v>
      </c>
      <c r="JQD324" s="26" t="s">
        <v>366</v>
      </c>
      <c r="JQE324" s="26" t="s">
        <v>366</v>
      </c>
      <c r="JQF324" s="26" t="s">
        <v>366</v>
      </c>
      <c r="JQG324" s="26" t="s">
        <v>366</v>
      </c>
      <c r="JQH324" s="26" t="s">
        <v>366</v>
      </c>
      <c r="JQI324" s="26" t="s">
        <v>366</v>
      </c>
      <c r="JQJ324" s="26" t="s">
        <v>366</v>
      </c>
      <c r="JQK324" s="26" t="s">
        <v>366</v>
      </c>
      <c r="JQL324" s="26" t="s">
        <v>366</v>
      </c>
      <c r="JQM324" s="26" t="s">
        <v>366</v>
      </c>
      <c r="JQN324" s="26" t="s">
        <v>366</v>
      </c>
      <c r="JQO324" s="26" t="s">
        <v>366</v>
      </c>
      <c r="JQP324" s="26" t="s">
        <v>366</v>
      </c>
      <c r="JQQ324" s="26" t="s">
        <v>366</v>
      </c>
      <c r="JQR324" s="26" t="s">
        <v>366</v>
      </c>
      <c r="JQS324" s="26" t="s">
        <v>366</v>
      </c>
      <c r="JQT324" s="26" t="s">
        <v>366</v>
      </c>
      <c r="JQU324" s="26" t="s">
        <v>366</v>
      </c>
      <c r="JQV324" s="26" t="s">
        <v>366</v>
      </c>
      <c r="JQW324" s="26" t="s">
        <v>366</v>
      </c>
      <c r="JQX324" s="26" t="s">
        <v>366</v>
      </c>
      <c r="JQY324" s="26" t="s">
        <v>366</v>
      </c>
      <c r="JQZ324" s="26" t="s">
        <v>366</v>
      </c>
      <c r="JRA324" s="26" t="s">
        <v>366</v>
      </c>
      <c r="JRB324" s="26" t="s">
        <v>366</v>
      </c>
      <c r="JRC324" s="26" t="s">
        <v>366</v>
      </c>
      <c r="JRD324" s="26" t="s">
        <v>366</v>
      </c>
      <c r="JRE324" s="26" t="s">
        <v>366</v>
      </c>
      <c r="JRF324" s="26" t="s">
        <v>366</v>
      </c>
      <c r="JRG324" s="26" t="s">
        <v>366</v>
      </c>
      <c r="JRH324" s="26" t="s">
        <v>366</v>
      </c>
      <c r="JRI324" s="26" t="s">
        <v>366</v>
      </c>
      <c r="JRJ324" s="26" t="s">
        <v>366</v>
      </c>
      <c r="JRK324" s="26" t="s">
        <v>366</v>
      </c>
      <c r="JRL324" s="26" t="s">
        <v>366</v>
      </c>
      <c r="JRM324" s="26" t="s">
        <v>366</v>
      </c>
      <c r="JRN324" s="26" t="s">
        <v>366</v>
      </c>
      <c r="JRO324" s="26" t="s">
        <v>366</v>
      </c>
      <c r="JRP324" s="26" t="s">
        <v>366</v>
      </c>
      <c r="JRQ324" s="26" t="s">
        <v>366</v>
      </c>
      <c r="JRR324" s="26" t="s">
        <v>366</v>
      </c>
      <c r="JRS324" s="26" t="s">
        <v>366</v>
      </c>
      <c r="JRT324" s="26" t="s">
        <v>366</v>
      </c>
      <c r="JRU324" s="26" t="s">
        <v>366</v>
      </c>
      <c r="JRV324" s="26" t="s">
        <v>366</v>
      </c>
      <c r="JRW324" s="26" t="s">
        <v>366</v>
      </c>
      <c r="JRX324" s="26" t="s">
        <v>366</v>
      </c>
      <c r="JRY324" s="26" t="s">
        <v>366</v>
      </c>
      <c r="JRZ324" s="26" t="s">
        <v>366</v>
      </c>
      <c r="JSA324" s="26" t="s">
        <v>366</v>
      </c>
      <c r="JSB324" s="26" t="s">
        <v>366</v>
      </c>
      <c r="JSC324" s="26" t="s">
        <v>366</v>
      </c>
      <c r="JSD324" s="26" t="s">
        <v>366</v>
      </c>
      <c r="JSE324" s="26" t="s">
        <v>366</v>
      </c>
      <c r="JSF324" s="26" t="s">
        <v>366</v>
      </c>
      <c r="JSG324" s="26" t="s">
        <v>366</v>
      </c>
      <c r="JSH324" s="26" t="s">
        <v>366</v>
      </c>
      <c r="JSI324" s="26" t="s">
        <v>366</v>
      </c>
      <c r="JSJ324" s="26" t="s">
        <v>366</v>
      </c>
      <c r="JSK324" s="26" t="s">
        <v>366</v>
      </c>
      <c r="JSL324" s="26" t="s">
        <v>366</v>
      </c>
      <c r="JSM324" s="26" t="s">
        <v>366</v>
      </c>
      <c r="JSN324" s="26" t="s">
        <v>366</v>
      </c>
      <c r="JSO324" s="26" t="s">
        <v>366</v>
      </c>
      <c r="JSP324" s="26" t="s">
        <v>366</v>
      </c>
      <c r="JSQ324" s="26" t="s">
        <v>366</v>
      </c>
      <c r="JSR324" s="26" t="s">
        <v>366</v>
      </c>
      <c r="JSS324" s="26" t="s">
        <v>366</v>
      </c>
      <c r="JST324" s="26" t="s">
        <v>366</v>
      </c>
      <c r="JSU324" s="26" t="s">
        <v>366</v>
      </c>
      <c r="JSV324" s="26" t="s">
        <v>366</v>
      </c>
      <c r="JSW324" s="26" t="s">
        <v>366</v>
      </c>
      <c r="JSX324" s="26" t="s">
        <v>366</v>
      </c>
      <c r="JSY324" s="26" t="s">
        <v>366</v>
      </c>
      <c r="JSZ324" s="26" t="s">
        <v>366</v>
      </c>
      <c r="JTA324" s="26" t="s">
        <v>366</v>
      </c>
      <c r="JTB324" s="26" t="s">
        <v>366</v>
      </c>
      <c r="JTC324" s="26" t="s">
        <v>366</v>
      </c>
      <c r="JTD324" s="26" t="s">
        <v>366</v>
      </c>
      <c r="JTE324" s="26" t="s">
        <v>366</v>
      </c>
      <c r="JTF324" s="26" t="s">
        <v>366</v>
      </c>
      <c r="JTG324" s="26" t="s">
        <v>366</v>
      </c>
      <c r="JTH324" s="26" t="s">
        <v>366</v>
      </c>
      <c r="JTI324" s="26" t="s">
        <v>366</v>
      </c>
      <c r="JTJ324" s="26" t="s">
        <v>366</v>
      </c>
      <c r="JTK324" s="26" t="s">
        <v>366</v>
      </c>
      <c r="JTL324" s="26" t="s">
        <v>366</v>
      </c>
      <c r="JTM324" s="26" t="s">
        <v>366</v>
      </c>
      <c r="JTN324" s="26" t="s">
        <v>366</v>
      </c>
      <c r="JTO324" s="26" t="s">
        <v>366</v>
      </c>
      <c r="JTP324" s="26" t="s">
        <v>366</v>
      </c>
      <c r="JTQ324" s="26" t="s">
        <v>366</v>
      </c>
      <c r="JTR324" s="26" t="s">
        <v>366</v>
      </c>
      <c r="JTS324" s="26" t="s">
        <v>366</v>
      </c>
      <c r="JTT324" s="26" t="s">
        <v>366</v>
      </c>
      <c r="JTU324" s="26" t="s">
        <v>366</v>
      </c>
      <c r="JTV324" s="26" t="s">
        <v>366</v>
      </c>
      <c r="JTW324" s="26" t="s">
        <v>366</v>
      </c>
      <c r="JTX324" s="26" t="s">
        <v>366</v>
      </c>
      <c r="JTY324" s="26" t="s">
        <v>366</v>
      </c>
      <c r="JTZ324" s="26" t="s">
        <v>366</v>
      </c>
      <c r="JUA324" s="26" t="s">
        <v>366</v>
      </c>
      <c r="JUB324" s="26" t="s">
        <v>366</v>
      </c>
      <c r="JUC324" s="26" t="s">
        <v>366</v>
      </c>
      <c r="JUD324" s="26" t="s">
        <v>366</v>
      </c>
      <c r="JUE324" s="26" t="s">
        <v>366</v>
      </c>
      <c r="JUF324" s="26" t="s">
        <v>366</v>
      </c>
      <c r="JUG324" s="26" t="s">
        <v>366</v>
      </c>
      <c r="JUH324" s="26" t="s">
        <v>366</v>
      </c>
      <c r="JUI324" s="26" t="s">
        <v>366</v>
      </c>
      <c r="JUJ324" s="26" t="s">
        <v>366</v>
      </c>
      <c r="JUK324" s="26" t="s">
        <v>366</v>
      </c>
      <c r="JUL324" s="26" t="s">
        <v>366</v>
      </c>
      <c r="JUM324" s="26" t="s">
        <v>366</v>
      </c>
      <c r="JUN324" s="26" t="s">
        <v>366</v>
      </c>
      <c r="JUO324" s="26" t="s">
        <v>366</v>
      </c>
      <c r="JUP324" s="26" t="s">
        <v>366</v>
      </c>
      <c r="JUQ324" s="26" t="s">
        <v>366</v>
      </c>
      <c r="JUR324" s="26" t="s">
        <v>366</v>
      </c>
      <c r="JUS324" s="26" t="s">
        <v>366</v>
      </c>
      <c r="JUT324" s="26" t="s">
        <v>366</v>
      </c>
      <c r="JUU324" s="26" t="s">
        <v>366</v>
      </c>
      <c r="JUV324" s="26" t="s">
        <v>366</v>
      </c>
      <c r="JUW324" s="26" t="s">
        <v>366</v>
      </c>
      <c r="JUX324" s="26" t="s">
        <v>366</v>
      </c>
      <c r="JUY324" s="26" t="s">
        <v>366</v>
      </c>
      <c r="JUZ324" s="26" t="s">
        <v>366</v>
      </c>
      <c r="JVA324" s="26" t="s">
        <v>366</v>
      </c>
      <c r="JVB324" s="26" t="s">
        <v>366</v>
      </c>
      <c r="JVC324" s="26" t="s">
        <v>366</v>
      </c>
      <c r="JVD324" s="26" t="s">
        <v>366</v>
      </c>
      <c r="JVE324" s="26" t="s">
        <v>366</v>
      </c>
      <c r="JVF324" s="26" t="s">
        <v>366</v>
      </c>
      <c r="JVG324" s="26" t="s">
        <v>366</v>
      </c>
      <c r="JVH324" s="26" t="s">
        <v>366</v>
      </c>
      <c r="JVI324" s="26" t="s">
        <v>366</v>
      </c>
      <c r="JVJ324" s="26" t="s">
        <v>366</v>
      </c>
      <c r="JVK324" s="26" t="s">
        <v>366</v>
      </c>
      <c r="JVL324" s="26" t="s">
        <v>366</v>
      </c>
      <c r="JVM324" s="26" t="s">
        <v>366</v>
      </c>
      <c r="JVN324" s="26" t="s">
        <v>366</v>
      </c>
      <c r="JVO324" s="26" t="s">
        <v>366</v>
      </c>
      <c r="JVP324" s="26" t="s">
        <v>366</v>
      </c>
      <c r="JVQ324" s="26" t="s">
        <v>366</v>
      </c>
      <c r="JVR324" s="26" t="s">
        <v>366</v>
      </c>
      <c r="JVS324" s="26" t="s">
        <v>366</v>
      </c>
      <c r="JVT324" s="26" t="s">
        <v>366</v>
      </c>
      <c r="JVU324" s="26" t="s">
        <v>366</v>
      </c>
      <c r="JVV324" s="26" t="s">
        <v>366</v>
      </c>
      <c r="JVW324" s="26" t="s">
        <v>366</v>
      </c>
      <c r="JVX324" s="26" t="s">
        <v>366</v>
      </c>
      <c r="JVY324" s="26" t="s">
        <v>366</v>
      </c>
      <c r="JVZ324" s="26" t="s">
        <v>366</v>
      </c>
      <c r="JWA324" s="26" t="s">
        <v>366</v>
      </c>
      <c r="JWB324" s="26" t="s">
        <v>366</v>
      </c>
      <c r="JWC324" s="26" t="s">
        <v>366</v>
      </c>
      <c r="JWD324" s="26" t="s">
        <v>366</v>
      </c>
      <c r="JWE324" s="26" t="s">
        <v>366</v>
      </c>
      <c r="JWF324" s="26" t="s">
        <v>366</v>
      </c>
      <c r="JWG324" s="26" t="s">
        <v>366</v>
      </c>
      <c r="JWH324" s="26" t="s">
        <v>366</v>
      </c>
      <c r="JWI324" s="26" t="s">
        <v>366</v>
      </c>
      <c r="JWJ324" s="26" t="s">
        <v>366</v>
      </c>
      <c r="JWK324" s="26" t="s">
        <v>366</v>
      </c>
      <c r="JWL324" s="26" t="s">
        <v>366</v>
      </c>
      <c r="JWM324" s="26" t="s">
        <v>366</v>
      </c>
      <c r="JWN324" s="26" t="s">
        <v>366</v>
      </c>
      <c r="JWO324" s="26" t="s">
        <v>366</v>
      </c>
      <c r="JWP324" s="26" t="s">
        <v>366</v>
      </c>
      <c r="JWQ324" s="26" t="s">
        <v>366</v>
      </c>
      <c r="JWR324" s="26" t="s">
        <v>366</v>
      </c>
      <c r="JWS324" s="26" t="s">
        <v>366</v>
      </c>
      <c r="JWT324" s="26" t="s">
        <v>366</v>
      </c>
      <c r="JWU324" s="26" t="s">
        <v>366</v>
      </c>
      <c r="JWV324" s="26" t="s">
        <v>366</v>
      </c>
      <c r="JWW324" s="26" t="s">
        <v>366</v>
      </c>
      <c r="JWX324" s="26" t="s">
        <v>366</v>
      </c>
      <c r="JWY324" s="26" t="s">
        <v>366</v>
      </c>
      <c r="JWZ324" s="26" t="s">
        <v>366</v>
      </c>
      <c r="JXA324" s="26" t="s">
        <v>366</v>
      </c>
      <c r="JXB324" s="26" t="s">
        <v>366</v>
      </c>
      <c r="JXC324" s="26" t="s">
        <v>366</v>
      </c>
      <c r="JXD324" s="26" t="s">
        <v>366</v>
      </c>
      <c r="JXE324" s="26" t="s">
        <v>366</v>
      </c>
      <c r="JXF324" s="26" t="s">
        <v>366</v>
      </c>
      <c r="JXG324" s="26" t="s">
        <v>366</v>
      </c>
      <c r="JXH324" s="26" t="s">
        <v>366</v>
      </c>
      <c r="JXI324" s="26" t="s">
        <v>366</v>
      </c>
      <c r="JXJ324" s="26" t="s">
        <v>366</v>
      </c>
      <c r="JXK324" s="26" t="s">
        <v>366</v>
      </c>
      <c r="JXL324" s="26" t="s">
        <v>366</v>
      </c>
      <c r="JXM324" s="26" t="s">
        <v>366</v>
      </c>
      <c r="JXN324" s="26" t="s">
        <v>366</v>
      </c>
      <c r="JXO324" s="26" t="s">
        <v>366</v>
      </c>
      <c r="JXP324" s="26" t="s">
        <v>366</v>
      </c>
      <c r="JXQ324" s="26" t="s">
        <v>366</v>
      </c>
      <c r="JXR324" s="26" t="s">
        <v>366</v>
      </c>
      <c r="JXS324" s="26" t="s">
        <v>366</v>
      </c>
      <c r="JXT324" s="26" t="s">
        <v>366</v>
      </c>
      <c r="JXU324" s="26" t="s">
        <v>366</v>
      </c>
      <c r="JXV324" s="26" t="s">
        <v>366</v>
      </c>
      <c r="JXW324" s="26" t="s">
        <v>366</v>
      </c>
      <c r="JXX324" s="26" t="s">
        <v>366</v>
      </c>
      <c r="JXY324" s="26" t="s">
        <v>366</v>
      </c>
      <c r="JXZ324" s="26" t="s">
        <v>366</v>
      </c>
      <c r="JYA324" s="26" t="s">
        <v>366</v>
      </c>
      <c r="JYB324" s="26" t="s">
        <v>366</v>
      </c>
      <c r="JYC324" s="26" t="s">
        <v>366</v>
      </c>
      <c r="JYD324" s="26" t="s">
        <v>366</v>
      </c>
      <c r="JYE324" s="26" t="s">
        <v>366</v>
      </c>
      <c r="JYF324" s="26" t="s">
        <v>366</v>
      </c>
      <c r="JYG324" s="26" t="s">
        <v>366</v>
      </c>
      <c r="JYH324" s="26" t="s">
        <v>366</v>
      </c>
      <c r="JYI324" s="26" t="s">
        <v>366</v>
      </c>
      <c r="JYJ324" s="26" t="s">
        <v>366</v>
      </c>
      <c r="JYK324" s="26" t="s">
        <v>366</v>
      </c>
      <c r="JYL324" s="26" t="s">
        <v>366</v>
      </c>
      <c r="JYM324" s="26" t="s">
        <v>366</v>
      </c>
      <c r="JYN324" s="26" t="s">
        <v>366</v>
      </c>
      <c r="JYO324" s="26" t="s">
        <v>366</v>
      </c>
      <c r="JYP324" s="26" t="s">
        <v>366</v>
      </c>
      <c r="JYQ324" s="26" t="s">
        <v>366</v>
      </c>
      <c r="JYR324" s="26" t="s">
        <v>366</v>
      </c>
      <c r="JYS324" s="26" t="s">
        <v>366</v>
      </c>
      <c r="JYT324" s="26" t="s">
        <v>366</v>
      </c>
      <c r="JYU324" s="26" t="s">
        <v>366</v>
      </c>
      <c r="JYV324" s="26" t="s">
        <v>366</v>
      </c>
      <c r="JYW324" s="26" t="s">
        <v>366</v>
      </c>
      <c r="JYX324" s="26" t="s">
        <v>366</v>
      </c>
      <c r="JYY324" s="26" t="s">
        <v>366</v>
      </c>
      <c r="JYZ324" s="26" t="s">
        <v>366</v>
      </c>
      <c r="JZA324" s="26" t="s">
        <v>366</v>
      </c>
      <c r="JZB324" s="26" t="s">
        <v>366</v>
      </c>
      <c r="JZC324" s="26" t="s">
        <v>366</v>
      </c>
      <c r="JZD324" s="26" t="s">
        <v>366</v>
      </c>
      <c r="JZE324" s="26" t="s">
        <v>366</v>
      </c>
      <c r="JZF324" s="26" t="s">
        <v>366</v>
      </c>
      <c r="JZG324" s="26" t="s">
        <v>366</v>
      </c>
      <c r="JZH324" s="26" t="s">
        <v>366</v>
      </c>
      <c r="JZI324" s="26" t="s">
        <v>366</v>
      </c>
      <c r="JZJ324" s="26" t="s">
        <v>366</v>
      </c>
      <c r="JZK324" s="26" t="s">
        <v>366</v>
      </c>
      <c r="JZL324" s="26" t="s">
        <v>366</v>
      </c>
      <c r="JZM324" s="26" t="s">
        <v>366</v>
      </c>
      <c r="JZN324" s="26" t="s">
        <v>366</v>
      </c>
      <c r="JZO324" s="26" t="s">
        <v>366</v>
      </c>
      <c r="JZP324" s="26" t="s">
        <v>366</v>
      </c>
      <c r="JZQ324" s="26" t="s">
        <v>366</v>
      </c>
      <c r="JZR324" s="26" t="s">
        <v>366</v>
      </c>
      <c r="JZS324" s="26" t="s">
        <v>366</v>
      </c>
      <c r="JZT324" s="26" t="s">
        <v>366</v>
      </c>
      <c r="JZU324" s="26" t="s">
        <v>366</v>
      </c>
      <c r="JZV324" s="26" t="s">
        <v>366</v>
      </c>
      <c r="JZW324" s="26" t="s">
        <v>366</v>
      </c>
      <c r="JZX324" s="26" t="s">
        <v>366</v>
      </c>
      <c r="JZY324" s="26" t="s">
        <v>366</v>
      </c>
      <c r="JZZ324" s="26" t="s">
        <v>366</v>
      </c>
      <c r="KAA324" s="26" t="s">
        <v>366</v>
      </c>
      <c r="KAB324" s="26" t="s">
        <v>366</v>
      </c>
      <c r="KAC324" s="26" t="s">
        <v>366</v>
      </c>
      <c r="KAD324" s="26" t="s">
        <v>366</v>
      </c>
      <c r="KAE324" s="26" t="s">
        <v>366</v>
      </c>
      <c r="KAF324" s="26" t="s">
        <v>366</v>
      </c>
      <c r="KAG324" s="26" t="s">
        <v>366</v>
      </c>
      <c r="KAH324" s="26" t="s">
        <v>366</v>
      </c>
      <c r="KAI324" s="26" t="s">
        <v>366</v>
      </c>
      <c r="KAJ324" s="26" t="s">
        <v>366</v>
      </c>
      <c r="KAK324" s="26" t="s">
        <v>366</v>
      </c>
      <c r="KAL324" s="26" t="s">
        <v>366</v>
      </c>
      <c r="KAM324" s="26" t="s">
        <v>366</v>
      </c>
      <c r="KAN324" s="26" t="s">
        <v>366</v>
      </c>
      <c r="KAO324" s="26" t="s">
        <v>366</v>
      </c>
      <c r="KAP324" s="26" t="s">
        <v>366</v>
      </c>
      <c r="KAQ324" s="26" t="s">
        <v>366</v>
      </c>
      <c r="KAR324" s="26" t="s">
        <v>366</v>
      </c>
      <c r="KAS324" s="26" t="s">
        <v>366</v>
      </c>
      <c r="KAT324" s="26" t="s">
        <v>366</v>
      </c>
      <c r="KAU324" s="26" t="s">
        <v>366</v>
      </c>
      <c r="KAV324" s="26" t="s">
        <v>366</v>
      </c>
      <c r="KAW324" s="26" t="s">
        <v>366</v>
      </c>
      <c r="KAX324" s="26" t="s">
        <v>366</v>
      </c>
      <c r="KAY324" s="26" t="s">
        <v>366</v>
      </c>
      <c r="KAZ324" s="26" t="s">
        <v>366</v>
      </c>
      <c r="KBA324" s="26" t="s">
        <v>366</v>
      </c>
      <c r="KBB324" s="26" t="s">
        <v>366</v>
      </c>
      <c r="KBC324" s="26" t="s">
        <v>366</v>
      </c>
      <c r="KBD324" s="26" t="s">
        <v>366</v>
      </c>
      <c r="KBE324" s="26" t="s">
        <v>366</v>
      </c>
      <c r="KBF324" s="26" t="s">
        <v>366</v>
      </c>
      <c r="KBG324" s="26" t="s">
        <v>366</v>
      </c>
      <c r="KBH324" s="26" t="s">
        <v>366</v>
      </c>
      <c r="KBI324" s="26" t="s">
        <v>366</v>
      </c>
      <c r="KBJ324" s="26" t="s">
        <v>366</v>
      </c>
      <c r="KBK324" s="26" t="s">
        <v>366</v>
      </c>
      <c r="KBL324" s="26" t="s">
        <v>366</v>
      </c>
      <c r="KBM324" s="26" t="s">
        <v>366</v>
      </c>
      <c r="KBN324" s="26" t="s">
        <v>366</v>
      </c>
      <c r="KBO324" s="26" t="s">
        <v>366</v>
      </c>
      <c r="KBP324" s="26" t="s">
        <v>366</v>
      </c>
      <c r="KBQ324" s="26" t="s">
        <v>366</v>
      </c>
      <c r="KBR324" s="26" t="s">
        <v>366</v>
      </c>
      <c r="KBS324" s="26" t="s">
        <v>366</v>
      </c>
      <c r="KBT324" s="26" t="s">
        <v>366</v>
      </c>
      <c r="KBU324" s="26" t="s">
        <v>366</v>
      </c>
      <c r="KBV324" s="26" t="s">
        <v>366</v>
      </c>
      <c r="KBW324" s="26" t="s">
        <v>366</v>
      </c>
      <c r="KBX324" s="26" t="s">
        <v>366</v>
      </c>
      <c r="KBY324" s="26" t="s">
        <v>366</v>
      </c>
      <c r="KBZ324" s="26" t="s">
        <v>366</v>
      </c>
      <c r="KCA324" s="26" t="s">
        <v>366</v>
      </c>
      <c r="KCB324" s="26" t="s">
        <v>366</v>
      </c>
      <c r="KCC324" s="26" t="s">
        <v>366</v>
      </c>
      <c r="KCD324" s="26" t="s">
        <v>366</v>
      </c>
      <c r="KCE324" s="26" t="s">
        <v>366</v>
      </c>
      <c r="KCF324" s="26" t="s">
        <v>366</v>
      </c>
      <c r="KCG324" s="26" t="s">
        <v>366</v>
      </c>
      <c r="KCH324" s="26" t="s">
        <v>366</v>
      </c>
      <c r="KCI324" s="26" t="s">
        <v>366</v>
      </c>
      <c r="KCJ324" s="26" t="s">
        <v>366</v>
      </c>
      <c r="KCK324" s="26" t="s">
        <v>366</v>
      </c>
      <c r="KCL324" s="26" t="s">
        <v>366</v>
      </c>
      <c r="KCM324" s="26" t="s">
        <v>366</v>
      </c>
      <c r="KCN324" s="26" t="s">
        <v>366</v>
      </c>
      <c r="KCO324" s="26" t="s">
        <v>366</v>
      </c>
      <c r="KCP324" s="26" t="s">
        <v>366</v>
      </c>
      <c r="KCQ324" s="26" t="s">
        <v>366</v>
      </c>
      <c r="KCR324" s="26" t="s">
        <v>366</v>
      </c>
      <c r="KCS324" s="26" t="s">
        <v>366</v>
      </c>
      <c r="KCT324" s="26" t="s">
        <v>366</v>
      </c>
      <c r="KCU324" s="26" t="s">
        <v>366</v>
      </c>
      <c r="KCV324" s="26" t="s">
        <v>366</v>
      </c>
      <c r="KCW324" s="26" t="s">
        <v>366</v>
      </c>
      <c r="KCX324" s="26" t="s">
        <v>366</v>
      </c>
      <c r="KCY324" s="26" t="s">
        <v>366</v>
      </c>
      <c r="KCZ324" s="26" t="s">
        <v>366</v>
      </c>
      <c r="KDA324" s="26" t="s">
        <v>366</v>
      </c>
      <c r="KDB324" s="26" t="s">
        <v>366</v>
      </c>
      <c r="KDC324" s="26" t="s">
        <v>366</v>
      </c>
      <c r="KDD324" s="26" t="s">
        <v>366</v>
      </c>
      <c r="KDE324" s="26" t="s">
        <v>366</v>
      </c>
      <c r="KDF324" s="26" t="s">
        <v>366</v>
      </c>
      <c r="KDG324" s="26" t="s">
        <v>366</v>
      </c>
      <c r="KDH324" s="26" t="s">
        <v>366</v>
      </c>
      <c r="KDI324" s="26" t="s">
        <v>366</v>
      </c>
      <c r="KDJ324" s="26" t="s">
        <v>366</v>
      </c>
      <c r="KDK324" s="26" t="s">
        <v>366</v>
      </c>
      <c r="KDL324" s="26" t="s">
        <v>366</v>
      </c>
      <c r="KDM324" s="26" t="s">
        <v>366</v>
      </c>
      <c r="KDN324" s="26" t="s">
        <v>366</v>
      </c>
      <c r="KDO324" s="26" t="s">
        <v>366</v>
      </c>
      <c r="KDP324" s="26" t="s">
        <v>366</v>
      </c>
      <c r="KDQ324" s="26" t="s">
        <v>366</v>
      </c>
      <c r="KDR324" s="26" t="s">
        <v>366</v>
      </c>
      <c r="KDS324" s="26" t="s">
        <v>366</v>
      </c>
      <c r="KDT324" s="26" t="s">
        <v>366</v>
      </c>
      <c r="KDU324" s="26" t="s">
        <v>366</v>
      </c>
      <c r="KDV324" s="26" t="s">
        <v>366</v>
      </c>
      <c r="KDW324" s="26" t="s">
        <v>366</v>
      </c>
      <c r="KDX324" s="26" t="s">
        <v>366</v>
      </c>
      <c r="KDY324" s="26" t="s">
        <v>366</v>
      </c>
      <c r="KDZ324" s="26" t="s">
        <v>366</v>
      </c>
      <c r="KEA324" s="26" t="s">
        <v>366</v>
      </c>
      <c r="KEB324" s="26" t="s">
        <v>366</v>
      </c>
      <c r="KEC324" s="26" t="s">
        <v>366</v>
      </c>
      <c r="KED324" s="26" t="s">
        <v>366</v>
      </c>
      <c r="KEE324" s="26" t="s">
        <v>366</v>
      </c>
      <c r="KEF324" s="26" t="s">
        <v>366</v>
      </c>
      <c r="KEG324" s="26" t="s">
        <v>366</v>
      </c>
      <c r="KEH324" s="26" t="s">
        <v>366</v>
      </c>
      <c r="KEI324" s="26" t="s">
        <v>366</v>
      </c>
      <c r="KEJ324" s="26" t="s">
        <v>366</v>
      </c>
      <c r="KEK324" s="26" t="s">
        <v>366</v>
      </c>
      <c r="KEL324" s="26" t="s">
        <v>366</v>
      </c>
      <c r="KEM324" s="26" t="s">
        <v>366</v>
      </c>
      <c r="KEN324" s="26" t="s">
        <v>366</v>
      </c>
      <c r="KEO324" s="26" t="s">
        <v>366</v>
      </c>
      <c r="KEP324" s="26" t="s">
        <v>366</v>
      </c>
      <c r="KEQ324" s="26" t="s">
        <v>366</v>
      </c>
      <c r="KER324" s="26" t="s">
        <v>366</v>
      </c>
      <c r="KES324" s="26" t="s">
        <v>366</v>
      </c>
      <c r="KET324" s="26" t="s">
        <v>366</v>
      </c>
      <c r="KEU324" s="26" t="s">
        <v>366</v>
      </c>
      <c r="KEV324" s="26" t="s">
        <v>366</v>
      </c>
      <c r="KEW324" s="26" t="s">
        <v>366</v>
      </c>
      <c r="KEX324" s="26" t="s">
        <v>366</v>
      </c>
      <c r="KEY324" s="26" t="s">
        <v>366</v>
      </c>
      <c r="KEZ324" s="26" t="s">
        <v>366</v>
      </c>
      <c r="KFA324" s="26" t="s">
        <v>366</v>
      </c>
      <c r="KFB324" s="26" t="s">
        <v>366</v>
      </c>
      <c r="KFC324" s="26" t="s">
        <v>366</v>
      </c>
      <c r="KFD324" s="26" t="s">
        <v>366</v>
      </c>
      <c r="KFE324" s="26" t="s">
        <v>366</v>
      </c>
      <c r="KFF324" s="26" t="s">
        <v>366</v>
      </c>
      <c r="KFG324" s="26" t="s">
        <v>366</v>
      </c>
      <c r="KFH324" s="26" t="s">
        <v>366</v>
      </c>
      <c r="KFI324" s="26" t="s">
        <v>366</v>
      </c>
      <c r="KFJ324" s="26" t="s">
        <v>366</v>
      </c>
      <c r="KFK324" s="26" t="s">
        <v>366</v>
      </c>
      <c r="KFL324" s="26" t="s">
        <v>366</v>
      </c>
      <c r="KFM324" s="26" t="s">
        <v>366</v>
      </c>
      <c r="KFN324" s="26" t="s">
        <v>366</v>
      </c>
      <c r="KFO324" s="26" t="s">
        <v>366</v>
      </c>
      <c r="KFP324" s="26" t="s">
        <v>366</v>
      </c>
      <c r="KFQ324" s="26" t="s">
        <v>366</v>
      </c>
      <c r="KFR324" s="26" t="s">
        <v>366</v>
      </c>
      <c r="KFS324" s="26" t="s">
        <v>366</v>
      </c>
      <c r="KFT324" s="26" t="s">
        <v>366</v>
      </c>
      <c r="KFU324" s="26" t="s">
        <v>366</v>
      </c>
      <c r="KFV324" s="26" t="s">
        <v>366</v>
      </c>
      <c r="KFW324" s="26" t="s">
        <v>366</v>
      </c>
      <c r="KFX324" s="26" t="s">
        <v>366</v>
      </c>
      <c r="KFY324" s="26" t="s">
        <v>366</v>
      </c>
      <c r="KFZ324" s="26" t="s">
        <v>366</v>
      </c>
      <c r="KGA324" s="26" t="s">
        <v>366</v>
      </c>
      <c r="KGB324" s="26" t="s">
        <v>366</v>
      </c>
      <c r="KGC324" s="26" t="s">
        <v>366</v>
      </c>
      <c r="KGD324" s="26" t="s">
        <v>366</v>
      </c>
      <c r="KGE324" s="26" t="s">
        <v>366</v>
      </c>
      <c r="KGF324" s="26" t="s">
        <v>366</v>
      </c>
      <c r="KGG324" s="26" t="s">
        <v>366</v>
      </c>
      <c r="KGH324" s="26" t="s">
        <v>366</v>
      </c>
      <c r="KGI324" s="26" t="s">
        <v>366</v>
      </c>
      <c r="KGJ324" s="26" t="s">
        <v>366</v>
      </c>
      <c r="KGK324" s="26" t="s">
        <v>366</v>
      </c>
      <c r="KGL324" s="26" t="s">
        <v>366</v>
      </c>
      <c r="KGM324" s="26" t="s">
        <v>366</v>
      </c>
      <c r="KGN324" s="26" t="s">
        <v>366</v>
      </c>
      <c r="KGO324" s="26" t="s">
        <v>366</v>
      </c>
      <c r="KGP324" s="26" t="s">
        <v>366</v>
      </c>
      <c r="KGQ324" s="26" t="s">
        <v>366</v>
      </c>
      <c r="KGR324" s="26" t="s">
        <v>366</v>
      </c>
      <c r="KGS324" s="26" t="s">
        <v>366</v>
      </c>
      <c r="KGT324" s="26" t="s">
        <v>366</v>
      </c>
      <c r="KGU324" s="26" t="s">
        <v>366</v>
      </c>
      <c r="KGV324" s="26" t="s">
        <v>366</v>
      </c>
      <c r="KGW324" s="26" t="s">
        <v>366</v>
      </c>
      <c r="KGX324" s="26" t="s">
        <v>366</v>
      </c>
      <c r="KGY324" s="26" t="s">
        <v>366</v>
      </c>
      <c r="KGZ324" s="26" t="s">
        <v>366</v>
      </c>
      <c r="KHA324" s="26" t="s">
        <v>366</v>
      </c>
      <c r="KHB324" s="26" t="s">
        <v>366</v>
      </c>
      <c r="KHC324" s="26" t="s">
        <v>366</v>
      </c>
      <c r="KHD324" s="26" t="s">
        <v>366</v>
      </c>
      <c r="KHE324" s="26" t="s">
        <v>366</v>
      </c>
      <c r="KHF324" s="26" t="s">
        <v>366</v>
      </c>
      <c r="KHG324" s="26" t="s">
        <v>366</v>
      </c>
      <c r="KHH324" s="26" t="s">
        <v>366</v>
      </c>
      <c r="KHI324" s="26" t="s">
        <v>366</v>
      </c>
      <c r="KHJ324" s="26" t="s">
        <v>366</v>
      </c>
      <c r="KHK324" s="26" t="s">
        <v>366</v>
      </c>
      <c r="KHL324" s="26" t="s">
        <v>366</v>
      </c>
      <c r="KHM324" s="26" t="s">
        <v>366</v>
      </c>
      <c r="KHN324" s="26" t="s">
        <v>366</v>
      </c>
      <c r="KHO324" s="26" t="s">
        <v>366</v>
      </c>
      <c r="KHP324" s="26" t="s">
        <v>366</v>
      </c>
      <c r="KHQ324" s="26" t="s">
        <v>366</v>
      </c>
      <c r="KHR324" s="26" t="s">
        <v>366</v>
      </c>
      <c r="KHS324" s="26" t="s">
        <v>366</v>
      </c>
      <c r="KHT324" s="26" t="s">
        <v>366</v>
      </c>
      <c r="KHU324" s="26" t="s">
        <v>366</v>
      </c>
      <c r="KHV324" s="26" t="s">
        <v>366</v>
      </c>
      <c r="KHW324" s="26" t="s">
        <v>366</v>
      </c>
      <c r="KHX324" s="26" t="s">
        <v>366</v>
      </c>
      <c r="KHY324" s="26" t="s">
        <v>366</v>
      </c>
      <c r="KHZ324" s="26" t="s">
        <v>366</v>
      </c>
      <c r="KIA324" s="26" t="s">
        <v>366</v>
      </c>
      <c r="KIB324" s="26" t="s">
        <v>366</v>
      </c>
      <c r="KIC324" s="26" t="s">
        <v>366</v>
      </c>
      <c r="KID324" s="26" t="s">
        <v>366</v>
      </c>
      <c r="KIE324" s="26" t="s">
        <v>366</v>
      </c>
      <c r="KIF324" s="26" t="s">
        <v>366</v>
      </c>
      <c r="KIG324" s="26" t="s">
        <v>366</v>
      </c>
      <c r="KIH324" s="26" t="s">
        <v>366</v>
      </c>
      <c r="KII324" s="26" t="s">
        <v>366</v>
      </c>
      <c r="KIJ324" s="26" t="s">
        <v>366</v>
      </c>
      <c r="KIK324" s="26" t="s">
        <v>366</v>
      </c>
      <c r="KIL324" s="26" t="s">
        <v>366</v>
      </c>
      <c r="KIM324" s="26" t="s">
        <v>366</v>
      </c>
      <c r="KIN324" s="26" t="s">
        <v>366</v>
      </c>
      <c r="KIO324" s="26" t="s">
        <v>366</v>
      </c>
      <c r="KIP324" s="26" t="s">
        <v>366</v>
      </c>
      <c r="KIQ324" s="26" t="s">
        <v>366</v>
      </c>
      <c r="KIR324" s="26" t="s">
        <v>366</v>
      </c>
      <c r="KIS324" s="26" t="s">
        <v>366</v>
      </c>
      <c r="KIT324" s="26" t="s">
        <v>366</v>
      </c>
      <c r="KIU324" s="26" t="s">
        <v>366</v>
      </c>
      <c r="KIV324" s="26" t="s">
        <v>366</v>
      </c>
      <c r="KIW324" s="26" t="s">
        <v>366</v>
      </c>
      <c r="KIX324" s="26" t="s">
        <v>366</v>
      </c>
      <c r="KIY324" s="26" t="s">
        <v>366</v>
      </c>
      <c r="KIZ324" s="26" t="s">
        <v>366</v>
      </c>
      <c r="KJA324" s="26" t="s">
        <v>366</v>
      </c>
      <c r="KJB324" s="26" t="s">
        <v>366</v>
      </c>
      <c r="KJC324" s="26" t="s">
        <v>366</v>
      </c>
      <c r="KJD324" s="26" t="s">
        <v>366</v>
      </c>
      <c r="KJE324" s="26" t="s">
        <v>366</v>
      </c>
      <c r="KJF324" s="26" t="s">
        <v>366</v>
      </c>
      <c r="KJG324" s="26" t="s">
        <v>366</v>
      </c>
      <c r="KJH324" s="26" t="s">
        <v>366</v>
      </c>
      <c r="KJI324" s="26" t="s">
        <v>366</v>
      </c>
      <c r="KJJ324" s="26" t="s">
        <v>366</v>
      </c>
      <c r="KJK324" s="26" t="s">
        <v>366</v>
      </c>
      <c r="KJL324" s="26" t="s">
        <v>366</v>
      </c>
      <c r="KJM324" s="26" t="s">
        <v>366</v>
      </c>
      <c r="KJN324" s="26" t="s">
        <v>366</v>
      </c>
      <c r="KJO324" s="26" t="s">
        <v>366</v>
      </c>
      <c r="KJP324" s="26" t="s">
        <v>366</v>
      </c>
      <c r="KJQ324" s="26" t="s">
        <v>366</v>
      </c>
      <c r="KJR324" s="26" t="s">
        <v>366</v>
      </c>
      <c r="KJS324" s="26" t="s">
        <v>366</v>
      </c>
      <c r="KJT324" s="26" t="s">
        <v>366</v>
      </c>
      <c r="KJU324" s="26" t="s">
        <v>366</v>
      </c>
      <c r="KJV324" s="26" t="s">
        <v>366</v>
      </c>
      <c r="KJW324" s="26" t="s">
        <v>366</v>
      </c>
      <c r="KJX324" s="26" t="s">
        <v>366</v>
      </c>
      <c r="KJY324" s="26" t="s">
        <v>366</v>
      </c>
      <c r="KJZ324" s="26" t="s">
        <v>366</v>
      </c>
      <c r="KKA324" s="26" t="s">
        <v>366</v>
      </c>
      <c r="KKB324" s="26" t="s">
        <v>366</v>
      </c>
      <c r="KKC324" s="26" t="s">
        <v>366</v>
      </c>
      <c r="KKD324" s="26" t="s">
        <v>366</v>
      </c>
      <c r="KKE324" s="26" t="s">
        <v>366</v>
      </c>
      <c r="KKF324" s="26" t="s">
        <v>366</v>
      </c>
      <c r="KKG324" s="26" t="s">
        <v>366</v>
      </c>
      <c r="KKH324" s="26" t="s">
        <v>366</v>
      </c>
      <c r="KKI324" s="26" t="s">
        <v>366</v>
      </c>
      <c r="KKJ324" s="26" t="s">
        <v>366</v>
      </c>
      <c r="KKK324" s="26" t="s">
        <v>366</v>
      </c>
      <c r="KKL324" s="26" t="s">
        <v>366</v>
      </c>
      <c r="KKM324" s="26" t="s">
        <v>366</v>
      </c>
      <c r="KKN324" s="26" t="s">
        <v>366</v>
      </c>
      <c r="KKO324" s="26" t="s">
        <v>366</v>
      </c>
      <c r="KKP324" s="26" t="s">
        <v>366</v>
      </c>
      <c r="KKQ324" s="26" t="s">
        <v>366</v>
      </c>
      <c r="KKR324" s="26" t="s">
        <v>366</v>
      </c>
      <c r="KKS324" s="26" t="s">
        <v>366</v>
      </c>
      <c r="KKT324" s="26" t="s">
        <v>366</v>
      </c>
      <c r="KKU324" s="26" t="s">
        <v>366</v>
      </c>
      <c r="KKV324" s="26" t="s">
        <v>366</v>
      </c>
      <c r="KKW324" s="26" t="s">
        <v>366</v>
      </c>
      <c r="KKX324" s="26" t="s">
        <v>366</v>
      </c>
      <c r="KKY324" s="26" t="s">
        <v>366</v>
      </c>
      <c r="KKZ324" s="26" t="s">
        <v>366</v>
      </c>
      <c r="KLA324" s="26" t="s">
        <v>366</v>
      </c>
      <c r="KLB324" s="26" t="s">
        <v>366</v>
      </c>
      <c r="KLC324" s="26" t="s">
        <v>366</v>
      </c>
      <c r="KLD324" s="26" t="s">
        <v>366</v>
      </c>
      <c r="KLE324" s="26" t="s">
        <v>366</v>
      </c>
      <c r="KLF324" s="26" t="s">
        <v>366</v>
      </c>
      <c r="KLG324" s="26" t="s">
        <v>366</v>
      </c>
      <c r="KLH324" s="26" t="s">
        <v>366</v>
      </c>
      <c r="KLI324" s="26" t="s">
        <v>366</v>
      </c>
      <c r="KLJ324" s="26" t="s">
        <v>366</v>
      </c>
      <c r="KLK324" s="26" t="s">
        <v>366</v>
      </c>
      <c r="KLL324" s="26" t="s">
        <v>366</v>
      </c>
      <c r="KLM324" s="26" t="s">
        <v>366</v>
      </c>
      <c r="KLN324" s="26" t="s">
        <v>366</v>
      </c>
      <c r="KLO324" s="26" t="s">
        <v>366</v>
      </c>
      <c r="KLP324" s="26" t="s">
        <v>366</v>
      </c>
      <c r="KLQ324" s="26" t="s">
        <v>366</v>
      </c>
      <c r="KLR324" s="26" t="s">
        <v>366</v>
      </c>
      <c r="KLS324" s="26" t="s">
        <v>366</v>
      </c>
      <c r="KLT324" s="26" t="s">
        <v>366</v>
      </c>
      <c r="KLU324" s="26" t="s">
        <v>366</v>
      </c>
      <c r="KLV324" s="26" t="s">
        <v>366</v>
      </c>
      <c r="KLW324" s="26" t="s">
        <v>366</v>
      </c>
      <c r="KLX324" s="26" t="s">
        <v>366</v>
      </c>
      <c r="KLY324" s="26" t="s">
        <v>366</v>
      </c>
      <c r="KLZ324" s="26" t="s">
        <v>366</v>
      </c>
      <c r="KMA324" s="26" t="s">
        <v>366</v>
      </c>
      <c r="KMB324" s="26" t="s">
        <v>366</v>
      </c>
      <c r="KMC324" s="26" t="s">
        <v>366</v>
      </c>
      <c r="KMD324" s="26" t="s">
        <v>366</v>
      </c>
      <c r="KME324" s="26" t="s">
        <v>366</v>
      </c>
      <c r="KMF324" s="26" t="s">
        <v>366</v>
      </c>
      <c r="KMG324" s="26" t="s">
        <v>366</v>
      </c>
      <c r="KMH324" s="26" t="s">
        <v>366</v>
      </c>
      <c r="KMI324" s="26" t="s">
        <v>366</v>
      </c>
      <c r="KMJ324" s="26" t="s">
        <v>366</v>
      </c>
      <c r="KMK324" s="26" t="s">
        <v>366</v>
      </c>
      <c r="KML324" s="26" t="s">
        <v>366</v>
      </c>
      <c r="KMM324" s="26" t="s">
        <v>366</v>
      </c>
      <c r="KMN324" s="26" t="s">
        <v>366</v>
      </c>
      <c r="KMO324" s="26" t="s">
        <v>366</v>
      </c>
      <c r="KMP324" s="26" t="s">
        <v>366</v>
      </c>
      <c r="KMQ324" s="26" t="s">
        <v>366</v>
      </c>
      <c r="KMR324" s="26" t="s">
        <v>366</v>
      </c>
      <c r="KMS324" s="26" t="s">
        <v>366</v>
      </c>
      <c r="KMT324" s="26" t="s">
        <v>366</v>
      </c>
      <c r="KMU324" s="26" t="s">
        <v>366</v>
      </c>
      <c r="KMV324" s="26" t="s">
        <v>366</v>
      </c>
      <c r="KMW324" s="26" t="s">
        <v>366</v>
      </c>
      <c r="KMX324" s="26" t="s">
        <v>366</v>
      </c>
      <c r="KMY324" s="26" t="s">
        <v>366</v>
      </c>
      <c r="KMZ324" s="26" t="s">
        <v>366</v>
      </c>
      <c r="KNA324" s="26" t="s">
        <v>366</v>
      </c>
      <c r="KNB324" s="26" t="s">
        <v>366</v>
      </c>
      <c r="KNC324" s="26" t="s">
        <v>366</v>
      </c>
      <c r="KND324" s="26" t="s">
        <v>366</v>
      </c>
      <c r="KNE324" s="26" t="s">
        <v>366</v>
      </c>
      <c r="KNF324" s="26" t="s">
        <v>366</v>
      </c>
      <c r="KNG324" s="26" t="s">
        <v>366</v>
      </c>
      <c r="KNH324" s="26" t="s">
        <v>366</v>
      </c>
      <c r="KNI324" s="26" t="s">
        <v>366</v>
      </c>
      <c r="KNJ324" s="26" t="s">
        <v>366</v>
      </c>
      <c r="KNK324" s="26" t="s">
        <v>366</v>
      </c>
      <c r="KNL324" s="26" t="s">
        <v>366</v>
      </c>
      <c r="KNM324" s="26" t="s">
        <v>366</v>
      </c>
      <c r="KNN324" s="26" t="s">
        <v>366</v>
      </c>
      <c r="KNO324" s="26" t="s">
        <v>366</v>
      </c>
      <c r="KNP324" s="26" t="s">
        <v>366</v>
      </c>
      <c r="KNQ324" s="26" t="s">
        <v>366</v>
      </c>
      <c r="KNR324" s="26" t="s">
        <v>366</v>
      </c>
      <c r="KNS324" s="26" t="s">
        <v>366</v>
      </c>
      <c r="KNT324" s="26" t="s">
        <v>366</v>
      </c>
      <c r="KNU324" s="26" t="s">
        <v>366</v>
      </c>
      <c r="KNV324" s="26" t="s">
        <v>366</v>
      </c>
      <c r="KNW324" s="26" t="s">
        <v>366</v>
      </c>
      <c r="KNX324" s="26" t="s">
        <v>366</v>
      </c>
      <c r="KNY324" s="26" t="s">
        <v>366</v>
      </c>
      <c r="KNZ324" s="26" t="s">
        <v>366</v>
      </c>
      <c r="KOA324" s="26" t="s">
        <v>366</v>
      </c>
      <c r="KOB324" s="26" t="s">
        <v>366</v>
      </c>
      <c r="KOC324" s="26" t="s">
        <v>366</v>
      </c>
      <c r="KOD324" s="26" t="s">
        <v>366</v>
      </c>
      <c r="KOE324" s="26" t="s">
        <v>366</v>
      </c>
      <c r="KOF324" s="26" t="s">
        <v>366</v>
      </c>
      <c r="KOG324" s="26" t="s">
        <v>366</v>
      </c>
      <c r="KOH324" s="26" t="s">
        <v>366</v>
      </c>
      <c r="KOI324" s="26" t="s">
        <v>366</v>
      </c>
      <c r="KOJ324" s="26" t="s">
        <v>366</v>
      </c>
      <c r="KOK324" s="26" t="s">
        <v>366</v>
      </c>
      <c r="KOL324" s="26" t="s">
        <v>366</v>
      </c>
      <c r="KOM324" s="26" t="s">
        <v>366</v>
      </c>
      <c r="KON324" s="26" t="s">
        <v>366</v>
      </c>
      <c r="KOO324" s="26" t="s">
        <v>366</v>
      </c>
      <c r="KOP324" s="26" t="s">
        <v>366</v>
      </c>
      <c r="KOQ324" s="26" t="s">
        <v>366</v>
      </c>
      <c r="KOR324" s="26" t="s">
        <v>366</v>
      </c>
      <c r="KOS324" s="26" t="s">
        <v>366</v>
      </c>
      <c r="KOT324" s="26" t="s">
        <v>366</v>
      </c>
      <c r="KOU324" s="26" t="s">
        <v>366</v>
      </c>
      <c r="KOV324" s="26" t="s">
        <v>366</v>
      </c>
      <c r="KOW324" s="26" t="s">
        <v>366</v>
      </c>
      <c r="KOX324" s="26" t="s">
        <v>366</v>
      </c>
      <c r="KOY324" s="26" t="s">
        <v>366</v>
      </c>
      <c r="KOZ324" s="26" t="s">
        <v>366</v>
      </c>
      <c r="KPA324" s="26" t="s">
        <v>366</v>
      </c>
      <c r="KPB324" s="26" t="s">
        <v>366</v>
      </c>
      <c r="KPC324" s="26" t="s">
        <v>366</v>
      </c>
      <c r="KPD324" s="26" t="s">
        <v>366</v>
      </c>
      <c r="KPE324" s="26" t="s">
        <v>366</v>
      </c>
      <c r="KPF324" s="26" t="s">
        <v>366</v>
      </c>
      <c r="KPG324" s="26" t="s">
        <v>366</v>
      </c>
      <c r="KPH324" s="26" t="s">
        <v>366</v>
      </c>
      <c r="KPI324" s="26" t="s">
        <v>366</v>
      </c>
      <c r="KPJ324" s="26" t="s">
        <v>366</v>
      </c>
      <c r="KPK324" s="26" t="s">
        <v>366</v>
      </c>
      <c r="KPL324" s="26" t="s">
        <v>366</v>
      </c>
      <c r="KPM324" s="26" t="s">
        <v>366</v>
      </c>
      <c r="KPN324" s="26" t="s">
        <v>366</v>
      </c>
      <c r="KPO324" s="26" t="s">
        <v>366</v>
      </c>
      <c r="KPP324" s="26" t="s">
        <v>366</v>
      </c>
      <c r="KPQ324" s="26" t="s">
        <v>366</v>
      </c>
      <c r="KPR324" s="26" t="s">
        <v>366</v>
      </c>
      <c r="KPS324" s="26" t="s">
        <v>366</v>
      </c>
      <c r="KPT324" s="26" t="s">
        <v>366</v>
      </c>
      <c r="KPU324" s="26" t="s">
        <v>366</v>
      </c>
      <c r="KPV324" s="26" t="s">
        <v>366</v>
      </c>
      <c r="KPW324" s="26" t="s">
        <v>366</v>
      </c>
      <c r="KPX324" s="26" t="s">
        <v>366</v>
      </c>
      <c r="KPY324" s="26" t="s">
        <v>366</v>
      </c>
      <c r="KPZ324" s="26" t="s">
        <v>366</v>
      </c>
      <c r="KQA324" s="26" t="s">
        <v>366</v>
      </c>
      <c r="KQB324" s="26" t="s">
        <v>366</v>
      </c>
      <c r="KQC324" s="26" t="s">
        <v>366</v>
      </c>
      <c r="KQD324" s="26" t="s">
        <v>366</v>
      </c>
      <c r="KQE324" s="26" t="s">
        <v>366</v>
      </c>
      <c r="KQF324" s="26" t="s">
        <v>366</v>
      </c>
      <c r="KQG324" s="26" t="s">
        <v>366</v>
      </c>
      <c r="KQH324" s="26" t="s">
        <v>366</v>
      </c>
      <c r="KQI324" s="26" t="s">
        <v>366</v>
      </c>
      <c r="KQJ324" s="26" t="s">
        <v>366</v>
      </c>
      <c r="KQK324" s="26" t="s">
        <v>366</v>
      </c>
      <c r="KQL324" s="26" t="s">
        <v>366</v>
      </c>
      <c r="KQM324" s="26" t="s">
        <v>366</v>
      </c>
      <c r="KQN324" s="26" t="s">
        <v>366</v>
      </c>
      <c r="KQO324" s="26" t="s">
        <v>366</v>
      </c>
      <c r="KQP324" s="26" t="s">
        <v>366</v>
      </c>
      <c r="KQQ324" s="26" t="s">
        <v>366</v>
      </c>
      <c r="KQR324" s="26" t="s">
        <v>366</v>
      </c>
      <c r="KQS324" s="26" t="s">
        <v>366</v>
      </c>
      <c r="KQT324" s="26" t="s">
        <v>366</v>
      </c>
      <c r="KQU324" s="26" t="s">
        <v>366</v>
      </c>
      <c r="KQV324" s="26" t="s">
        <v>366</v>
      </c>
      <c r="KQW324" s="26" t="s">
        <v>366</v>
      </c>
      <c r="KQX324" s="26" t="s">
        <v>366</v>
      </c>
      <c r="KQY324" s="26" t="s">
        <v>366</v>
      </c>
      <c r="KQZ324" s="26" t="s">
        <v>366</v>
      </c>
      <c r="KRA324" s="26" t="s">
        <v>366</v>
      </c>
      <c r="KRB324" s="26" t="s">
        <v>366</v>
      </c>
      <c r="KRC324" s="26" t="s">
        <v>366</v>
      </c>
      <c r="KRD324" s="26" t="s">
        <v>366</v>
      </c>
      <c r="KRE324" s="26" t="s">
        <v>366</v>
      </c>
      <c r="KRF324" s="26" t="s">
        <v>366</v>
      </c>
      <c r="KRG324" s="26" t="s">
        <v>366</v>
      </c>
      <c r="KRH324" s="26" t="s">
        <v>366</v>
      </c>
      <c r="KRI324" s="26" t="s">
        <v>366</v>
      </c>
      <c r="KRJ324" s="26" t="s">
        <v>366</v>
      </c>
      <c r="KRK324" s="26" t="s">
        <v>366</v>
      </c>
      <c r="KRL324" s="26" t="s">
        <v>366</v>
      </c>
      <c r="KRM324" s="26" t="s">
        <v>366</v>
      </c>
      <c r="KRN324" s="26" t="s">
        <v>366</v>
      </c>
      <c r="KRO324" s="26" t="s">
        <v>366</v>
      </c>
      <c r="KRP324" s="26" t="s">
        <v>366</v>
      </c>
      <c r="KRQ324" s="26" t="s">
        <v>366</v>
      </c>
      <c r="KRR324" s="26" t="s">
        <v>366</v>
      </c>
      <c r="KRS324" s="26" t="s">
        <v>366</v>
      </c>
      <c r="KRT324" s="26" t="s">
        <v>366</v>
      </c>
      <c r="KRU324" s="26" t="s">
        <v>366</v>
      </c>
      <c r="KRV324" s="26" t="s">
        <v>366</v>
      </c>
      <c r="KRW324" s="26" t="s">
        <v>366</v>
      </c>
      <c r="KRX324" s="26" t="s">
        <v>366</v>
      </c>
      <c r="KRY324" s="26" t="s">
        <v>366</v>
      </c>
      <c r="KRZ324" s="26" t="s">
        <v>366</v>
      </c>
      <c r="KSA324" s="26" t="s">
        <v>366</v>
      </c>
      <c r="KSB324" s="26" t="s">
        <v>366</v>
      </c>
      <c r="KSC324" s="26" t="s">
        <v>366</v>
      </c>
      <c r="KSD324" s="26" t="s">
        <v>366</v>
      </c>
      <c r="KSE324" s="26" t="s">
        <v>366</v>
      </c>
      <c r="KSF324" s="26" t="s">
        <v>366</v>
      </c>
      <c r="KSG324" s="26" t="s">
        <v>366</v>
      </c>
      <c r="KSH324" s="26" t="s">
        <v>366</v>
      </c>
      <c r="KSI324" s="26" t="s">
        <v>366</v>
      </c>
      <c r="KSJ324" s="26" t="s">
        <v>366</v>
      </c>
      <c r="KSK324" s="26" t="s">
        <v>366</v>
      </c>
      <c r="KSL324" s="26" t="s">
        <v>366</v>
      </c>
      <c r="KSM324" s="26" t="s">
        <v>366</v>
      </c>
      <c r="KSN324" s="26" t="s">
        <v>366</v>
      </c>
      <c r="KSO324" s="26" t="s">
        <v>366</v>
      </c>
      <c r="KSP324" s="26" t="s">
        <v>366</v>
      </c>
      <c r="KSQ324" s="26" t="s">
        <v>366</v>
      </c>
      <c r="KSR324" s="26" t="s">
        <v>366</v>
      </c>
      <c r="KSS324" s="26" t="s">
        <v>366</v>
      </c>
      <c r="KST324" s="26" t="s">
        <v>366</v>
      </c>
      <c r="KSU324" s="26" t="s">
        <v>366</v>
      </c>
      <c r="KSV324" s="26" t="s">
        <v>366</v>
      </c>
      <c r="KSW324" s="26" t="s">
        <v>366</v>
      </c>
      <c r="KSX324" s="26" t="s">
        <v>366</v>
      </c>
      <c r="KSY324" s="26" t="s">
        <v>366</v>
      </c>
      <c r="KSZ324" s="26" t="s">
        <v>366</v>
      </c>
      <c r="KTA324" s="26" t="s">
        <v>366</v>
      </c>
      <c r="KTB324" s="26" t="s">
        <v>366</v>
      </c>
      <c r="KTC324" s="26" t="s">
        <v>366</v>
      </c>
      <c r="KTD324" s="26" t="s">
        <v>366</v>
      </c>
      <c r="KTE324" s="26" t="s">
        <v>366</v>
      </c>
      <c r="KTF324" s="26" t="s">
        <v>366</v>
      </c>
      <c r="KTG324" s="26" t="s">
        <v>366</v>
      </c>
      <c r="KTH324" s="26" t="s">
        <v>366</v>
      </c>
      <c r="KTI324" s="26" t="s">
        <v>366</v>
      </c>
      <c r="KTJ324" s="26" t="s">
        <v>366</v>
      </c>
      <c r="KTK324" s="26" t="s">
        <v>366</v>
      </c>
      <c r="KTL324" s="26" t="s">
        <v>366</v>
      </c>
      <c r="KTM324" s="26" t="s">
        <v>366</v>
      </c>
      <c r="KTN324" s="26" t="s">
        <v>366</v>
      </c>
      <c r="KTO324" s="26" t="s">
        <v>366</v>
      </c>
      <c r="KTP324" s="26" t="s">
        <v>366</v>
      </c>
      <c r="KTQ324" s="26" t="s">
        <v>366</v>
      </c>
      <c r="KTR324" s="26" t="s">
        <v>366</v>
      </c>
      <c r="KTS324" s="26" t="s">
        <v>366</v>
      </c>
      <c r="KTT324" s="26" t="s">
        <v>366</v>
      </c>
      <c r="KTU324" s="26" t="s">
        <v>366</v>
      </c>
      <c r="KTV324" s="26" t="s">
        <v>366</v>
      </c>
      <c r="KTW324" s="26" t="s">
        <v>366</v>
      </c>
      <c r="KTX324" s="26" t="s">
        <v>366</v>
      </c>
      <c r="KTY324" s="26" t="s">
        <v>366</v>
      </c>
      <c r="KTZ324" s="26" t="s">
        <v>366</v>
      </c>
      <c r="KUA324" s="26" t="s">
        <v>366</v>
      </c>
      <c r="KUB324" s="26" t="s">
        <v>366</v>
      </c>
      <c r="KUC324" s="26" t="s">
        <v>366</v>
      </c>
      <c r="KUD324" s="26" t="s">
        <v>366</v>
      </c>
      <c r="KUE324" s="26" t="s">
        <v>366</v>
      </c>
      <c r="KUF324" s="26" t="s">
        <v>366</v>
      </c>
      <c r="KUG324" s="26" t="s">
        <v>366</v>
      </c>
      <c r="KUH324" s="26" t="s">
        <v>366</v>
      </c>
      <c r="KUI324" s="26" t="s">
        <v>366</v>
      </c>
      <c r="KUJ324" s="26" t="s">
        <v>366</v>
      </c>
      <c r="KUK324" s="26" t="s">
        <v>366</v>
      </c>
      <c r="KUL324" s="26" t="s">
        <v>366</v>
      </c>
      <c r="KUM324" s="26" t="s">
        <v>366</v>
      </c>
      <c r="KUN324" s="26" t="s">
        <v>366</v>
      </c>
      <c r="KUO324" s="26" t="s">
        <v>366</v>
      </c>
      <c r="KUP324" s="26" t="s">
        <v>366</v>
      </c>
      <c r="KUQ324" s="26" t="s">
        <v>366</v>
      </c>
      <c r="KUR324" s="26" t="s">
        <v>366</v>
      </c>
      <c r="KUS324" s="26" t="s">
        <v>366</v>
      </c>
      <c r="KUT324" s="26" t="s">
        <v>366</v>
      </c>
      <c r="KUU324" s="26" t="s">
        <v>366</v>
      </c>
      <c r="KUV324" s="26" t="s">
        <v>366</v>
      </c>
      <c r="KUW324" s="26" t="s">
        <v>366</v>
      </c>
      <c r="KUX324" s="26" t="s">
        <v>366</v>
      </c>
      <c r="KUY324" s="26" t="s">
        <v>366</v>
      </c>
      <c r="KUZ324" s="26" t="s">
        <v>366</v>
      </c>
      <c r="KVA324" s="26" t="s">
        <v>366</v>
      </c>
      <c r="KVB324" s="26" t="s">
        <v>366</v>
      </c>
      <c r="KVC324" s="26" t="s">
        <v>366</v>
      </c>
      <c r="KVD324" s="26" t="s">
        <v>366</v>
      </c>
      <c r="KVE324" s="26" t="s">
        <v>366</v>
      </c>
      <c r="KVF324" s="26" t="s">
        <v>366</v>
      </c>
      <c r="KVG324" s="26" t="s">
        <v>366</v>
      </c>
      <c r="KVH324" s="26" t="s">
        <v>366</v>
      </c>
      <c r="KVI324" s="26" t="s">
        <v>366</v>
      </c>
      <c r="KVJ324" s="26" t="s">
        <v>366</v>
      </c>
      <c r="KVK324" s="26" t="s">
        <v>366</v>
      </c>
      <c r="KVL324" s="26" t="s">
        <v>366</v>
      </c>
      <c r="KVM324" s="26" t="s">
        <v>366</v>
      </c>
      <c r="KVN324" s="26" t="s">
        <v>366</v>
      </c>
      <c r="KVO324" s="26" t="s">
        <v>366</v>
      </c>
      <c r="KVP324" s="26" t="s">
        <v>366</v>
      </c>
      <c r="KVQ324" s="26" t="s">
        <v>366</v>
      </c>
      <c r="KVR324" s="26" t="s">
        <v>366</v>
      </c>
      <c r="KVS324" s="26" t="s">
        <v>366</v>
      </c>
      <c r="KVT324" s="26" t="s">
        <v>366</v>
      </c>
      <c r="KVU324" s="26" t="s">
        <v>366</v>
      </c>
      <c r="KVV324" s="26" t="s">
        <v>366</v>
      </c>
      <c r="KVW324" s="26" t="s">
        <v>366</v>
      </c>
      <c r="KVX324" s="26" t="s">
        <v>366</v>
      </c>
      <c r="KVY324" s="26" t="s">
        <v>366</v>
      </c>
      <c r="KVZ324" s="26" t="s">
        <v>366</v>
      </c>
      <c r="KWA324" s="26" t="s">
        <v>366</v>
      </c>
      <c r="KWB324" s="26" t="s">
        <v>366</v>
      </c>
      <c r="KWC324" s="26" t="s">
        <v>366</v>
      </c>
      <c r="KWD324" s="26" t="s">
        <v>366</v>
      </c>
      <c r="KWE324" s="26" t="s">
        <v>366</v>
      </c>
      <c r="KWF324" s="26" t="s">
        <v>366</v>
      </c>
      <c r="KWG324" s="26" t="s">
        <v>366</v>
      </c>
      <c r="KWH324" s="26" t="s">
        <v>366</v>
      </c>
      <c r="KWI324" s="26" t="s">
        <v>366</v>
      </c>
      <c r="KWJ324" s="26" t="s">
        <v>366</v>
      </c>
      <c r="KWK324" s="26" t="s">
        <v>366</v>
      </c>
      <c r="KWL324" s="26" t="s">
        <v>366</v>
      </c>
      <c r="KWM324" s="26" t="s">
        <v>366</v>
      </c>
      <c r="KWN324" s="26" t="s">
        <v>366</v>
      </c>
      <c r="KWO324" s="26" t="s">
        <v>366</v>
      </c>
      <c r="KWP324" s="26" t="s">
        <v>366</v>
      </c>
      <c r="KWQ324" s="26" t="s">
        <v>366</v>
      </c>
      <c r="KWR324" s="26" t="s">
        <v>366</v>
      </c>
      <c r="KWS324" s="26" t="s">
        <v>366</v>
      </c>
      <c r="KWT324" s="26" t="s">
        <v>366</v>
      </c>
      <c r="KWU324" s="26" t="s">
        <v>366</v>
      </c>
      <c r="KWV324" s="26" t="s">
        <v>366</v>
      </c>
      <c r="KWW324" s="26" t="s">
        <v>366</v>
      </c>
      <c r="KWX324" s="26" t="s">
        <v>366</v>
      </c>
      <c r="KWY324" s="26" t="s">
        <v>366</v>
      </c>
      <c r="KWZ324" s="26" t="s">
        <v>366</v>
      </c>
      <c r="KXA324" s="26" t="s">
        <v>366</v>
      </c>
      <c r="KXB324" s="26" t="s">
        <v>366</v>
      </c>
      <c r="KXC324" s="26" t="s">
        <v>366</v>
      </c>
      <c r="KXD324" s="26" t="s">
        <v>366</v>
      </c>
      <c r="KXE324" s="26" t="s">
        <v>366</v>
      </c>
      <c r="KXF324" s="26" t="s">
        <v>366</v>
      </c>
      <c r="KXG324" s="26" t="s">
        <v>366</v>
      </c>
      <c r="KXH324" s="26" t="s">
        <v>366</v>
      </c>
      <c r="KXI324" s="26" t="s">
        <v>366</v>
      </c>
      <c r="KXJ324" s="26" t="s">
        <v>366</v>
      </c>
      <c r="KXK324" s="26" t="s">
        <v>366</v>
      </c>
      <c r="KXL324" s="26" t="s">
        <v>366</v>
      </c>
      <c r="KXM324" s="26" t="s">
        <v>366</v>
      </c>
      <c r="KXN324" s="26" t="s">
        <v>366</v>
      </c>
      <c r="KXO324" s="26" t="s">
        <v>366</v>
      </c>
      <c r="KXP324" s="26" t="s">
        <v>366</v>
      </c>
      <c r="KXQ324" s="26" t="s">
        <v>366</v>
      </c>
      <c r="KXR324" s="26" t="s">
        <v>366</v>
      </c>
      <c r="KXS324" s="26" t="s">
        <v>366</v>
      </c>
      <c r="KXT324" s="26" t="s">
        <v>366</v>
      </c>
      <c r="KXU324" s="26" t="s">
        <v>366</v>
      </c>
      <c r="KXV324" s="26" t="s">
        <v>366</v>
      </c>
      <c r="KXW324" s="26" t="s">
        <v>366</v>
      </c>
      <c r="KXX324" s="26" t="s">
        <v>366</v>
      </c>
      <c r="KXY324" s="26" t="s">
        <v>366</v>
      </c>
      <c r="KXZ324" s="26" t="s">
        <v>366</v>
      </c>
      <c r="KYA324" s="26" t="s">
        <v>366</v>
      </c>
      <c r="KYB324" s="26" t="s">
        <v>366</v>
      </c>
      <c r="KYC324" s="26" t="s">
        <v>366</v>
      </c>
      <c r="KYD324" s="26" t="s">
        <v>366</v>
      </c>
      <c r="KYE324" s="26" t="s">
        <v>366</v>
      </c>
      <c r="KYF324" s="26" t="s">
        <v>366</v>
      </c>
      <c r="KYG324" s="26" t="s">
        <v>366</v>
      </c>
      <c r="KYH324" s="26" t="s">
        <v>366</v>
      </c>
      <c r="KYI324" s="26" t="s">
        <v>366</v>
      </c>
      <c r="KYJ324" s="26" t="s">
        <v>366</v>
      </c>
      <c r="KYK324" s="26" t="s">
        <v>366</v>
      </c>
      <c r="KYL324" s="26" t="s">
        <v>366</v>
      </c>
      <c r="KYM324" s="26" t="s">
        <v>366</v>
      </c>
      <c r="KYN324" s="26" t="s">
        <v>366</v>
      </c>
      <c r="KYO324" s="26" t="s">
        <v>366</v>
      </c>
      <c r="KYP324" s="26" t="s">
        <v>366</v>
      </c>
      <c r="KYQ324" s="26" t="s">
        <v>366</v>
      </c>
      <c r="KYR324" s="26" t="s">
        <v>366</v>
      </c>
      <c r="KYS324" s="26" t="s">
        <v>366</v>
      </c>
      <c r="KYT324" s="26" t="s">
        <v>366</v>
      </c>
      <c r="KYU324" s="26" t="s">
        <v>366</v>
      </c>
      <c r="KYV324" s="26" t="s">
        <v>366</v>
      </c>
      <c r="KYW324" s="26" t="s">
        <v>366</v>
      </c>
      <c r="KYX324" s="26" t="s">
        <v>366</v>
      </c>
      <c r="KYY324" s="26" t="s">
        <v>366</v>
      </c>
      <c r="KYZ324" s="26" t="s">
        <v>366</v>
      </c>
      <c r="KZA324" s="26" t="s">
        <v>366</v>
      </c>
      <c r="KZB324" s="26" t="s">
        <v>366</v>
      </c>
      <c r="KZC324" s="26" t="s">
        <v>366</v>
      </c>
      <c r="KZD324" s="26" t="s">
        <v>366</v>
      </c>
      <c r="KZE324" s="26" t="s">
        <v>366</v>
      </c>
      <c r="KZF324" s="26" t="s">
        <v>366</v>
      </c>
      <c r="KZG324" s="26" t="s">
        <v>366</v>
      </c>
      <c r="KZH324" s="26" t="s">
        <v>366</v>
      </c>
      <c r="KZI324" s="26" t="s">
        <v>366</v>
      </c>
      <c r="KZJ324" s="26" t="s">
        <v>366</v>
      </c>
      <c r="KZK324" s="26" t="s">
        <v>366</v>
      </c>
      <c r="KZL324" s="26" t="s">
        <v>366</v>
      </c>
      <c r="KZM324" s="26" t="s">
        <v>366</v>
      </c>
      <c r="KZN324" s="26" t="s">
        <v>366</v>
      </c>
      <c r="KZO324" s="26" t="s">
        <v>366</v>
      </c>
      <c r="KZP324" s="26" t="s">
        <v>366</v>
      </c>
      <c r="KZQ324" s="26" t="s">
        <v>366</v>
      </c>
      <c r="KZR324" s="26" t="s">
        <v>366</v>
      </c>
      <c r="KZS324" s="26" t="s">
        <v>366</v>
      </c>
      <c r="KZT324" s="26" t="s">
        <v>366</v>
      </c>
      <c r="KZU324" s="26" t="s">
        <v>366</v>
      </c>
      <c r="KZV324" s="26" t="s">
        <v>366</v>
      </c>
      <c r="KZW324" s="26" t="s">
        <v>366</v>
      </c>
      <c r="KZX324" s="26" t="s">
        <v>366</v>
      </c>
      <c r="KZY324" s="26" t="s">
        <v>366</v>
      </c>
      <c r="KZZ324" s="26" t="s">
        <v>366</v>
      </c>
      <c r="LAA324" s="26" t="s">
        <v>366</v>
      </c>
      <c r="LAB324" s="26" t="s">
        <v>366</v>
      </c>
      <c r="LAC324" s="26" t="s">
        <v>366</v>
      </c>
      <c r="LAD324" s="26" t="s">
        <v>366</v>
      </c>
      <c r="LAE324" s="26" t="s">
        <v>366</v>
      </c>
      <c r="LAF324" s="26" t="s">
        <v>366</v>
      </c>
      <c r="LAG324" s="26" t="s">
        <v>366</v>
      </c>
      <c r="LAH324" s="26" t="s">
        <v>366</v>
      </c>
      <c r="LAI324" s="26" t="s">
        <v>366</v>
      </c>
      <c r="LAJ324" s="26" t="s">
        <v>366</v>
      </c>
      <c r="LAK324" s="26" t="s">
        <v>366</v>
      </c>
      <c r="LAL324" s="26" t="s">
        <v>366</v>
      </c>
      <c r="LAM324" s="26" t="s">
        <v>366</v>
      </c>
      <c r="LAN324" s="26" t="s">
        <v>366</v>
      </c>
      <c r="LAO324" s="26" t="s">
        <v>366</v>
      </c>
      <c r="LAP324" s="26" t="s">
        <v>366</v>
      </c>
      <c r="LAQ324" s="26" t="s">
        <v>366</v>
      </c>
      <c r="LAR324" s="26" t="s">
        <v>366</v>
      </c>
      <c r="LAS324" s="26" t="s">
        <v>366</v>
      </c>
      <c r="LAT324" s="26" t="s">
        <v>366</v>
      </c>
      <c r="LAU324" s="26" t="s">
        <v>366</v>
      </c>
      <c r="LAV324" s="26" t="s">
        <v>366</v>
      </c>
      <c r="LAW324" s="26" t="s">
        <v>366</v>
      </c>
      <c r="LAX324" s="26" t="s">
        <v>366</v>
      </c>
      <c r="LAY324" s="26" t="s">
        <v>366</v>
      </c>
      <c r="LAZ324" s="26" t="s">
        <v>366</v>
      </c>
      <c r="LBA324" s="26" t="s">
        <v>366</v>
      </c>
      <c r="LBB324" s="26" t="s">
        <v>366</v>
      </c>
      <c r="LBC324" s="26" t="s">
        <v>366</v>
      </c>
      <c r="LBD324" s="26" t="s">
        <v>366</v>
      </c>
      <c r="LBE324" s="26" t="s">
        <v>366</v>
      </c>
      <c r="LBF324" s="26" t="s">
        <v>366</v>
      </c>
      <c r="LBG324" s="26" t="s">
        <v>366</v>
      </c>
      <c r="LBH324" s="26" t="s">
        <v>366</v>
      </c>
      <c r="LBI324" s="26" t="s">
        <v>366</v>
      </c>
      <c r="LBJ324" s="26" t="s">
        <v>366</v>
      </c>
      <c r="LBK324" s="26" t="s">
        <v>366</v>
      </c>
      <c r="LBL324" s="26" t="s">
        <v>366</v>
      </c>
      <c r="LBM324" s="26" t="s">
        <v>366</v>
      </c>
      <c r="LBN324" s="26" t="s">
        <v>366</v>
      </c>
      <c r="LBO324" s="26" t="s">
        <v>366</v>
      </c>
      <c r="LBP324" s="26" t="s">
        <v>366</v>
      </c>
      <c r="LBQ324" s="26" t="s">
        <v>366</v>
      </c>
      <c r="LBR324" s="26" t="s">
        <v>366</v>
      </c>
      <c r="LBS324" s="26" t="s">
        <v>366</v>
      </c>
      <c r="LBT324" s="26" t="s">
        <v>366</v>
      </c>
      <c r="LBU324" s="26" t="s">
        <v>366</v>
      </c>
      <c r="LBV324" s="26" t="s">
        <v>366</v>
      </c>
      <c r="LBW324" s="26" t="s">
        <v>366</v>
      </c>
      <c r="LBX324" s="26" t="s">
        <v>366</v>
      </c>
      <c r="LBY324" s="26" t="s">
        <v>366</v>
      </c>
      <c r="LBZ324" s="26" t="s">
        <v>366</v>
      </c>
      <c r="LCA324" s="26" t="s">
        <v>366</v>
      </c>
      <c r="LCB324" s="26" t="s">
        <v>366</v>
      </c>
      <c r="LCC324" s="26" t="s">
        <v>366</v>
      </c>
      <c r="LCD324" s="26" t="s">
        <v>366</v>
      </c>
      <c r="LCE324" s="26" t="s">
        <v>366</v>
      </c>
      <c r="LCF324" s="26" t="s">
        <v>366</v>
      </c>
      <c r="LCG324" s="26" t="s">
        <v>366</v>
      </c>
      <c r="LCH324" s="26" t="s">
        <v>366</v>
      </c>
      <c r="LCI324" s="26" t="s">
        <v>366</v>
      </c>
      <c r="LCJ324" s="26" t="s">
        <v>366</v>
      </c>
      <c r="LCK324" s="26" t="s">
        <v>366</v>
      </c>
      <c r="LCL324" s="26" t="s">
        <v>366</v>
      </c>
      <c r="LCM324" s="26" t="s">
        <v>366</v>
      </c>
      <c r="LCN324" s="26" t="s">
        <v>366</v>
      </c>
      <c r="LCO324" s="26" t="s">
        <v>366</v>
      </c>
      <c r="LCP324" s="26" t="s">
        <v>366</v>
      </c>
      <c r="LCQ324" s="26" t="s">
        <v>366</v>
      </c>
      <c r="LCR324" s="26" t="s">
        <v>366</v>
      </c>
      <c r="LCS324" s="26" t="s">
        <v>366</v>
      </c>
      <c r="LCT324" s="26" t="s">
        <v>366</v>
      </c>
      <c r="LCU324" s="26" t="s">
        <v>366</v>
      </c>
      <c r="LCV324" s="26" t="s">
        <v>366</v>
      </c>
      <c r="LCW324" s="26" t="s">
        <v>366</v>
      </c>
      <c r="LCX324" s="26" t="s">
        <v>366</v>
      </c>
      <c r="LCY324" s="26" t="s">
        <v>366</v>
      </c>
      <c r="LCZ324" s="26" t="s">
        <v>366</v>
      </c>
      <c r="LDA324" s="26" t="s">
        <v>366</v>
      </c>
      <c r="LDB324" s="26" t="s">
        <v>366</v>
      </c>
      <c r="LDC324" s="26" t="s">
        <v>366</v>
      </c>
      <c r="LDD324" s="26" t="s">
        <v>366</v>
      </c>
      <c r="LDE324" s="26" t="s">
        <v>366</v>
      </c>
      <c r="LDF324" s="26" t="s">
        <v>366</v>
      </c>
      <c r="LDG324" s="26" t="s">
        <v>366</v>
      </c>
      <c r="LDH324" s="26" t="s">
        <v>366</v>
      </c>
      <c r="LDI324" s="26" t="s">
        <v>366</v>
      </c>
      <c r="LDJ324" s="26" t="s">
        <v>366</v>
      </c>
      <c r="LDK324" s="26" t="s">
        <v>366</v>
      </c>
      <c r="LDL324" s="26" t="s">
        <v>366</v>
      </c>
      <c r="LDM324" s="26" t="s">
        <v>366</v>
      </c>
      <c r="LDN324" s="26" t="s">
        <v>366</v>
      </c>
      <c r="LDO324" s="26" t="s">
        <v>366</v>
      </c>
      <c r="LDP324" s="26" t="s">
        <v>366</v>
      </c>
      <c r="LDQ324" s="26" t="s">
        <v>366</v>
      </c>
      <c r="LDR324" s="26" t="s">
        <v>366</v>
      </c>
      <c r="LDS324" s="26" t="s">
        <v>366</v>
      </c>
      <c r="LDT324" s="26" t="s">
        <v>366</v>
      </c>
      <c r="LDU324" s="26" t="s">
        <v>366</v>
      </c>
      <c r="LDV324" s="26" t="s">
        <v>366</v>
      </c>
      <c r="LDW324" s="26" t="s">
        <v>366</v>
      </c>
      <c r="LDX324" s="26" t="s">
        <v>366</v>
      </c>
      <c r="LDY324" s="26" t="s">
        <v>366</v>
      </c>
      <c r="LDZ324" s="26" t="s">
        <v>366</v>
      </c>
      <c r="LEA324" s="26" t="s">
        <v>366</v>
      </c>
      <c r="LEB324" s="26" t="s">
        <v>366</v>
      </c>
      <c r="LEC324" s="26" t="s">
        <v>366</v>
      </c>
      <c r="LED324" s="26" t="s">
        <v>366</v>
      </c>
      <c r="LEE324" s="26" t="s">
        <v>366</v>
      </c>
      <c r="LEF324" s="26" t="s">
        <v>366</v>
      </c>
      <c r="LEG324" s="26" t="s">
        <v>366</v>
      </c>
      <c r="LEH324" s="26" t="s">
        <v>366</v>
      </c>
      <c r="LEI324" s="26" t="s">
        <v>366</v>
      </c>
      <c r="LEJ324" s="26" t="s">
        <v>366</v>
      </c>
      <c r="LEK324" s="26" t="s">
        <v>366</v>
      </c>
      <c r="LEL324" s="26" t="s">
        <v>366</v>
      </c>
      <c r="LEM324" s="26" t="s">
        <v>366</v>
      </c>
      <c r="LEN324" s="26" t="s">
        <v>366</v>
      </c>
      <c r="LEO324" s="26" t="s">
        <v>366</v>
      </c>
      <c r="LEP324" s="26" t="s">
        <v>366</v>
      </c>
      <c r="LEQ324" s="26" t="s">
        <v>366</v>
      </c>
      <c r="LER324" s="26" t="s">
        <v>366</v>
      </c>
      <c r="LES324" s="26" t="s">
        <v>366</v>
      </c>
      <c r="LET324" s="26" t="s">
        <v>366</v>
      </c>
      <c r="LEU324" s="26" t="s">
        <v>366</v>
      </c>
      <c r="LEV324" s="26" t="s">
        <v>366</v>
      </c>
      <c r="LEW324" s="26" t="s">
        <v>366</v>
      </c>
      <c r="LEX324" s="26" t="s">
        <v>366</v>
      </c>
      <c r="LEY324" s="26" t="s">
        <v>366</v>
      </c>
      <c r="LEZ324" s="26" t="s">
        <v>366</v>
      </c>
      <c r="LFA324" s="26" t="s">
        <v>366</v>
      </c>
      <c r="LFB324" s="26" t="s">
        <v>366</v>
      </c>
      <c r="LFC324" s="26" t="s">
        <v>366</v>
      </c>
      <c r="LFD324" s="26" t="s">
        <v>366</v>
      </c>
      <c r="LFE324" s="26" t="s">
        <v>366</v>
      </c>
      <c r="LFF324" s="26" t="s">
        <v>366</v>
      </c>
      <c r="LFG324" s="26" t="s">
        <v>366</v>
      </c>
      <c r="LFH324" s="26" t="s">
        <v>366</v>
      </c>
      <c r="LFI324" s="26" t="s">
        <v>366</v>
      </c>
      <c r="LFJ324" s="26" t="s">
        <v>366</v>
      </c>
      <c r="LFK324" s="26" t="s">
        <v>366</v>
      </c>
      <c r="LFL324" s="26" t="s">
        <v>366</v>
      </c>
      <c r="LFM324" s="26" t="s">
        <v>366</v>
      </c>
      <c r="LFN324" s="26" t="s">
        <v>366</v>
      </c>
      <c r="LFO324" s="26" t="s">
        <v>366</v>
      </c>
      <c r="LFP324" s="26" t="s">
        <v>366</v>
      </c>
      <c r="LFQ324" s="26" t="s">
        <v>366</v>
      </c>
      <c r="LFR324" s="26" t="s">
        <v>366</v>
      </c>
      <c r="LFS324" s="26" t="s">
        <v>366</v>
      </c>
      <c r="LFT324" s="26" t="s">
        <v>366</v>
      </c>
      <c r="LFU324" s="26" t="s">
        <v>366</v>
      </c>
      <c r="LFV324" s="26" t="s">
        <v>366</v>
      </c>
      <c r="LFW324" s="26" t="s">
        <v>366</v>
      </c>
      <c r="LFX324" s="26" t="s">
        <v>366</v>
      </c>
      <c r="LFY324" s="26" t="s">
        <v>366</v>
      </c>
      <c r="LFZ324" s="26" t="s">
        <v>366</v>
      </c>
      <c r="LGA324" s="26" t="s">
        <v>366</v>
      </c>
      <c r="LGB324" s="26" t="s">
        <v>366</v>
      </c>
      <c r="LGC324" s="26" t="s">
        <v>366</v>
      </c>
      <c r="LGD324" s="26" t="s">
        <v>366</v>
      </c>
      <c r="LGE324" s="26" t="s">
        <v>366</v>
      </c>
      <c r="LGF324" s="26" t="s">
        <v>366</v>
      </c>
      <c r="LGG324" s="26" t="s">
        <v>366</v>
      </c>
      <c r="LGH324" s="26" t="s">
        <v>366</v>
      </c>
      <c r="LGI324" s="26" t="s">
        <v>366</v>
      </c>
      <c r="LGJ324" s="26" t="s">
        <v>366</v>
      </c>
      <c r="LGK324" s="26" t="s">
        <v>366</v>
      </c>
      <c r="LGL324" s="26" t="s">
        <v>366</v>
      </c>
      <c r="LGM324" s="26" t="s">
        <v>366</v>
      </c>
      <c r="LGN324" s="26" t="s">
        <v>366</v>
      </c>
      <c r="LGO324" s="26" t="s">
        <v>366</v>
      </c>
      <c r="LGP324" s="26" t="s">
        <v>366</v>
      </c>
      <c r="LGQ324" s="26" t="s">
        <v>366</v>
      </c>
      <c r="LGR324" s="26" t="s">
        <v>366</v>
      </c>
      <c r="LGS324" s="26" t="s">
        <v>366</v>
      </c>
      <c r="LGT324" s="26" t="s">
        <v>366</v>
      </c>
      <c r="LGU324" s="26" t="s">
        <v>366</v>
      </c>
      <c r="LGV324" s="26" t="s">
        <v>366</v>
      </c>
      <c r="LGW324" s="26" t="s">
        <v>366</v>
      </c>
      <c r="LGX324" s="26" t="s">
        <v>366</v>
      </c>
      <c r="LGY324" s="26" t="s">
        <v>366</v>
      </c>
      <c r="LGZ324" s="26" t="s">
        <v>366</v>
      </c>
      <c r="LHA324" s="26" t="s">
        <v>366</v>
      </c>
      <c r="LHB324" s="26" t="s">
        <v>366</v>
      </c>
      <c r="LHC324" s="26" t="s">
        <v>366</v>
      </c>
      <c r="LHD324" s="26" t="s">
        <v>366</v>
      </c>
      <c r="LHE324" s="26" t="s">
        <v>366</v>
      </c>
      <c r="LHF324" s="26" t="s">
        <v>366</v>
      </c>
      <c r="LHG324" s="26" t="s">
        <v>366</v>
      </c>
      <c r="LHH324" s="26" t="s">
        <v>366</v>
      </c>
      <c r="LHI324" s="26" t="s">
        <v>366</v>
      </c>
      <c r="LHJ324" s="26" t="s">
        <v>366</v>
      </c>
      <c r="LHK324" s="26" t="s">
        <v>366</v>
      </c>
      <c r="LHL324" s="26" t="s">
        <v>366</v>
      </c>
      <c r="LHM324" s="26" t="s">
        <v>366</v>
      </c>
      <c r="LHN324" s="26" t="s">
        <v>366</v>
      </c>
      <c r="LHO324" s="26" t="s">
        <v>366</v>
      </c>
      <c r="LHP324" s="26" t="s">
        <v>366</v>
      </c>
      <c r="LHQ324" s="26" t="s">
        <v>366</v>
      </c>
      <c r="LHR324" s="26" t="s">
        <v>366</v>
      </c>
      <c r="LHS324" s="26" t="s">
        <v>366</v>
      </c>
      <c r="LHT324" s="26" t="s">
        <v>366</v>
      </c>
      <c r="LHU324" s="26" t="s">
        <v>366</v>
      </c>
      <c r="LHV324" s="26" t="s">
        <v>366</v>
      </c>
      <c r="LHW324" s="26" t="s">
        <v>366</v>
      </c>
      <c r="LHX324" s="26" t="s">
        <v>366</v>
      </c>
      <c r="LHY324" s="26" t="s">
        <v>366</v>
      </c>
      <c r="LHZ324" s="26" t="s">
        <v>366</v>
      </c>
      <c r="LIA324" s="26" t="s">
        <v>366</v>
      </c>
      <c r="LIB324" s="26" t="s">
        <v>366</v>
      </c>
      <c r="LIC324" s="26" t="s">
        <v>366</v>
      </c>
      <c r="LID324" s="26" t="s">
        <v>366</v>
      </c>
      <c r="LIE324" s="26" t="s">
        <v>366</v>
      </c>
      <c r="LIF324" s="26" t="s">
        <v>366</v>
      </c>
      <c r="LIG324" s="26" t="s">
        <v>366</v>
      </c>
      <c r="LIH324" s="26" t="s">
        <v>366</v>
      </c>
      <c r="LII324" s="26" t="s">
        <v>366</v>
      </c>
      <c r="LIJ324" s="26" t="s">
        <v>366</v>
      </c>
      <c r="LIK324" s="26" t="s">
        <v>366</v>
      </c>
      <c r="LIL324" s="26" t="s">
        <v>366</v>
      </c>
      <c r="LIM324" s="26" t="s">
        <v>366</v>
      </c>
      <c r="LIN324" s="26" t="s">
        <v>366</v>
      </c>
      <c r="LIO324" s="26" t="s">
        <v>366</v>
      </c>
      <c r="LIP324" s="26" t="s">
        <v>366</v>
      </c>
      <c r="LIQ324" s="26" t="s">
        <v>366</v>
      </c>
      <c r="LIR324" s="26" t="s">
        <v>366</v>
      </c>
      <c r="LIS324" s="26" t="s">
        <v>366</v>
      </c>
      <c r="LIT324" s="26" t="s">
        <v>366</v>
      </c>
      <c r="LIU324" s="26" t="s">
        <v>366</v>
      </c>
      <c r="LIV324" s="26" t="s">
        <v>366</v>
      </c>
      <c r="LIW324" s="26" t="s">
        <v>366</v>
      </c>
      <c r="LIX324" s="26" t="s">
        <v>366</v>
      </c>
      <c r="LIY324" s="26" t="s">
        <v>366</v>
      </c>
      <c r="LIZ324" s="26" t="s">
        <v>366</v>
      </c>
      <c r="LJA324" s="26" t="s">
        <v>366</v>
      </c>
      <c r="LJB324" s="26" t="s">
        <v>366</v>
      </c>
      <c r="LJC324" s="26" t="s">
        <v>366</v>
      </c>
      <c r="LJD324" s="26" t="s">
        <v>366</v>
      </c>
      <c r="LJE324" s="26" t="s">
        <v>366</v>
      </c>
      <c r="LJF324" s="26" t="s">
        <v>366</v>
      </c>
      <c r="LJG324" s="26" t="s">
        <v>366</v>
      </c>
      <c r="LJH324" s="26" t="s">
        <v>366</v>
      </c>
      <c r="LJI324" s="26" t="s">
        <v>366</v>
      </c>
      <c r="LJJ324" s="26" t="s">
        <v>366</v>
      </c>
      <c r="LJK324" s="26" t="s">
        <v>366</v>
      </c>
      <c r="LJL324" s="26" t="s">
        <v>366</v>
      </c>
      <c r="LJM324" s="26" t="s">
        <v>366</v>
      </c>
      <c r="LJN324" s="26" t="s">
        <v>366</v>
      </c>
      <c r="LJO324" s="26" t="s">
        <v>366</v>
      </c>
      <c r="LJP324" s="26" t="s">
        <v>366</v>
      </c>
      <c r="LJQ324" s="26" t="s">
        <v>366</v>
      </c>
      <c r="LJR324" s="26" t="s">
        <v>366</v>
      </c>
      <c r="LJS324" s="26" t="s">
        <v>366</v>
      </c>
      <c r="LJT324" s="26" t="s">
        <v>366</v>
      </c>
      <c r="LJU324" s="26" t="s">
        <v>366</v>
      </c>
      <c r="LJV324" s="26" t="s">
        <v>366</v>
      </c>
      <c r="LJW324" s="26" t="s">
        <v>366</v>
      </c>
      <c r="LJX324" s="26" t="s">
        <v>366</v>
      </c>
      <c r="LJY324" s="26" t="s">
        <v>366</v>
      </c>
      <c r="LJZ324" s="26" t="s">
        <v>366</v>
      </c>
      <c r="LKA324" s="26" t="s">
        <v>366</v>
      </c>
      <c r="LKB324" s="26" t="s">
        <v>366</v>
      </c>
      <c r="LKC324" s="26" t="s">
        <v>366</v>
      </c>
      <c r="LKD324" s="26" t="s">
        <v>366</v>
      </c>
      <c r="LKE324" s="26" t="s">
        <v>366</v>
      </c>
      <c r="LKF324" s="26" t="s">
        <v>366</v>
      </c>
      <c r="LKG324" s="26" t="s">
        <v>366</v>
      </c>
      <c r="LKH324" s="26" t="s">
        <v>366</v>
      </c>
      <c r="LKI324" s="26" t="s">
        <v>366</v>
      </c>
      <c r="LKJ324" s="26" t="s">
        <v>366</v>
      </c>
      <c r="LKK324" s="26" t="s">
        <v>366</v>
      </c>
      <c r="LKL324" s="26" t="s">
        <v>366</v>
      </c>
      <c r="LKM324" s="26" t="s">
        <v>366</v>
      </c>
      <c r="LKN324" s="26" t="s">
        <v>366</v>
      </c>
      <c r="LKO324" s="26" t="s">
        <v>366</v>
      </c>
      <c r="LKP324" s="26" t="s">
        <v>366</v>
      </c>
      <c r="LKQ324" s="26" t="s">
        <v>366</v>
      </c>
      <c r="LKR324" s="26" t="s">
        <v>366</v>
      </c>
      <c r="LKS324" s="26" t="s">
        <v>366</v>
      </c>
      <c r="LKT324" s="26" t="s">
        <v>366</v>
      </c>
      <c r="LKU324" s="26" t="s">
        <v>366</v>
      </c>
      <c r="LKV324" s="26" t="s">
        <v>366</v>
      </c>
      <c r="LKW324" s="26" t="s">
        <v>366</v>
      </c>
      <c r="LKX324" s="26" t="s">
        <v>366</v>
      </c>
      <c r="LKY324" s="26" t="s">
        <v>366</v>
      </c>
      <c r="LKZ324" s="26" t="s">
        <v>366</v>
      </c>
      <c r="LLA324" s="26" t="s">
        <v>366</v>
      </c>
      <c r="LLB324" s="26" t="s">
        <v>366</v>
      </c>
      <c r="LLC324" s="26" t="s">
        <v>366</v>
      </c>
      <c r="LLD324" s="26" t="s">
        <v>366</v>
      </c>
      <c r="LLE324" s="26" t="s">
        <v>366</v>
      </c>
      <c r="LLF324" s="26" t="s">
        <v>366</v>
      </c>
      <c r="LLG324" s="26" t="s">
        <v>366</v>
      </c>
      <c r="LLH324" s="26" t="s">
        <v>366</v>
      </c>
      <c r="LLI324" s="26" t="s">
        <v>366</v>
      </c>
      <c r="LLJ324" s="26" t="s">
        <v>366</v>
      </c>
      <c r="LLK324" s="26" t="s">
        <v>366</v>
      </c>
      <c r="LLL324" s="26" t="s">
        <v>366</v>
      </c>
      <c r="LLM324" s="26" t="s">
        <v>366</v>
      </c>
      <c r="LLN324" s="26" t="s">
        <v>366</v>
      </c>
      <c r="LLO324" s="26" t="s">
        <v>366</v>
      </c>
      <c r="LLP324" s="26" t="s">
        <v>366</v>
      </c>
      <c r="LLQ324" s="26" t="s">
        <v>366</v>
      </c>
      <c r="LLR324" s="26" t="s">
        <v>366</v>
      </c>
      <c r="LLS324" s="26" t="s">
        <v>366</v>
      </c>
      <c r="LLT324" s="26" t="s">
        <v>366</v>
      </c>
      <c r="LLU324" s="26" t="s">
        <v>366</v>
      </c>
      <c r="LLV324" s="26" t="s">
        <v>366</v>
      </c>
      <c r="LLW324" s="26" t="s">
        <v>366</v>
      </c>
      <c r="LLX324" s="26" t="s">
        <v>366</v>
      </c>
      <c r="LLY324" s="26" t="s">
        <v>366</v>
      </c>
      <c r="LLZ324" s="26" t="s">
        <v>366</v>
      </c>
      <c r="LMA324" s="26" t="s">
        <v>366</v>
      </c>
      <c r="LMB324" s="26" t="s">
        <v>366</v>
      </c>
      <c r="LMC324" s="26" t="s">
        <v>366</v>
      </c>
      <c r="LMD324" s="26" t="s">
        <v>366</v>
      </c>
      <c r="LME324" s="26" t="s">
        <v>366</v>
      </c>
      <c r="LMF324" s="26" t="s">
        <v>366</v>
      </c>
      <c r="LMG324" s="26" t="s">
        <v>366</v>
      </c>
      <c r="LMH324" s="26" t="s">
        <v>366</v>
      </c>
      <c r="LMI324" s="26" t="s">
        <v>366</v>
      </c>
      <c r="LMJ324" s="26" t="s">
        <v>366</v>
      </c>
      <c r="LMK324" s="26" t="s">
        <v>366</v>
      </c>
      <c r="LML324" s="26" t="s">
        <v>366</v>
      </c>
      <c r="LMM324" s="26" t="s">
        <v>366</v>
      </c>
      <c r="LMN324" s="26" t="s">
        <v>366</v>
      </c>
      <c r="LMO324" s="26" t="s">
        <v>366</v>
      </c>
      <c r="LMP324" s="26" t="s">
        <v>366</v>
      </c>
      <c r="LMQ324" s="26" t="s">
        <v>366</v>
      </c>
      <c r="LMR324" s="26" t="s">
        <v>366</v>
      </c>
      <c r="LMS324" s="26" t="s">
        <v>366</v>
      </c>
      <c r="LMT324" s="26" t="s">
        <v>366</v>
      </c>
      <c r="LMU324" s="26" t="s">
        <v>366</v>
      </c>
      <c r="LMV324" s="26" t="s">
        <v>366</v>
      </c>
      <c r="LMW324" s="26" t="s">
        <v>366</v>
      </c>
      <c r="LMX324" s="26" t="s">
        <v>366</v>
      </c>
      <c r="LMY324" s="26" t="s">
        <v>366</v>
      </c>
      <c r="LMZ324" s="26" t="s">
        <v>366</v>
      </c>
      <c r="LNA324" s="26" t="s">
        <v>366</v>
      </c>
      <c r="LNB324" s="26" t="s">
        <v>366</v>
      </c>
      <c r="LNC324" s="26" t="s">
        <v>366</v>
      </c>
      <c r="LND324" s="26" t="s">
        <v>366</v>
      </c>
      <c r="LNE324" s="26" t="s">
        <v>366</v>
      </c>
      <c r="LNF324" s="26" t="s">
        <v>366</v>
      </c>
      <c r="LNG324" s="26" t="s">
        <v>366</v>
      </c>
      <c r="LNH324" s="26" t="s">
        <v>366</v>
      </c>
      <c r="LNI324" s="26" t="s">
        <v>366</v>
      </c>
      <c r="LNJ324" s="26" t="s">
        <v>366</v>
      </c>
      <c r="LNK324" s="26" t="s">
        <v>366</v>
      </c>
      <c r="LNL324" s="26" t="s">
        <v>366</v>
      </c>
      <c r="LNM324" s="26" t="s">
        <v>366</v>
      </c>
      <c r="LNN324" s="26" t="s">
        <v>366</v>
      </c>
      <c r="LNO324" s="26" t="s">
        <v>366</v>
      </c>
      <c r="LNP324" s="26" t="s">
        <v>366</v>
      </c>
      <c r="LNQ324" s="26" t="s">
        <v>366</v>
      </c>
      <c r="LNR324" s="26" t="s">
        <v>366</v>
      </c>
      <c r="LNS324" s="26" t="s">
        <v>366</v>
      </c>
      <c r="LNT324" s="26" t="s">
        <v>366</v>
      </c>
      <c r="LNU324" s="26" t="s">
        <v>366</v>
      </c>
      <c r="LNV324" s="26" t="s">
        <v>366</v>
      </c>
      <c r="LNW324" s="26" t="s">
        <v>366</v>
      </c>
      <c r="LNX324" s="26" t="s">
        <v>366</v>
      </c>
      <c r="LNY324" s="26" t="s">
        <v>366</v>
      </c>
      <c r="LNZ324" s="26" t="s">
        <v>366</v>
      </c>
      <c r="LOA324" s="26" t="s">
        <v>366</v>
      </c>
      <c r="LOB324" s="26" t="s">
        <v>366</v>
      </c>
      <c r="LOC324" s="26" t="s">
        <v>366</v>
      </c>
      <c r="LOD324" s="26" t="s">
        <v>366</v>
      </c>
      <c r="LOE324" s="26" t="s">
        <v>366</v>
      </c>
      <c r="LOF324" s="26" t="s">
        <v>366</v>
      </c>
      <c r="LOG324" s="26" t="s">
        <v>366</v>
      </c>
      <c r="LOH324" s="26" t="s">
        <v>366</v>
      </c>
      <c r="LOI324" s="26" t="s">
        <v>366</v>
      </c>
      <c r="LOJ324" s="26" t="s">
        <v>366</v>
      </c>
      <c r="LOK324" s="26" t="s">
        <v>366</v>
      </c>
      <c r="LOL324" s="26" t="s">
        <v>366</v>
      </c>
      <c r="LOM324" s="26" t="s">
        <v>366</v>
      </c>
      <c r="LON324" s="26" t="s">
        <v>366</v>
      </c>
      <c r="LOO324" s="26" t="s">
        <v>366</v>
      </c>
      <c r="LOP324" s="26" t="s">
        <v>366</v>
      </c>
      <c r="LOQ324" s="26" t="s">
        <v>366</v>
      </c>
      <c r="LOR324" s="26" t="s">
        <v>366</v>
      </c>
      <c r="LOS324" s="26" t="s">
        <v>366</v>
      </c>
      <c r="LOT324" s="26" t="s">
        <v>366</v>
      </c>
      <c r="LOU324" s="26" t="s">
        <v>366</v>
      </c>
      <c r="LOV324" s="26" t="s">
        <v>366</v>
      </c>
      <c r="LOW324" s="26" t="s">
        <v>366</v>
      </c>
      <c r="LOX324" s="26" t="s">
        <v>366</v>
      </c>
      <c r="LOY324" s="26" t="s">
        <v>366</v>
      </c>
      <c r="LOZ324" s="26" t="s">
        <v>366</v>
      </c>
      <c r="LPA324" s="26" t="s">
        <v>366</v>
      </c>
      <c r="LPB324" s="26" t="s">
        <v>366</v>
      </c>
      <c r="LPC324" s="26" t="s">
        <v>366</v>
      </c>
      <c r="LPD324" s="26" t="s">
        <v>366</v>
      </c>
      <c r="LPE324" s="26" t="s">
        <v>366</v>
      </c>
      <c r="LPF324" s="26" t="s">
        <v>366</v>
      </c>
      <c r="LPG324" s="26" t="s">
        <v>366</v>
      </c>
      <c r="LPH324" s="26" t="s">
        <v>366</v>
      </c>
      <c r="LPI324" s="26" t="s">
        <v>366</v>
      </c>
      <c r="LPJ324" s="26" t="s">
        <v>366</v>
      </c>
      <c r="LPK324" s="26" t="s">
        <v>366</v>
      </c>
      <c r="LPL324" s="26" t="s">
        <v>366</v>
      </c>
      <c r="LPM324" s="26" t="s">
        <v>366</v>
      </c>
      <c r="LPN324" s="26" t="s">
        <v>366</v>
      </c>
      <c r="LPO324" s="26" t="s">
        <v>366</v>
      </c>
      <c r="LPP324" s="26" t="s">
        <v>366</v>
      </c>
      <c r="LPQ324" s="26" t="s">
        <v>366</v>
      </c>
      <c r="LPR324" s="26" t="s">
        <v>366</v>
      </c>
      <c r="LPS324" s="26" t="s">
        <v>366</v>
      </c>
      <c r="LPT324" s="26" t="s">
        <v>366</v>
      </c>
      <c r="LPU324" s="26" t="s">
        <v>366</v>
      </c>
      <c r="LPV324" s="26" t="s">
        <v>366</v>
      </c>
      <c r="LPW324" s="26" t="s">
        <v>366</v>
      </c>
      <c r="LPX324" s="26" t="s">
        <v>366</v>
      </c>
      <c r="LPY324" s="26" t="s">
        <v>366</v>
      </c>
      <c r="LPZ324" s="26" t="s">
        <v>366</v>
      </c>
      <c r="LQA324" s="26" t="s">
        <v>366</v>
      </c>
      <c r="LQB324" s="26" t="s">
        <v>366</v>
      </c>
      <c r="LQC324" s="26" t="s">
        <v>366</v>
      </c>
      <c r="LQD324" s="26" t="s">
        <v>366</v>
      </c>
      <c r="LQE324" s="26" t="s">
        <v>366</v>
      </c>
      <c r="LQF324" s="26" t="s">
        <v>366</v>
      </c>
      <c r="LQG324" s="26" t="s">
        <v>366</v>
      </c>
      <c r="LQH324" s="26" t="s">
        <v>366</v>
      </c>
      <c r="LQI324" s="26" t="s">
        <v>366</v>
      </c>
      <c r="LQJ324" s="26" t="s">
        <v>366</v>
      </c>
      <c r="LQK324" s="26" t="s">
        <v>366</v>
      </c>
      <c r="LQL324" s="26" t="s">
        <v>366</v>
      </c>
      <c r="LQM324" s="26" t="s">
        <v>366</v>
      </c>
      <c r="LQN324" s="26" t="s">
        <v>366</v>
      </c>
      <c r="LQO324" s="26" t="s">
        <v>366</v>
      </c>
      <c r="LQP324" s="26" t="s">
        <v>366</v>
      </c>
      <c r="LQQ324" s="26" t="s">
        <v>366</v>
      </c>
      <c r="LQR324" s="26" t="s">
        <v>366</v>
      </c>
      <c r="LQS324" s="26" t="s">
        <v>366</v>
      </c>
      <c r="LQT324" s="26" t="s">
        <v>366</v>
      </c>
      <c r="LQU324" s="26" t="s">
        <v>366</v>
      </c>
      <c r="LQV324" s="26" t="s">
        <v>366</v>
      </c>
      <c r="LQW324" s="26" t="s">
        <v>366</v>
      </c>
      <c r="LQX324" s="26" t="s">
        <v>366</v>
      </c>
      <c r="LQY324" s="26" t="s">
        <v>366</v>
      </c>
      <c r="LQZ324" s="26" t="s">
        <v>366</v>
      </c>
      <c r="LRA324" s="26" t="s">
        <v>366</v>
      </c>
      <c r="LRB324" s="26" t="s">
        <v>366</v>
      </c>
      <c r="LRC324" s="26" t="s">
        <v>366</v>
      </c>
      <c r="LRD324" s="26" t="s">
        <v>366</v>
      </c>
      <c r="LRE324" s="26" t="s">
        <v>366</v>
      </c>
      <c r="LRF324" s="26" t="s">
        <v>366</v>
      </c>
      <c r="LRG324" s="26" t="s">
        <v>366</v>
      </c>
      <c r="LRH324" s="26" t="s">
        <v>366</v>
      </c>
      <c r="LRI324" s="26" t="s">
        <v>366</v>
      </c>
      <c r="LRJ324" s="26" t="s">
        <v>366</v>
      </c>
      <c r="LRK324" s="26" t="s">
        <v>366</v>
      </c>
      <c r="LRL324" s="26" t="s">
        <v>366</v>
      </c>
      <c r="LRM324" s="26" t="s">
        <v>366</v>
      </c>
      <c r="LRN324" s="26" t="s">
        <v>366</v>
      </c>
      <c r="LRO324" s="26" t="s">
        <v>366</v>
      </c>
      <c r="LRP324" s="26" t="s">
        <v>366</v>
      </c>
      <c r="LRQ324" s="26" t="s">
        <v>366</v>
      </c>
      <c r="LRR324" s="26" t="s">
        <v>366</v>
      </c>
      <c r="LRS324" s="26" t="s">
        <v>366</v>
      </c>
      <c r="LRT324" s="26" t="s">
        <v>366</v>
      </c>
      <c r="LRU324" s="26" t="s">
        <v>366</v>
      </c>
      <c r="LRV324" s="26" t="s">
        <v>366</v>
      </c>
      <c r="LRW324" s="26" t="s">
        <v>366</v>
      </c>
      <c r="LRX324" s="26" t="s">
        <v>366</v>
      </c>
      <c r="LRY324" s="26" t="s">
        <v>366</v>
      </c>
      <c r="LRZ324" s="26" t="s">
        <v>366</v>
      </c>
      <c r="LSA324" s="26" t="s">
        <v>366</v>
      </c>
      <c r="LSB324" s="26" t="s">
        <v>366</v>
      </c>
      <c r="LSC324" s="26" t="s">
        <v>366</v>
      </c>
      <c r="LSD324" s="26" t="s">
        <v>366</v>
      </c>
      <c r="LSE324" s="26" t="s">
        <v>366</v>
      </c>
      <c r="LSF324" s="26" t="s">
        <v>366</v>
      </c>
      <c r="LSG324" s="26" t="s">
        <v>366</v>
      </c>
      <c r="LSH324" s="26" t="s">
        <v>366</v>
      </c>
      <c r="LSI324" s="26" t="s">
        <v>366</v>
      </c>
      <c r="LSJ324" s="26" t="s">
        <v>366</v>
      </c>
      <c r="LSK324" s="26" t="s">
        <v>366</v>
      </c>
      <c r="LSL324" s="26" t="s">
        <v>366</v>
      </c>
      <c r="LSM324" s="26" t="s">
        <v>366</v>
      </c>
      <c r="LSN324" s="26" t="s">
        <v>366</v>
      </c>
      <c r="LSO324" s="26" t="s">
        <v>366</v>
      </c>
      <c r="LSP324" s="26" t="s">
        <v>366</v>
      </c>
      <c r="LSQ324" s="26" t="s">
        <v>366</v>
      </c>
      <c r="LSR324" s="26" t="s">
        <v>366</v>
      </c>
      <c r="LSS324" s="26" t="s">
        <v>366</v>
      </c>
      <c r="LST324" s="26" t="s">
        <v>366</v>
      </c>
      <c r="LSU324" s="26" t="s">
        <v>366</v>
      </c>
      <c r="LSV324" s="26" t="s">
        <v>366</v>
      </c>
      <c r="LSW324" s="26" t="s">
        <v>366</v>
      </c>
      <c r="LSX324" s="26" t="s">
        <v>366</v>
      </c>
      <c r="LSY324" s="26" t="s">
        <v>366</v>
      </c>
      <c r="LSZ324" s="26" t="s">
        <v>366</v>
      </c>
      <c r="LTA324" s="26" t="s">
        <v>366</v>
      </c>
      <c r="LTB324" s="26" t="s">
        <v>366</v>
      </c>
      <c r="LTC324" s="26" t="s">
        <v>366</v>
      </c>
      <c r="LTD324" s="26" t="s">
        <v>366</v>
      </c>
      <c r="LTE324" s="26" t="s">
        <v>366</v>
      </c>
      <c r="LTF324" s="26" t="s">
        <v>366</v>
      </c>
      <c r="LTG324" s="26" t="s">
        <v>366</v>
      </c>
      <c r="LTH324" s="26" t="s">
        <v>366</v>
      </c>
      <c r="LTI324" s="26" t="s">
        <v>366</v>
      </c>
      <c r="LTJ324" s="26" t="s">
        <v>366</v>
      </c>
      <c r="LTK324" s="26" t="s">
        <v>366</v>
      </c>
      <c r="LTL324" s="26" t="s">
        <v>366</v>
      </c>
      <c r="LTM324" s="26" t="s">
        <v>366</v>
      </c>
      <c r="LTN324" s="26" t="s">
        <v>366</v>
      </c>
      <c r="LTO324" s="26" t="s">
        <v>366</v>
      </c>
      <c r="LTP324" s="26" t="s">
        <v>366</v>
      </c>
      <c r="LTQ324" s="26" t="s">
        <v>366</v>
      </c>
      <c r="LTR324" s="26" t="s">
        <v>366</v>
      </c>
      <c r="LTS324" s="26" t="s">
        <v>366</v>
      </c>
      <c r="LTT324" s="26" t="s">
        <v>366</v>
      </c>
      <c r="LTU324" s="26" t="s">
        <v>366</v>
      </c>
      <c r="LTV324" s="26" t="s">
        <v>366</v>
      </c>
      <c r="LTW324" s="26" t="s">
        <v>366</v>
      </c>
      <c r="LTX324" s="26" t="s">
        <v>366</v>
      </c>
      <c r="LTY324" s="26" t="s">
        <v>366</v>
      </c>
      <c r="LTZ324" s="26" t="s">
        <v>366</v>
      </c>
      <c r="LUA324" s="26" t="s">
        <v>366</v>
      </c>
      <c r="LUB324" s="26" t="s">
        <v>366</v>
      </c>
      <c r="LUC324" s="26" t="s">
        <v>366</v>
      </c>
      <c r="LUD324" s="26" t="s">
        <v>366</v>
      </c>
      <c r="LUE324" s="26" t="s">
        <v>366</v>
      </c>
      <c r="LUF324" s="26" t="s">
        <v>366</v>
      </c>
      <c r="LUG324" s="26" t="s">
        <v>366</v>
      </c>
      <c r="LUH324" s="26" t="s">
        <v>366</v>
      </c>
      <c r="LUI324" s="26" t="s">
        <v>366</v>
      </c>
      <c r="LUJ324" s="26" t="s">
        <v>366</v>
      </c>
      <c r="LUK324" s="26" t="s">
        <v>366</v>
      </c>
      <c r="LUL324" s="26" t="s">
        <v>366</v>
      </c>
      <c r="LUM324" s="26" t="s">
        <v>366</v>
      </c>
      <c r="LUN324" s="26" t="s">
        <v>366</v>
      </c>
      <c r="LUO324" s="26" t="s">
        <v>366</v>
      </c>
      <c r="LUP324" s="26" t="s">
        <v>366</v>
      </c>
      <c r="LUQ324" s="26" t="s">
        <v>366</v>
      </c>
      <c r="LUR324" s="26" t="s">
        <v>366</v>
      </c>
      <c r="LUS324" s="26" t="s">
        <v>366</v>
      </c>
      <c r="LUT324" s="26" t="s">
        <v>366</v>
      </c>
      <c r="LUU324" s="26" t="s">
        <v>366</v>
      </c>
      <c r="LUV324" s="26" t="s">
        <v>366</v>
      </c>
      <c r="LUW324" s="26" t="s">
        <v>366</v>
      </c>
      <c r="LUX324" s="26" t="s">
        <v>366</v>
      </c>
      <c r="LUY324" s="26" t="s">
        <v>366</v>
      </c>
      <c r="LUZ324" s="26" t="s">
        <v>366</v>
      </c>
      <c r="LVA324" s="26" t="s">
        <v>366</v>
      </c>
      <c r="LVB324" s="26" t="s">
        <v>366</v>
      </c>
      <c r="LVC324" s="26" t="s">
        <v>366</v>
      </c>
      <c r="LVD324" s="26" t="s">
        <v>366</v>
      </c>
      <c r="LVE324" s="26" t="s">
        <v>366</v>
      </c>
      <c r="LVF324" s="26" t="s">
        <v>366</v>
      </c>
      <c r="LVG324" s="26" t="s">
        <v>366</v>
      </c>
      <c r="LVH324" s="26" t="s">
        <v>366</v>
      </c>
      <c r="LVI324" s="26" t="s">
        <v>366</v>
      </c>
      <c r="LVJ324" s="26" t="s">
        <v>366</v>
      </c>
      <c r="LVK324" s="26" t="s">
        <v>366</v>
      </c>
      <c r="LVL324" s="26" t="s">
        <v>366</v>
      </c>
      <c r="LVM324" s="26" t="s">
        <v>366</v>
      </c>
      <c r="LVN324" s="26" t="s">
        <v>366</v>
      </c>
      <c r="LVO324" s="26" t="s">
        <v>366</v>
      </c>
      <c r="LVP324" s="26" t="s">
        <v>366</v>
      </c>
      <c r="LVQ324" s="26" t="s">
        <v>366</v>
      </c>
      <c r="LVR324" s="26" t="s">
        <v>366</v>
      </c>
      <c r="LVS324" s="26" t="s">
        <v>366</v>
      </c>
      <c r="LVT324" s="26" t="s">
        <v>366</v>
      </c>
      <c r="LVU324" s="26" t="s">
        <v>366</v>
      </c>
      <c r="LVV324" s="26" t="s">
        <v>366</v>
      </c>
      <c r="LVW324" s="26" t="s">
        <v>366</v>
      </c>
      <c r="LVX324" s="26" t="s">
        <v>366</v>
      </c>
      <c r="LVY324" s="26" t="s">
        <v>366</v>
      </c>
      <c r="LVZ324" s="26" t="s">
        <v>366</v>
      </c>
      <c r="LWA324" s="26" t="s">
        <v>366</v>
      </c>
      <c r="LWB324" s="26" t="s">
        <v>366</v>
      </c>
      <c r="LWC324" s="26" t="s">
        <v>366</v>
      </c>
      <c r="LWD324" s="26" t="s">
        <v>366</v>
      </c>
      <c r="LWE324" s="26" t="s">
        <v>366</v>
      </c>
      <c r="LWF324" s="26" t="s">
        <v>366</v>
      </c>
      <c r="LWG324" s="26" t="s">
        <v>366</v>
      </c>
      <c r="LWH324" s="26" t="s">
        <v>366</v>
      </c>
      <c r="LWI324" s="26" t="s">
        <v>366</v>
      </c>
      <c r="LWJ324" s="26" t="s">
        <v>366</v>
      </c>
      <c r="LWK324" s="26" t="s">
        <v>366</v>
      </c>
      <c r="LWL324" s="26" t="s">
        <v>366</v>
      </c>
      <c r="LWM324" s="26" t="s">
        <v>366</v>
      </c>
      <c r="LWN324" s="26" t="s">
        <v>366</v>
      </c>
      <c r="LWO324" s="26" t="s">
        <v>366</v>
      </c>
      <c r="LWP324" s="26" t="s">
        <v>366</v>
      </c>
      <c r="LWQ324" s="26" t="s">
        <v>366</v>
      </c>
      <c r="LWR324" s="26" t="s">
        <v>366</v>
      </c>
      <c r="LWS324" s="26" t="s">
        <v>366</v>
      </c>
      <c r="LWT324" s="26" t="s">
        <v>366</v>
      </c>
      <c r="LWU324" s="26" t="s">
        <v>366</v>
      </c>
      <c r="LWV324" s="26" t="s">
        <v>366</v>
      </c>
      <c r="LWW324" s="26" t="s">
        <v>366</v>
      </c>
      <c r="LWX324" s="26" t="s">
        <v>366</v>
      </c>
      <c r="LWY324" s="26" t="s">
        <v>366</v>
      </c>
      <c r="LWZ324" s="26" t="s">
        <v>366</v>
      </c>
      <c r="LXA324" s="26" t="s">
        <v>366</v>
      </c>
      <c r="LXB324" s="26" t="s">
        <v>366</v>
      </c>
      <c r="LXC324" s="26" t="s">
        <v>366</v>
      </c>
      <c r="LXD324" s="26" t="s">
        <v>366</v>
      </c>
      <c r="LXE324" s="26" t="s">
        <v>366</v>
      </c>
      <c r="LXF324" s="26" t="s">
        <v>366</v>
      </c>
      <c r="LXG324" s="26" t="s">
        <v>366</v>
      </c>
      <c r="LXH324" s="26" t="s">
        <v>366</v>
      </c>
      <c r="LXI324" s="26" t="s">
        <v>366</v>
      </c>
      <c r="LXJ324" s="26" t="s">
        <v>366</v>
      </c>
      <c r="LXK324" s="26" t="s">
        <v>366</v>
      </c>
      <c r="LXL324" s="26" t="s">
        <v>366</v>
      </c>
      <c r="LXM324" s="26" t="s">
        <v>366</v>
      </c>
      <c r="LXN324" s="26" t="s">
        <v>366</v>
      </c>
      <c r="LXO324" s="26" t="s">
        <v>366</v>
      </c>
      <c r="LXP324" s="26" t="s">
        <v>366</v>
      </c>
      <c r="LXQ324" s="26" t="s">
        <v>366</v>
      </c>
      <c r="LXR324" s="26" t="s">
        <v>366</v>
      </c>
      <c r="LXS324" s="26" t="s">
        <v>366</v>
      </c>
      <c r="LXT324" s="26" t="s">
        <v>366</v>
      </c>
      <c r="LXU324" s="26" t="s">
        <v>366</v>
      </c>
      <c r="LXV324" s="26" t="s">
        <v>366</v>
      </c>
      <c r="LXW324" s="26" t="s">
        <v>366</v>
      </c>
      <c r="LXX324" s="26" t="s">
        <v>366</v>
      </c>
      <c r="LXY324" s="26" t="s">
        <v>366</v>
      </c>
      <c r="LXZ324" s="26" t="s">
        <v>366</v>
      </c>
      <c r="LYA324" s="26" t="s">
        <v>366</v>
      </c>
      <c r="LYB324" s="26" t="s">
        <v>366</v>
      </c>
      <c r="LYC324" s="26" t="s">
        <v>366</v>
      </c>
      <c r="LYD324" s="26" t="s">
        <v>366</v>
      </c>
      <c r="LYE324" s="26" t="s">
        <v>366</v>
      </c>
      <c r="LYF324" s="26" t="s">
        <v>366</v>
      </c>
      <c r="LYG324" s="26" t="s">
        <v>366</v>
      </c>
      <c r="LYH324" s="26" t="s">
        <v>366</v>
      </c>
      <c r="LYI324" s="26" t="s">
        <v>366</v>
      </c>
      <c r="LYJ324" s="26" t="s">
        <v>366</v>
      </c>
      <c r="LYK324" s="26" t="s">
        <v>366</v>
      </c>
      <c r="LYL324" s="26" t="s">
        <v>366</v>
      </c>
      <c r="LYM324" s="26" t="s">
        <v>366</v>
      </c>
      <c r="LYN324" s="26" t="s">
        <v>366</v>
      </c>
      <c r="LYO324" s="26" t="s">
        <v>366</v>
      </c>
      <c r="LYP324" s="26" t="s">
        <v>366</v>
      </c>
      <c r="LYQ324" s="26" t="s">
        <v>366</v>
      </c>
      <c r="LYR324" s="26" t="s">
        <v>366</v>
      </c>
      <c r="LYS324" s="26" t="s">
        <v>366</v>
      </c>
      <c r="LYT324" s="26" t="s">
        <v>366</v>
      </c>
      <c r="LYU324" s="26" t="s">
        <v>366</v>
      </c>
      <c r="LYV324" s="26" t="s">
        <v>366</v>
      </c>
      <c r="LYW324" s="26" t="s">
        <v>366</v>
      </c>
      <c r="LYX324" s="26" t="s">
        <v>366</v>
      </c>
      <c r="LYY324" s="26" t="s">
        <v>366</v>
      </c>
      <c r="LYZ324" s="26" t="s">
        <v>366</v>
      </c>
      <c r="LZA324" s="26" t="s">
        <v>366</v>
      </c>
      <c r="LZB324" s="26" t="s">
        <v>366</v>
      </c>
      <c r="LZC324" s="26" t="s">
        <v>366</v>
      </c>
      <c r="LZD324" s="26" t="s">
        <v>366</v>
      </c>
      <c r="LZE324" s="26" t="s">
        <v>366</v>
      </c>
      <c r="LZF324" s="26" t="s">
        <v>366</v>
      </c>
      <c r="LZG324" s="26" t="s">
        <v>366</v>
      </c>
      <c r="LZH324" s="26" t="s">
        <v>366</v>
      </c>
      <c r="LZI324" s="26" t="s">
        <v>366</v>
      </c>
      <c r="LZJ324" s="26" t="s">
        <v>366</v>
      </c>
      <c r="LZK324" s="26" t="s">
        <v>366</v>
      </c>
      <c r="LZL324" s="26" t="s">
        <v>366</v>
      </c>
      <c r="LZM324" s="26" t="s">
        <v>366</v>
      </c>
      <c r="LZN324" s="26" t="s">
        <v>366</v>
      </c>
      <c r="LZO324" s="26" t="s">
        <v>366</v>
      </c>
      <c r="LZP324" s="26" t="s">
        <v>366</v>
      </c>
      <c r="LZQ324" s="26" t="s">
        <v>366</v>
      </c>
      <c r="LZR324" s="26" t="s">
        <v>366</v>
      </c>
      <c r="LZS324" s="26" t="s">
        <v>366</v>
      </c>
      <c r="LZT324" s="26" t="s">
        <v>366</v>
      </c>
      <c r="LZU324" s="26" t="s">
        <v>366</v>
      </c>
      <c r="LZV324" s="26" t="s">
        <v>366</v>
      </c>
      <c r="LZW324" s="26" t="s">
        <v>366</v>
      </c>
      <c r="LZX324" s="26" t="s">
        <v>366</v>
      </c>
      <c r="LZY324" s="26" t="s">
        <v>366</v>
      </c>
      <c r="LZZ324" s="26" t="s">
        <v>366</v>
      </c>
      <c r="MAA324" s="26" t="s">
        <v>366</v>
      </c>
      <c r="MAB324" s="26" t="s">
        <v>366</v>
      </c>
      <c r="MAC324" s="26" t="s">
        <v>366</v>
      </c>
      <c r="MAD324" s="26" t="s">
        <v>366</v>
      </c>
      <c r="MAE324" s="26" t="s">
        <v>366</v>
      </c>
      <c r="MAF324" s="26" t="s">
        <v>366</v>
      </c>
      <c r="MAG324" s="26" t="s">
        <v>366</v>
      </c>
      <c r="MAH324" s="26" t="s">
        <v>366</v>
      </c>
      <c r="MAI324" s="26" t="s">
        <v>366</v>
      </c>
      <c r="MAJ324" s="26" t="s">
        <v>366</v>
      </c>
      <c r="MAK324" s="26" t="s">
        <v>366</v>
      </c>
      <c r="MAL324" s="26" t="s">
        <v>366</v>
      </c>
      <c r="MAM324" s="26" t="s">
        <v>366</v>
      </c>
      <c r="MAN324" s="26" t="s">
        <v>366</v>
      </c>
      <c r="MAO324" s="26" t="s">
        <v>366</v>
      </c>
      <c r="MAP324" s="26" t="s">
        <v>366</v>
      </c>
      <c r="MAQ324" s="26" t="s">
        <v>366</v>
      </c>
      <c r="MAR324" s="26" t="s">
        <v>366</v>
      </c>
      <c r="MAS324" s="26" t="s">
        <v>366</v>
      </c>
      <c r="MAT324" s="26" t="s">
        <v>366</v>
      </c>
      <c r="MAU324" s="26" t="s">
        <v>366</v>
      </c>
      <c r="MAV324" s="26" t="s">
        <v>366</v>
      </c>
      <c r="MAW324" s="26" t="s">
        <v>366</v>
      </c>
      <c r="MAX324" s="26" t="s">
        <v>366</v>
      </c>
      <c r="MAY324" s="26" t="s">
        <v>366</v>
      </c>
      <c r="MAZ324" s="26" t="s">
        <v>366</v>
      </c>
      <c r="MBA324" s="26" t="s">
        <v>366</v>
      </c>
      <c r="MBB324" s="26" t="s">
        <v>366</v>
      </c>
      <c r="MBC324" s="26" t="s">
        <v>366</v>
      </c>
      <c r="MBD324" s="26" t="s">
        <v>366</v>
      </c>
      <c r="MBE324" s="26" t="s">
        <v>366</v>
      </c>
      <c r="MBF324" s="26" t="s">
        <v>366</v>
      </c>
      <c r="MBG324" s="26" t="s">
        <v>366</v>
      </c>
      <c r="MBH324" s="26" t="s">
        <v>366</v>
      </c>
      <c r="MBI324" s="26" t="s">
        <v>366</v>
      </c>
      <c r="MBJ324" s="26" t="s">
        <v>366</v>
      </c>
      <c r="MBK324" s="26" t="s">
        <v>366</v>
      </c>
      <c r="MBL324" s="26" t="s">
        <v>366</v>
      </c>
      <c r="MBM324" s="26" t="s">
        <v>366</v>
      </c>
      <c r="MBN324" s="26" t="s">
        <v>366</v>
      </c>
      <c r="MBO324" s="26" t="s">
        <v>366</v>
      </c>
      <c r="MBP324" s="26" t="s">
        <v>366</v>
      </c>
      <c r="MBQ324" s="26" t="s">
        <v>366</v>
      </c>
      <c r="MBR324" s="26" t="s">
        <v>366</v>
      </c>
      <c r="MBS324" s="26" t="s">
        <v>366</v>
      </c>
      <c r="MBT324" s="26" t="s">
        <v>366</v>
      </c>
      <c r="MBU324" s="26" t="s">
        <v>366</v>
      </c>
      <c r="MBV324" s="26" t="s">
        <v>366</v>
      </c>
      <c r="MBW324" s="26" t="s">
        <v>366</v>
      </c>
      <c r="MBX324" s="26" t="s">
        <v>366</v>
      </c>
      <c r="MBY324" s="26" t="s">
        <v>366</v>
      </c>
      <c r="MBZ324" s="26" t="s">
        <v>366</v>
      </c>
      <c r="MCA324" s="26" t="s">
        <v>366</v>
      </c>
      <c r="MCB324" s="26" t="s">
        <v>366</v>
      </c>
      <c r="MCC324" s="26" t="s">
        <v>366</v>
      </c>
      <c r="MCD324" s="26" t="s">
        <v>366</v>
      </c>
      <c r="MCE324" s="26" t="s">
        <v>366</v>
      </c>
      <c r="MCF324" s="26" t="s">
        <v>366</v>
      </c>
      <c r="MCG324" s="26" t="s">
        <v>366</v>
      </c>
      <c r="MCH324" s="26" t="s">
        <v>366</v>
      </c>
      <c r="MCI324" s="26" t="s">
        <v>366</v>
      </c>
      <c r="MCJ324" s="26" t="s">
        <v>366</v>
      </c>
      <c r="MCK324" s="26" t="s">
        <v>366</v>
      </c>
      <c r="MCL324" s="26" t="s">
        <v>366</v>
      </c>
      <c r="MCM324" s="26" t="s">
        <v>366</v>
      </c>
      <c r="MCN324" s="26" t="s">
        <v>366</v>
      </c>
      <c r="MCO324" s="26" t="s">
        <v>366</v>
      </c>
      <c r="MCP324" s="26" t="s">
        <v>366</v>
      </c>
      <c r="MCQ324" s="26" t="s">
        <v>366</v>
      </c>
      <c r="MCR324" s="26" t="s">
        <v>366</v>
      </c>
      <c r="MCS324" s="26" t="s">
        <v>366</v>
      </c>
      <c r="MCT324" s="26" t="s">
        <v>366</v>
      </c>
      <c r="MCU324" s="26" t="s">
        <v>366</v>
      </c>
      <c r="MCV324" s="26" t="s">
        <v>366</v>
      </c>
      <c r="MCW324" s="26" t="s">
        <v>366</v>
      </c>
      <c r="MCX324" s="26" t="s">
        <v>366</v>
      </c>
      <c r="MCY324" s="26" t="s">
        <v>366</v>
      </c>
      <c r="MCZ324" s="26" t="s">
        <v>366</v>
      </c>
      <c r="MDA324" s="26" t="s">
        <v>366</v>
      </c>
      <c r="MDB324" s="26" t="s">
        <v>366</v>
      </c>
      <c r="MDC324" s="26" t="s">
        <v>366</v>
      </c>
      <c r="MDD324" s="26" t="s">
        <v>366</v>
      </c>
      <c r="MDE324" s="26" t="s">
        <v>366</v>
      </c>
      <c r="MDF324" s="26" t="s">
        <v>366</v>
      </c>
      <c r="MDG324" s="26" t="s">
        <v>366</v>
      </c>
      <c r="MDH324" s="26" t="s">
        <v>366</v>
      </c>
      <c r="MDI324" s="26" t="s">
        <v>366</v>
      </c>
      <c r="MDJ324" s="26" t="s">
        <v>366</v>
      </c>
      <c r="MDK324" s="26" t="s">
        <v>366</v>
      </c>
      <c r="MDL324" s="26" t="s">
        <v>366</v>
      </c>
      <c r="MDM324" s="26" t="s">
        <v>366</v>
      </c>
      <c r="MDN324" s="26" t="s">
        <v>366</v>
      </c>
      <c r="MDO324" s="26" t="s">
        <v>366</v>
      </c>
      <c r="MDP324" s="26" t="s">
        <v>366</v>
      </c>
      <c r="MDQ324" s="26" t="s">
        <v>366</v>
      </c>
      <c r="MDR324" s="26" t="s">
        <v>366</v>
      </c>
      <c r="MDS324" s="26" t="s">
        <v>366</v>
      </c>
      <c r="MDT324" s="26" t="s">
        <v>366</v>
      </c>
      <c r="MDU324" s="26" t="s">
        <v>366</v>
      </c>
      <c r="MDV324" s="26" t="s">
        <v>366</v>
      </c>
      <c r="MDW324" s="26" t="s">
        <v>366</v>
      </c>
      <c r="MDX324" s="26" t="s">
        <v>366</v>
      </c>
      <c r="MDY324" s="26" t="s">
        <v>366</v>
      </c>
      <c r="MDZ324" s="26" t="s">
        <v>366</v>
      </c>
      <c r="MEA324" s="26" t="s">
        <v>366</v>
      </c>
      <c r="MEB324" s="26" t="s">
        <v>366</v>
      </c>
      <c r="MEC324" s="26" t="s">
        <v>366</v>
      </c>
      <c r="MED324" s="26" t="s">
        <v>366</v>
      </c>
      <c r="MEE324" s="26" t="s">
        <v>366</v>
      </c>
      <c r="MEF324" s="26" t="s">
        <v>366</v>
      </c>
      <c r="MEG324" s="26" t="s">
        <v>366</v>
      </c>
      <c r="MEH324" s="26" t="s">
        <v>366</v>
      </c>
      <c r="MEI324" s="26" t="s">
        <v>366</v>
      </c>
      <c r="MEJ324" s="26" t="s">
        <v>366</v>
      </c>
      <c r="MEK324" s="26" t="s">
        <v>366</v>
      </c>
      <c r="MEL324" s="26" t="s">
        <v>366</v>
      </c>
      <c r="MEM324" s="26" t="s">
        <v>366</v>
      </c>
      <c r="MEN324" s="26" t="s">
        <v>366</v>
      </c>
      <c r="MEO324" s="26" t="s">
        <v>366</v>
      </c>
      <c r="MEP324" s="26" t="s">
        <v>366</v>
      </c>
      <c r="MEQ324" s="26" t="s">
        <v>366</v>
      </c>
      <c r="MER324" s="26" t="s">
        <v>366</v>
      </c>
      <c r="MES324" s="26" t="s">
        <v>366</v>
      </c>
      <c r="MET324" s="26" t="s">
        <v>366</v>
      </c>
      <c r="MEU324" s="26" t="s">
        <v>366</v>
      </c>
      <c r="MEV324" s="26" t="s">
        <v>366</v>
      </c>
      <c r="MEW324" s="26" t="s">
        <v>366</v>
      </c>
      <c r="MEX324" s="26" t="s">
        <v>366</v>
      </c>
      <c r="MEY324" s="26" t="s">
        <v>366</v>
      </c>
      <c r="MEZ324" s="26" t="s">
        <v>366</v>
      </c>
      <c r="MFA324" s="26" t="s">
        <v>366</v>
      </c>
      <c r="MFB324" s="26" t="s">
        <v>366</v>
      </c>
      <c r="MFC324" s="26" t="s">
        <v>366</v>
      </c>
      <c r="MFD324" s="26" t="s">
        <v>366</v>
      </c>
      <c r="MFE324" s="26" t="s">
        <v>366</v>
      </c>
      <c r="MFF324" s="26" t="s">
        <v>366</v>
      </c>
      <c r="MFG324" s="26" t="s">
        <v>366</v>
      </c>
      <c r="MFH324" s="26" t="s">
        <v>366</v>
      </c>
      <c r="MFI324" s="26" t="s">
        <v>366</v>
      </c>
      <c r="MFJ324" s="26" t="s">
        <v>366</v>
      </c>
      <c r="MFK324" s="26" t="s">
        <v>366</v>
      </c>
      <c r="MFL324" s="26" t="s">
        <v>366</v>
      </c>
      <c r="MFM324" s="26" t="s">
        <v>366</v>
      </c>
      <c r="MFN324" s="26" t="s">
        <v>366</v>
      </c>
      <c r="MFO324" s="26" t="s">
        <v>366</v>
      </c>
      <c r="MFP324" s="26" t="s">
        <v>366</v>
      </c>
      <c r="MFQ324" s="26" t="s">
        <v>366</v>
      </c>
      <c r="MFR324" s="26" t="s">
        <v>366</v>
      </c>
      <c r="MFS324" s="26" t="s">
        <v>366</v>
      </c>
      <c r="MFT324" s="26" t="s">
        <v>366</v>
      </c>
      <c r="MFU324" s="26" t="s">
        <v>366</v>
      </c>
      <c r="MFV324" s="26" t="s">
        <v>366</v>
      </c>
      <c r="MFW324" s="26" t="s">
        <v>366</v>
      </c>
      <c r="MFX324" s="26" t="s">
        <v>366</v>
      </c>
      <c r="MFY324" s="26" t="s">
        <v>366</v>
      </c>
      <c r="MFZ324" s="26" t="s">
        <v>366</v>
      </c>
      <c r="MGA324" s="26" t="s">
        <v>366</v>
      </c>
      <c r="MGB324" s="26" t="s">
        <v>366</v>
      </c>
      <c r="MGC324" s="26" t="s">
        <v>366</v>
      </c>
      <c r="MGD324" s="26" t="s">
        <v>366</v>
      </c>
      <c r="MGE324" s="26" t="s">
        <v>366</v>
      </c>
      <c r="MGF324" s="26" t="s">
        <v>366</v>
      </c>
      <c r="MGG324" s="26" t="s">
        <v>366</v>
      </c>
      <c r="MGH324" s="26" t="s">
        <v>366</v>
      </c>
      <c r="MGI324" s="26" t="s">
        <v>366</v>
      </c>
      <c r="MGJ324" s="26" t="s">
        <v>366</v>
      </c>
      <c r="MGK324" s="26" t="s">
        <v>366</v>
      </c>
      <c r="MGL324" s="26" t="s">
        <v>366</v>
      </c>
      <c r="MGM324" s="26" t="s">
        <v>366</v>
      </c>
      <c r="MGN324" s="26" t="s">
        <v>366</v>
      </c>
      <c r="MGO324" s="26" t="s">
        <v>366</v>
      </c>
      <c r="MGP324" s="26" t="s">
        <v>366</v>
      </c>
      <c r="MGQ324" s="26" t="s">
        <v>366</v>
      </c>
      <c r="MGR324" s="26" t="s">
        <v>366</v>
      </c>
      <c r="MGS324" s="26" t="s">
        <v>366</v>
      </c>
      <c r="MGT324" s="26" t="s">
        <v>366</v>
      </c>
      <c r="MGU324" s="26" t="s">
        <v>366</v>
      </c>
      <c r="MGV324" s="26" t="s">
        <v>366</v>
      </c>
      <c r="MGW324" s="26" t="s">
        <v>366</v>
      </c>
      <c r="MGX324" s="26" t="s">
        <v>366</v>
      </c>
      <c r="MGY324" s="26" t="s">
        <v>366</v>
      </c>
      <c r="MGZ324" s="26" t="s">
        <v>366</v>
      </c>
      <c r="MHA324" s="26" t="s">
        <v>366</v>
      </c>
      <c r="MHB324" s="26" t="s">
        <v>366</v>
      </c>
      <c r="MHC324" s="26" t="s">
        <v>366</v>
      </c>
      <c r="MHD324" s="26" t="s">
        <v>366</v>
      </c>
      <c r="MHE324" s="26" t="s">
        <v>366</v>
      </c>
      <c r="MHF324" s="26" t="s">
        <v>366</v>
      </c>
      <c r="MHG324" s="26" t="s">
        <v>366</v>
      </c>
      <c r="MHH324" s="26" t="s">
        <v>366</v>
      </c>
      <c r="MHI324" s="26" t="s">
        <v>366</v>
      </c>
      <c r="MHJ324" s="26" t="s">
        <v>366</v>
      </c>
      <c r="MHK324" s="26" t="s">
        <v>366</v>
      </c>
      <c r="MHL324" s="26" t="s">
        <v>366</v>
      </c>
      <c r="MHM324" s="26" t="s">
        <v>366</v>
      </c>
      <c r="MHN324" s="26" t="s">
        <v>366</v>
      </c>
      <c r="MHO324" s="26" t="s">
        <v>366</v>
      </c>
      <c r="MHP324" s="26" t="s">
        <v>366</v>
      </c>
      <c r="MHQ324" s="26" t="s">
        <v>366</v>
      </c>
      <c r="MHR324" s="26" t="s">
        <v>366</v>
      </c>
      <c r="MHS324" s="26" t="s">
        <v>366</v>
      </c>
      <c r="MHT324" s="26" t="s">
        <v>366</v>
      </c>
      <c r="MHU324" s="26" t="s">
        <v>366</v>
      </c>
      <c r="MHV324" s="26" t="s">
        <v>366</v>
      </c>
      <c r="MHW324" s="26" t="s">
        <v>366</v>
      </c>
      <c r="MHX324" s="26" t="s">
        <v>366</v>
      </c>
      <c r="MHY324" s="26" t="s">
        <v>366</v>
      </c>
      <c r="MHZ324" s="26" t="s">
        <v>366</v>
      </c>
      <c r="MIA324" s="26" t="s">
        <v>366</v>
      </c>
      <c r="MIB324" s="26" t="s">
        <v>366</v>
      </c>
      <c r="MIC324" s="26" t="s">
        <v>366</v>
      </c>
      <c r="MID324" s="26" t="s">
        <v>366</v>
      </c>
      <c r="MIE324" s="26" t="s">
        <v>366</v>
      </c>
      <c r="MIF324" s="26" t="s">
        <v>366</v>
      </c>
      <c r="MIG324" s="26" t="s">
        <v>366</v>
      </c>
      <c r="MIH324" s="26" t="s">
        <v>366</v>
      </c>
      <c r="MII324" s="26" t="s">
        <v>366</v>
      </c>
      <c r="MIJ324" s="26" t="s">
        <v>366</v>
      </c>
      <c r="MIK324" s="26" t="s">
        <v>366</v>
      </c>
      <c r="MIL324" s="26" t="s">
        <v>366</v>
      </c>
      <c r="MIM324" s="26" t="s">
        <v>366</v>
      </c>
      <c r="MIN324" s="26" t="s">
        <v>366</v>
      </c>
      <c r="MIO324" s="26" t="s">
        <v>366</v>
      </c>
      <c r="MIP324" s="26" t="s">
        <v>366</v>
      </c>
      <c r="MIQ324" s="26" t="s">
        <v>366</v>
      </c>
      <c r="MIR324" s="26" t="s">
        <v>366</v>
      </c>
      <c r="MIS324" s="26" t="s">
        <v>366</v>
      </c>
      <c r="MIT324" s="26" t="s">
        <v>366</v>
      </c>
      <c r="MIU324" s="26" t="s">
        <v>366</v>
      </c>
      <c r="MIV324" s="26" t="s">
        <v>366</v>
      </c>
      <c r="MIW324" s="26" t="s">
        <v>366</v>
      </c>
      <c r="MIX324" s="26" t="s">
        <v>366</v>
      </c>
      <c r="MIY324" s="26" t="s">
        <v>366</v>
      </c>
      <c r="MIZ324" s="26" t="s">
        <v>366</v>
      </c>
      <c r="MJA324" s="26" t="s">
        <v>366</v>
      </c>
      <c r="MJB324" s="26" t="s">
        <v>366</v>
      </c>
      <c r="MJC324" s="26" t="s">
        <v>366</v>
      </c>
      <c r="MJD324" s="26" t="s">
        <v>366</v>
      </c>
      <c r="MJE324" s="26" t="s">
        <v>366</v>
      </c>
      <c r="MJF324" s="26" t="s">
        <v>366</v>
      </c>
      <c r="MJG324" s="26" t="s">
        <v>366</v>
      </c>
      <c r="MJH324" s="26" t="s">
        <v>366</v>
      </c>
      <c r="MJI324" s="26" t="s">
        <v>366</v>
      </c>
      <c r="MJJ324" s="26" t="s">
        <v>366</v>
      </c>
      <c r="MJK324" s="26" t="s">
        <v>366</v>
      </c>
      <c r="MJL324" s="26" t="s">
        <v>366</v>
      </c>
      <c r="MJM324" s="26" t="s">
        <v>366</v>
      </c>
      <c r="MJN324" s="26" t="s">
        <v>366</v>
      </c>
      <c r="MJO324" s="26" t="s">
        <v>366</v>
      </c>
      <c r="MJP324" s="26" t="s">
        <v>366</v>
      </c>
      <c r="MJQ324" s="26" t="s">
        <v>366</v>
      </c>
      <c r="MJR324" s="26" t="s">
        <v>366</v>
      </c>
      <c r="MJS324" s="26" t="s">
        <v>366</v>
      </c>
      <c r="MJT324" s="26" t="s">
        <v>366</v>
      </c>
      <c r="MJU324" s="26" t="s">
        <v>366</v>
      </c>
      <c r="MJV324" s="26" t="s">
        <v>366</v>
      </c>
      <c r="MJW324" s="26" t="s">
        <v>366</v>
      </c>
      <c r="MJX324" s="26" t="s">
        <v>366</v>
      </c>
      <c r="MJY324" s="26" t="s">
        <v>366</v>
      </c>
      <c r="MJZ324" s="26" t="s">
        <v>366</v>
      </c>
      <c r="MKA324" s="26" t="s">
        <v>366</v>
      </c>
      <c r="MKB324" s="26" t="s">
        <v>366</v>
      </c>
      <c r="MKC324" s="26" t="s">
        <v>366</v>
      </c>
      <c r="MKD324" s="26" t="s">
        <v>366</v>
      </c>
      <c r="MKE324" s="26" t="s">
        <v>366</v>
      </c>
      <c r="MKF324" s="26" t="s">
        <v>366</v>
      </c>
      <c r="MKG324" s="26" t="s">
        <v>366</v>
      </c>
      <c r="MKH324" s="26" t="s">
        <v>366</v>
      </c>
      <c r="MKI324" s="26" t="s">
        <v>366</v>
      </c>
      <c r="MKJ324" s="26" t="s">
        <v>366</v>
      </c>
      <c r="MKK324" s="26" t="s">
        <v>366</v>
      </c>
      <c r="MKL324" s="26" t="s">
        <v>366</v>
      </c>
      <c r="MKM324" s="26" t="s">
        <v>366</v>
      </c>
      <c r="MKN324" s="26" t="s">
        <v>366</v>
      </c>
      <c r="MKO324" s="26" t="s">
        <v>366</v>
      </c>
      <c r="MKP324" s="26" t="s">
        <v>366</v>
      </c>
      <c r="MKQ324" s="26" t="s">
        <v>366</v>
      </c>
      <c r="MKR324" s="26" t="s">
        <v>366</v>
      </c>
      <c r="MKS324" s="26" t="s">
        <v>366</v>
      </c>
      <c r="MKT324" s="26" t="s">
        <v>366</v>
      </c>
      <c r="MKU324" s="26" t="s">
        <v>366</v>
      </c>
      <c r="MKV324" s="26" t="s">
        <v>366</v>
      </c>
      <c r="MKW324" s="26" t="s">
        <v>366</v>
      </c>
      <c r="MKX324" s="26" t="s">
        <v>366</v>
      </c>
      <c r="MKY324" s="26" t="s">
        <v>366</v>
      </c>
      <c r="MKZ324" s="26" t="s">
        <v>366</v>
      </c>
      <c r="MLA324" s="26" t="s">
        <v>366</v>
      </c>
      <c r="MLB324" s="26" t="s">
        <v>366</v>
      </c>
      <c r="MLC324" s="26" t="s">
        <v>366</v>
      </c>
      <c r="MLD324" s="26" t="s">
        <v>366</v>
      </c>
      <c r="MLE324" s="26" t="s">
        <v>366</v>
      </c>
      <c r="MLF324" s="26" t="s">
        <v>366</v>
      </c>
      <c r="MLG324" s="26" t="s">
        <v>366</v>
      </c>
      <c r="MLH324" s="26" t="s">
        <v>366</v>
      </c>
      <c r="MLI324" s="26" t="s">
        <v>366</v>
      </c>
      <c r="MLJ324" s="26" t="s">
        <v>366</v>
      </c>
      <c r="MLK324" s="26" t="s">
        <v>366</v>
      </c>
      <c r="MLL324" s="26" t="s">
        <v>366</v>
      </c>
      <c r="MLM324" s="26" t="s">
        <v>366</v>
      </c>
      <c r="MLN324" s="26" t="s">
        <v>366</v>
      </c>
      <c r="MLO324" s="26" t="s">
        <v>366</v>
      </c>
      <c r="MLP324" s="26" t="s">
        <v>366</v>
      </c>
      <c r="MLQ324" s="26" t="s">
        <v>366</v>
      </c>
      <c r="MLR324" s="26" t="s">
        <v>366</v>
      </c>
      <c r="MLS324" s="26" t="s">
        <v>366</v>
      </c>
      <c r="MLT324" s="26" t="s">
        <v>366</v>
      </c>
      <c r="MLU324" s="26" t="s">
        <v>366</v>
      </c>
      <c r="MLV324" s="26" t="s">
        <v>366</v>
      </c>
      <c r="MLW324" s="26" t="s">
        <v>366</v>
      </c>
      <c r="MLX324" s="26" t="s">
        <v>366</v>
      </c>
      <c r="MLY324" s="26" t="s">
        <v>366</v>
      </c>
      <c r="MLZ324" s="26" t="s">
        <v>366</v>
      </c>
      <c r="MMA324" s="26" t="s">
        <v>366</v>
      </c>
      <c r="MMB324" s="26" t="s">
        <v>366</v>
      </c>
      <c r="MMC324" s="26" t="s">
        <v>366</v>
      </c>
      <c r="MMD324" s="26" t="s">
        <v>366</v>
      </c>
      <c r="MME324" s="26" t="s">
        <v>366</v>
      </c>
      <c r="MMF324" s="26" t="s">
        <v>366</v>
      </c>
      <c r="MMG324" s="26" t="s">
        <v>366</v>
      </c>
      <c r="MMH324" s="26" t="s">
        <v>366</v>
      </c>
      <c r="MMI324" s="26" t="s">
        <v>366</v>
      </c>
      <c r="MMJ324" s="26" t="s">
        <v>366</v>
      </c>
      <c r="MMK324" s="26" t="s">
        <v>366</v>
      </c>
      <c r="MML324" s="26" t="s">
        <v>366</v>
      </c>
      <c r="MMM324" s="26" t="s">
        <v>366</v>
      </c>
      <c r="MMN324" s="26" t="s">
        <v>366</v>
      </c>
      <c r="MMO324" s="26" t="s">
        <v>366</v>
      </c>
      <c r="MMP324" s="26" t="s">
        <v>366</v>
      </c>
      <c r="MMQ324" s="26" t="s">
        <v>366</v>
      </c>
      <c r="MMR324" s="26" t="s">
        <v>366</v>
      </c>
      <c r="MMS324" s="26" t="s">
        <v>366</v>
      </c>
      <c r="MMT324" s="26" t="s">
        <v>366</v>
      </c>
      <c r="MMU324" s="26" t="s">
        <v>366</v>
      </c>
      <c r="MMV324" s="26" t="s">
        <v>366</v>
      </c>
      <c r="MMW324" s="26" t="s">
        <v>366</v>
      </c>
      <c r="MMX324" s="26" t="s">
        <v>366</v>
      </c>
      <c r="MMY324" s="26" t="s">
        <v>366</v>
      </c>
      <c r="MMZ324" s="26" t="s">
        <v>366</v>
      </c>
      <c r="MNA324" s="26" t="s">
        <v>366</v>
      </c>
      <c r="MNB324" s="26" t="s">
        <v>366</v>
      </c>
      <c r="MNC324" s="26" t="s">
        <v>366</v>
      </c>
      <c r="MND324" s="26" t="s">
        <v>366</v>
      </c>
      <c r="MNE324" s="26" t="s">
        <v>366</v>
      </c>
      <c r="MNF324" s="26" t="s">
        <v>366</v>
      </c>
      <c r="MNG324" s="26" t="s">
        <v>366</v>
      </c>
      <c r="MNH324" s="26" t="s">
        <v>366</v>
      </c>
      <c r="MNI324" s="26" t="s">
        <v>366</v>
      </c>
      <c r="MNJ324" s="26" t="s">
        <v>366</v>
      </c>
      <c r="MNK324" s="26" t="s">
        <v>366</v>
      </c>
      <c r="MNL324" s="26" t="s">
        <v>366</v>
      </c>
      <c r="MNM324" s="26" t="s">
        <v>366</v>
      </c>
      <c r="MNN324" s="26" t="s">
        <v>366</v>
      </c>
      <c r="MNO324" s="26" t="s">
        <v>366</v>
      </c>
      <c r="MNP324" s="26" t="s">
        <v>366</v>
      </c>
      <c r="MNQ324" s="26" t="s">
        <v>366</v>
      </c>
      <c r="MNR324" s="26" t="s">
        <v>366</v>
      </c>
      <c r="MNS324" s="26" t="s">
        <v>366</v>
      </c>
      <c r="MNT324" s="26" t="s">
        <v>366</v>
      </c>
      <c r="MNU324" s="26" t="s">
        <v>366</v>
      </c>
      <c r="MNV324" s="26" t="s">
        <v>366</v>
      </c>
      <c r="MNW324" s="26" t="s">
        <v>366</v>
      </c>
      <c r="MNX324" s="26" t="s">
        <v>366</v>
      </c>
      <c r="MNY324" s="26" t="s">
        <v>366</v>
      </c>
      <c r="MNZ324" s="26" t="s">
        <v>366</v>
      </c>
      <c r="MOA324" s="26" t="s">
        <v>366</v>
      </c>
      <c r="MOB324" s="26" t="s">
        <v>366</v>
      </c>
      <c r="MOC324" s="26" t="s">
        <v>366</v>
      </c>
      <c r="MOD324" s="26" t="s">
        <v>366</v>
      </c>
      <c r="MOE324" s="26" t="s">
        <v>366</v>
      </c>
      <c r="MOF324" s="26" t="s">
        <v>366</v>
      </c>
      <c r="MOG324" s="26" t="s">
        <v>366</v>
      </c>
      <c r="MOH324" s="26" t="s">
        <v>366</v>
      </c>
      <c r="MOI324" s="26" t="s">
        <v>366</v>
      </c>
      <c r="MOJ324" s="26" t="s">
        <v>366</v>
      </c>
      <c r="MOK324" s="26" t="s">
        <v>366</v>
      </c>
      <c r="MOL324" s="26" t="s">
        <v>366</v>
      </c>
      <c r="MOM324" s="26" t="s">
        <v>366</v>
      </c>
      <c r="MON324" s="26" t="s">
        <v>366</v>
      </c>
      <c r="MOO324" s="26" t="s">
        <v>366</v>
      </c>
      <c r="MOP324" s="26" t="s">
        <v>366</v>
      </c>
      <c r="MOQ324" s="26" t="s">
        <v>366</v>
      </c>
      <c r="MOR324" s="26" t="s">
        <v>366</v>
      </c>
      <c r="MOS324" s="26" t="s">
        <v>366</v>
      </c>
      <c r="MOT324" s="26" t="s">
        <v>366</v>
      </c>
      <c r="MOU324" s="26" t="s">
        <v>366</v>
      </c>
      <c r="MOV324" s="26" t="s">
        <v>366</v>
      </c>
      <c r="MOW324" s="26" t="s">
        <v>366</v>
      </c>
      <c r="MOX324" s="26" t="s">
        <v>366</v>
      </c>
      <c r="MOY324" s="26" t="s">
        <v>366</v>
      </c>
      <c r="MOZ324" s="26" t="s">
        <v>366</v>
      </c>
      <c r="MPA324" s="26" t="s">
        <v>366</v>
      </c>
      <c r="MPB324" s="26" t="s">
        <v>366</v>
      </c>
      <c r="MPC324" s="26" t="s">
        <v>366</v>
      </c>
      <c r="MPD324" s="26" t="s">
        <v>366</v>
      </c>
      <c r="MPE324" s="26" t="s">
        <v>366</v>
      </c>
      <c r="MPF324" s="26" t="s">
        <v>366</v>
      </c>
      <c r="MPG324" s="26" t="s">
        <v>366</v>
      </c>
      <c r="MPH324" s="26" t="s">
        <v>366</v>
      </c>
      <c r="MPI324" s="26" t="s">
        <v>366</v>
      </c>
      <c r="MPJ324" s="26" t="s">
        <v>366</v>
      </c>
      <c r="MPK324" s="26" t="s">
        <v>366</v>
      </c>
      <c r="MPL324" s="26" t="s">
        <v>366</v>
      </c>
      <c r="MPM324" s="26" t="s">
        <v>366</v>
      </c>
      <c r="MPN324" s="26" t="s">
        <v>366</v>
      </c>
      <c r="MPO324" s="26" t="s">
        <v>366</v>
      </c>
      <c r="MPP324" s="26" t="s">
        <v>366</v>
      </c>
      <c r="MPQ324" s="26" t="s">
        <v>366</v>
      </c>
      <c r="MPR324" s="26" t="s">
        <v>366</v>
      </c>
      <c r="MPS324" s="26" t="s">
        <v>366</v>
      </c>
      <c r="MPT324" s="26" t="s">
        <v>366</v>
      </c>
      <c r="MPU324" s="26" t="s">
        <v>366</v>
      </c>
      <c r="MPV324" s="26" t="s">
        <v>366</v>
      </c>
      <c r="MPW324" s="26" t="s">
        <v>366</v>
      </c>
      <c r="MPX324" s="26" t="s">
        <v>366</v>
      </c>
      <c r="MPY324" s="26" t="s">
        <v>366</v>
      </c>
      <c r="MPZ324" s="26" t="s">
        <v>366</v>
      </c>
      <c r="MQA324" s="26" t="s">
        <v>366</v>
      </c>
      <c r="MQB324" s="26" t="s">
        <v>366</v>
      </c>
      <c r="MQC324" s="26" t="s">
        <v>366</v>
      </c>
      <c r="MQD324" s="26" t="s">
        <v>366</v>
      </c>
      <c r="MQE324" s="26" t="s">
        <v>366</v>
      </c>
      <c r="MQF324" s="26" t="s">
        <v>366</v>
      </c>
      <c r="MQG324" s="26" t="s">
        <v>366</v>
      </c>
      <c r="MQH324" s="26" t="s">
        <v>366</v>
      </c>
      <c r="MQI324" s="26" t="s">
        <v>366</v>
      </c>
      <c r="MQJ324" s="26" t="s">
        <v>366</v>
      </c>
      <c r="MQK324" s="26" t="s">
        <v>366</v>
      </c>
      <c r="MQL324" s="26" t="s">
        <v>366</v>
      </c>
      <c r="MQM324" s="26" t="s">
        <v>366</v>
      </c>
      <c r="MQN324" s="26" t="s">
        <v>366</v>
      </c>
      <c r="MQO324" s="26" t="s">
        <v>366</v>
      </c>
      <c r="MQP324" s="26" t="s">
        <v>366</v>
      </c>
      <c r="MQQ324" s="26" t="s">
        <v>366</v>
      </c>
      <c r="MQR324" s="26" t="s">
        <v>366</v>
      </c>
      <c r="MQS324" s="26" t="s">
        <v>366</v>
      </c>
      <c r="MQT324" s="26" t="s">
        <v>366</v>
      </c>
      <c r="MQU324" s="26" t="s">
        <v>366</v>
      </c>
      <c r="MQV324" s="26" t="s">
        <v>366</v>
      </c>
      <c r="MQW324" s="26" t="s">
        <v>366</v>
      </c>
      <c r="MQX324" s="26" t="s">
        <v>366</v>
      </c>
      <c r="MQY324" s="26" t="s">
        <v>366</v>
      </c>
      <c r="MQZ324" s="26" t="s">
        <v>366</v>
      </c>
      <c r="MRA324" s="26" t="s">
        <v>366</v>
      </c>
      <c r="MRB324" s="26" t="s">
        <v>366</v>
      </c>
      <c r="MRC324" s="26" t="s">
        <v>366</v>
      </c>
      <c r="MRD324" s="26" t="s">
        <v>366</v>
      </c>
      <c r="MRE324" s="26" t="s">
        <v>366</v>
      </c>
      <c r="MRF324" s="26" t="s">
        <v>366</v>
      </c>
      <c r="MRG324" s="26" t="s">
        <v>366</v>
      </c>
      <c r="MRH324" s="26" t="s">
        <v>366</v>
      </c>
      <c r="MRI324" s="26" t="s">
        <v>366</v>
      </c>
      <c r="MRJ324" s="26" t="s">
        <v>366</v>
      </c>
      <c r="MRK324" s="26" t="s">
        <v>366</v>
      </c>
      <c r="MRL324" s="26" t="s">
        <v>366</v>
      </c>
      <c r="MRM324" s="26" t="s">
        <v>366</v>
      </c>
      <c r="MRN324" s="26" t="s">
        <v>366</v>
      </c>
      <c r="MRO324" s="26" t="s">
        <v>366</v>
      </c>
      <c r="MRP324" s="26" t="s">
        <v>366</v>
      </c>
      <c r="MRQ324" s="26" t="s">
        <v>366</v>
      </c>
      <c r="MRR324" s="26" t="s">
        <v>366</v>
      </c>
      <c r="MRS324" s="26" t="s">
        <v>366</v>
      </c>
      <c r="MRT324" s="26" t="s">
        <v>366</v>
      </c>
      <c r="MRU324" s="26" t="s">
        <v>366</v>
      </c>
      <c r="MRV324" s="26" t="s">
        <v>366</v>
      </c>
      <c r="MRW324" s="26" t="s">
        <v>366</v>
      </c>
      <c r="MRX324" s="26" t="s">
        <v>366</v>
      </c>
      <c r="MRY324" s="26" t="s">
        <v>366</v>
      </c>
      <c r="MRZ324" s="26" t="s">
        <v>366</v>
      </c>
      <c r="MSA324" s="26" t="s">
        <v>366</v>
      </c>
      <c r="MSB324" s="26" t="s">
        <v>366</v>
      </c>
      <c r="MSC324" s="26" t="s">
        <v>366</v>
      </c>
      <c r="MSD324" s="26" t="s">
        <v>366</v>
      </c>
      <c r="MSE324" s="26" t="s">
        <v>366</v>
      </c>
      <c r="MSF324" s="26" t="s">
        <v>366</v>
      </c>
      <c r="MSG324" s="26" t="s">
        <v>366</v>
      </c>
      <c r="MSH324" s="26" t="s">
        <v>366</v>
      </c>
      <c r="MSI324" s="26" t="s">
        <v>366</v>
      </c>
      <c r="MSJ324" s="26" t="s">
        <v>366</v>
      </c>
      <c r="MSK324" s="26" t="s">
        <v>366</v>
      </c>
      <c r="MSL324" s="26" t="s">
        <v>366</v>
      </c>
      <c r="MSM324" s="26" t="s">
        <v>366</v>
      </c>
      <c r="MSN324" s="26" t="s">
        <v>366</v>
      </c>
      <c r="MSO324" s="26" t="s">
        <v>366</v>
      </c>
      <c r="MSP324" s="26" t="s">
        <v>366</v>
      </c>
      <c r="MSQ324" s="26" t="s">
        <v>366</v>
      </c>
      <c r="MSR324" s="26" t="s">
        <v>366</v>
      </c>
      <c r="MSS324" s="26" t="s">
        <v>366</v>
      </c>
      <c r="MST324" s="26" t="s">
        <v>366</v>
      </c>
      <c r="MSU324" s="26" t="s">
        <v>366</v>
      </c>
      <c r="MSV324" s="26" t="s">
        <v>366</v>
      </c>
      <c r="MSW324" s="26" t="s">
        <v>366</v>
      </c>
      <c r="MSX324" s="26" t="s">
        <v>366</v>
      </c>
      <c r="MSY324" s="26" t="s">
        <v>366</v>
      </c>
      <c r="MSZ324" s="26" t="s">
        <v>366</v>
      </c>
      <c r="MTA324" s="26" t="s">
        <v>366</v>
      </c>
      <c r="MTB324" s="26" t="s">
        <v>366</v>
      </c>
      <c r="MTC324" s="26" t="s">
        <v>366</v>
      </c>
      <c r="MTD324" s="26" t="s">
        <v>366</v>
      </c>
      <c r="MTE324" s="26" t="s">
        <v>366</v>
      </c>
      <c r="MTF324" s="26" t="s">
        <v>366</v>
      </c>
      <c r="MTG324" s="26" t="s">
        <v>366</v>
      </c>
      <c r="MTH324" s="26" t="s">
        <v>366</v>
      </c>
      <c r="MTI324" s="26" t="s">
        <v>366</v>
      </c>
      <c r="MTJ324" s="26" t="s">
        <v>366</v>
      </c>
      <c r="MTK324" s="26" t="s">
        <v>366</v>
      </c>
      <c r="MTL324" s="26" t="s">
        <v>366</v>
      </c>
      <c r="MTM324" s="26" t="s">
        <v>366</v>
      </c>
      <c r="MTN324" s="26" t="s">
        <v>366</v>
      </c>
      <c r="MTO324" s="26" t="s">
        <v>366</v>
      </c>
      <c r="MTP324" s="26" t="s">
        <v>366</v>
      </c>
      <c r="MTQ324" s="26" t="s">
        <v>366</v>
      </c>
      <c r="MTR324" s="26" t="s">
        <v>366</v>
      </c>
      <c r="MTS324" s="26" t="s">
        <v>366</v>
      </c>
      <c r="MTT324" s="26" t="s">
        <v>366</v>
      </c>
      <c r="MTU324" s="26" t="s">
        <v>366</v>
      </c>
      <c r="MTV324" s="26" t="s">
        <v>366</v>
      </c>
      <c r="MTW324" s="26" t="s">
        <v>366</v>
      </c>
      <c r="MTX324" s="26" t="s">
        <v>366</v>
      </c>
      <c r="MTY324" s="26" t="s">
        <v>366</v>
      </c>
      <c r="MTZ324" s="26" t="s">
        <v>366</v>
      </c>
      <c r="MUA324" s="26" t="s">
        <v>366</v>
      </c>
      <c r="MUB324" s="26" t="s">
        <v>366</v>
      </c>
      <c r="MUC324" s="26" t="s">
        <v>366</v>
      </c>
      <c r="MUD324" s="26" t="s">
        <v>366</v>
      </c>
      <c r="MUE324" s="26" t="s">
        <v>366</v>
      </c>
      <c r="MUF324" s="26" t="s">
        <v>366</v>
      </c>
      <c r="MUG324" s="26" t="s">
        <v>366</v>
      </c>
      <c r="MUH324" s="26" t="s">
        <v>366</v>
      </c>
      <c r="MUI324" s="26" t="s">
        <v>366</v>
      </c>
      <c r="MUJ324" s="26" t="s">
        <v>366</v>
      </c>
      <c r="MUK324" s="26" t="s">
        <v>366</v>
      </c>
      <c r="MUL324" s="26" t="s">
        <v>366</v>
      </c>
      <c r="MUM324" s="26" t="s">
        <v>366</v>
      </c>
      <c r="MUN324" s="26" t="s">
        <v>366</v>
      </c>
      <c r="MUO324" s="26" t="s">
        <v>366</v>
      </c>
      <c r="MUP324" s="26" t="s">
        <v>366</v>
      </c>
      <c r="MUQ324" s="26" t="s">
        <v>366</v>
      </c>
      <c r="MUR324" s="26" t="s">
        <v>366</v>
      </c>
      <c r="MUS324" s="26" t="s">
        <v>366</v>
      </c>
      <c r="MUT324" s="26" t="s">
        <v>366</v>
      </c>
      <c r="MUU324" s="26" t="s">
        <v>366</v>
      </c>
      <c r="MUV324" s="26" t="s">
        <v>366</v>
      </c>
      <c r="MUW324" s="26" t="s">
        <v>366</v>
      </c>
      <c r="MUX324" s="26" t="s">
        <v>366</v>
      </c>
      <c r="MUY324" s="26" t="s">
        <v>366</v>
      </c>
      <c r="MUZ324" s="26" t="s">
        <v>366</v>
      </c>
      <c r="MVA324" s="26" t="s">
        <v>366</v>
      </c>
      <c r="MVB324" s="26" t="s">
        <v>366</v>
      </c>
      <c r="MVC324" s="26" t="s">
        <v>366</v>
      </c>
      <c r="MVD324" s="26" t="s">
        <v>366</v>
      </c>
      <c r="MVE324" s="26" t="s">
        <v>366</v>
      </c>
      <c r="MVF324" s="26" t="s">
        <v>366</v>
      </c>
      <c r="MVG324" s="26" t="s">
        <v>366</v>
      </c>
      <c r="MVH324" s="26" t="s">
        <v>366</v>
      </c>
      <c r="MVI324" s="26" t="s">
        <v>366</v>
      </c>
      <c r="MVJ324" s="26" t="s">
        <v>366</v>
      </c>
      <c r="MVK324" s="26" t="s">
        <v>366</v>
      </c>
      <c r="MVL324" s="26" t="s">
        <v>366</v>
      </c>
      <c r="MVM324" s="26" t="s">
        <v>366</v>
      </c>
      <c r="MVN324" s="26" t="s">
        <v>366</v>
      </c>
      <c r="MVO324" s="26" t="s">
        <v>366</v>
      </c>
      <c r="MVP324" s="26" t="s">
        <v>366</v>
      </c>
      <c r="MVQ324" s="26" t="s">
        <v>366</v>
      </c>
      <c r="MVR324" s="26" t="s">
        <v>366</v>
      </c>
      <c r="MVS324" s="26" t="s">
        <v>366</v>
      </c>
      <c r="MVT324" s="26" t="s">
        <v>366</v>
      </c>
      <c r="MVU324" s="26" t="s">
        <v>366</v>
      </c>
      <c r="MVV324" s="26" t="s">
        <v>366</v>
      </c>
      <c r="MVW324" s="26" t="s">
        <v>366</v>
      </c>
      <c r="MVX324" s="26" t="s">
        <v>366</v>
      </c>
      <c r="MVY324" s="26" t="s">
        <v>366</v>
      </c>
      <c r="MVZ324" s="26" t="s">
        <v>366</v>
      </c>
      <c r="MWA324" s="26" t="s">
        <v>366</v>
      </c>
      <c r="MWB324" s="26" t="s">
        <v>366</v>
      </c>
      <c r="MWC324" s="26" t="s">
        <v>366</v>
      </c>
      <c r="MWD324" s="26" t="s">
        <v>366</v>
      </c>
      <c r="MWE324" s="26" t="s">
        <v>366</v>
      </c>
      <c r="MWF324" s="26" t="s">
        <v>366</v>
      </c>
      <c r="MWG324" s="26" t="s">
        <v>366</v>
      </c>
      <c r="MWH324" s="26" t="s">
        <v>366</v>
      </c>
      <c r="MWI324" s="26" t="s">
        <v>366</v>
      </c>
      <c r="MWJ324" s="26" t="s">
        <v>366</v>
      </c>
      <c r="MWK324" s="26" t="s">
        <v>366</v>
      </c>
      <c r="MWL324" s="26" t="s">
        <v>366</v>
      </c>
      <c r="MWM324" s="26" t="s">
        <v>366</v>
      </c>
      <c r="MWN324" s="26" t="s">
        <v>366</v>
      </c>
      <c r="MWO324" s="26" t="s">
        <v>366</v>
      </c>
      <c r="MWP324" s="26" t="s">
        <v>366</v>
      </c>
      <c r="MWQ324" s="26" t="s">
        <v>366</v>
      </c>
      <c r="MWR324" s="26" t="s">
        <v>366</v>
      </c>
      <c r="MWS324" s="26" t="s">
        <v>366</v>
      </c>
      <c r="MWT324" s="26" t="s">
        <v>366</v>
      </c>
      <c r="MWU324" s="26" t="s">
        <v>366</v>
      </c>
      <c r="MWV324" s="26" t="s">
        <v>366</v>
      </c>
      <c r="MWW324" s="26" t="s">
        <v>366</v>
      </c>
      <c r="MWX324" s="26" t="s">
        <v>366</v>
      </c>
      <c r="MWY324" s="26" t="s">
        <v>366</v>
      </c>
      <c r="MWZ324" s="26" t="s">
        <v>366</v>
      </c>
      <c r="MXA324" s="26" t="s">
        <v>366</v>
      </c>
      <c r="MXB324" s="26" t="s">
        <v>366</v>
      </c>
      <c r="MXC324" s="26" t="s">
        <v>366</v>
      </c>
      <c r="MXD324" s="26" t="s">
        <v>366</v>
      </c>
      <c r="MXE324" s="26" t="s">
        <v>366</v>
      </c>
      <c r="MXF324" s="26" t="s">
        <v>366</v>
      </c>
      <c r="MXG324" s="26" t="s">
        <v>366</v>
      </c>
      <c r="MXH324" s="26" t="s">
        <v>366</v>
      </c>
      <c r="MXI324" s="26" t="s">
        <v>366</v>
      </c>
      <c r="MXJ324" s="26" t="s">
        <v>366</v>
      </c>
      <c r="MXK324" s="26" t="s">
        <v>366</v>
      </c>
      <c r="MXL324" s="26" t="s">
        <v>366</v>
      </c>
      <c r="MXM324" s="26" t="s">
        <v>366</v>
      </c>
      <c r="MXN324" s="26" t="s">
        <v>366</v>
      </c>
      <c r="MXO324" s="26" t="s">
        <v>366</v>
      </c>
      <c r="MXP324" s="26" t="s">
        <v>366</v>
      </c>
      <c r="MXQ324" s="26" t="s">
        <v>366</v>
      </c>
      <c r="MXR324" s="26" t="s">
        <v>366</v>
      </c>
      <c r="MXS324" s="26" t="s">
        <v>366</v>
      </c>
      <c r="MXT324" s="26" t="s">
        <v>366</v>
      </c>
      <c r="MXU324" s="26" t="s">
        <v>366</v>
      </c>
      <c r="MXV324" s="26" t="s">
        <v>366</v>
      </c>
      <c r="MXW324" s="26" t="s">
        <v>366</v>
      </c>
      <c r="MXX324" s="26" t="s">
        <v>366</v>
      </c>
      <c r="MXY324" s="26" t="s">
        <v>366</v>
      </c>
      <c r="MXZ324" s="26" t="s">
        <v>366</v>
      </c>
      <c r="MYA324" s="26" t="s">
        <v>366</v>
      </c>
      <c r="MYB324" s="26" t="s">
        <v>366</v>
      </c>
      <c r="MYC324" s="26" t="s">
        <v>366</v>
      </c>
      <c r="MYD324" s="26" t="s">
        <v>366</v>
      </c>
      <c r="MYE324" s="26" t="s">
        <v>366</v>
      </c>
      <c r="MYF324" s="26" t="s">
        <v>366</v>
      </c>
      <c r="MYG324" s="26" t="s">
        <v>366</v>
      </c>
      <c r="MYH324" s="26" t="s">
        <v>366</v>
      </c>
      <c r="MYI324" s="26" t="s">
        <v>366</v>
      </c>
      <c r="MYJ324" s="26" t="s">
        <v>366</v>
      </c>
      <c r="MYK324" s="26" t="s">
        <v>366</v>
      </c>
      <c r="MYL324" s="26" t="s">
        <v>366</v>
      </c>
      <c r="MYM324" s="26" t="s">
        <v>366</v>
      </c>
      <c r="MYN324" s="26" t="s">
        <v>366</v>
      </c>
      <c r="MYO324" s="26" t="s">
        <v>366</v>
      </c>
      <c r="MYP324" s="26" t="s">
        <v>366</v>
      </c>
      <c r="MYQ324" s="26" t="s">
        <v>366</v>
      </c>
      <c r="MYR324" s="26" t="s">
        <v>366</v>
      </c>
      <c r="MYS324" s="26" t="s">
        <v>366</v>
      </c>
      <c r="MYT324" s="26" t="s">
        <v>366</v>
      </c>
      <c r="MYU324" s="26" t="s">
        <v>366</v>
      </c>
      <c r="MYV324" s="26" t="s">
        <v>366</v>
      </c>
      <c r="MYW324" s="26" t="s">
        <v>366</v>
      </c>
      <c r="MYX324" s="26" t="s">
        <v>366</v>
      </c>
      <c r="MYY324" s="26" t="s">
        <v>366</v>
      </c>
      <c r="MYZ324" s="26" t="s">
        <v>366</v>
      </c>
      <c r="MZA324" s="26" t="s">
        <v>366</v>
      </c>
      <c r="MZB324" s="26" t="s">
        <v>366</v>
      </c>
      <c r="MZC324" s="26" t="s">
        <v>366</v>
      </c>
      <c r="MZD324" s="26" t="s">
        <v>366</v>
      </c>
      <c r="MZE324" s="26" t="s">
        <v>366</v>
      </c>
      <c r="MZF324" s="26" t="s">
        <v>366</v>
      </c>
      <c r="MZG324" s="26" t="s">
        <v>366</v>
      </c>
      <c r="MZH324" s="26" t="s">
        <v>366</v>
      </c>
      <c r="MZI324" s="26" t="s">
        <v>366</v>
      </c>
      <c r="MZJ324" s="26" t="s">
        <v>366</v>
      </c>
      <c r="MZK324" s="26" t="s">
        <v>366</v>
      </c>
      <c r="MZL324" s="26" t="s">
        <v>366</v>
      </c>
      <c r="MZM324" s="26" t="s">
        <v>366</v>
      </c>
      <c r="MZN324" s="26" t="s">
        <v>366</v>
      </c>
      <c r="MZO324" s="26" t="s">
        <v>366</v>
      </c>
      <c r="MZP324" s="26" t="s">
        <v>366</v>
      </c>
      <c r="MZQ324" s="26" t="s">
        <v>366</v>
      </c>
      <c r="MZR324" s="26" t="s">
        <v>366</v>
      </c>
      <c r="MZS324" s="26" t="s">
        <v>366</v>
      </c>
      <c r="MZT324" s="26" t="s">
        <v>366</v>
      </c>
      <c r="MZU324" s="26" t="s">
        <v>366</v>
      </c>
      <c r="MZV324" s="26" t="s">
        <v>366</v>
      </c>
      <c r="MZW324" s="26" t="s">
        <v>366</v>
      </c>
      <c r="MZX324" s="26" t="s">
        <v>366</v>
      </c>
      <c r="MZY324" s="26" t="s">
        <v>366</v>
      </c>
      <c r="MZZ324" s="26" t="s">
        <v>366</v>
      </c>
      <c r="NAA324" s="26" t="s">
        <v>366</v>
      </c>
      <c r="NAB324" s="26" t="s">
        <v>366</v>
      </c>
      <c r="NAC324" s="26" t="s">
        <v>366</v>
      </c>
      <c r="NAD324" s="26" t="s">
        <v>366</v>
      </c>
      <c r="NAE324" s="26" t="s">
        <v>366</v>
      </c>
      <c r="NAF324" s="26" t="s">
        <v>366</v>
      </c>
      <c r="NAG324" s="26" t="s">
        <v>366</v>
      </c>
      <c r="NAH324" s="26" t="s">
        <v>366</v>
      </c>
      <c r="NAI324" s="26" t="s">
        <v>366</v>
      </c>
      <c r="NAJ324" s="26" t="s">
        <v>366</v>
      </c>
      <c r="NAK324" s="26" t="s">
        <v>366</v>
      </c>
      <c r="NAL324" s="26" t="s">
        <v>366</v>
      </c>
      <c r="NAM324" s="26" t="s">
        <v>366</v>
      </c>
      <c r="NAN324" s="26" t="s">
        <v>366</v>
      </c>
      <c r="NAO324" s="26" t="s">
        <v>366</v>
      </c>
      <c r="NAP324" s="26" t="s">
        <v>366</v>
      </c>
      <c r="NAQ324" s="26" t="s">
        <v>366</v>
      </c>
      <c r="NAR324" s="26" t="s">
        <v>366</v>
      </c>
      <c r="NAS324" s="26" t="s">
        <v>366</v>
      </c>
      <c r="NAT324" s="26" t="s">
        <v>366</v>
      </c>
      <c r="NAU324" s="26" t="s">
        <v>366</v>
      </c>
      <c r="NAV324" s="26" t="s">
        <v>366</v>
      </c>
      <c r="NAW324" s="26" t="s">
        <v>366</v>
      </c>
      <c r="NAX324" s="26" t="s">
        <v>366</v>
      </c>
      <c r="NAY324" s="26" t="s">
        <v>366</v>
      </c>
      <c r="NAZ324" s="26" t="s">
        <v>366</v>
      </c>
      <c r="NBA324" s="26" t="s">
        <v>366</v>
      </c>
      <c r="NBB324" s="26" t="s">
        <v>366</v>
      </c>
      <c r="NBC324" s="26" t="s">
        <v>366</v>
      </c>
      <c r="NBD324" s="26" t="s">
        <v>366</v>
      </c>
      <c r="NBE324" s="26" t="s">
        <v>366</v>
      </c>
      <c r="NBF324" s="26" t="s">
        <v>366</v>
      </c>
      <c r="NBG324" s="26" t="s">
        <v>366</v>
      </c>
      <c r="NBH324" s="26" t="s">
        <v>366</v>
      </c>
      <c r="NBI324" s="26" t="s">
        <v>366</v>
      </c>
      <c r="NBJ324" s="26" t="s">
        <v>366</v>
      </c>
      <c r="NBK324" s="26" t="s">
        <v>366</v>
      </c>
      <c r="NBL324" s="26" t="s">
        <v>366</v>
      </c>
      <c r="NBM324" s="26" t="s">
        <v>366</v>
      </c>
      <c r="NBN324" s="26" t="s">
        <v>366</v>
      </c>
      <c r="NBO324" s="26" t="s">
        <v>366</v>
      </c>
      <c r="NBP324" s="26" t="s">
        <v>366</v>
      </c>
      <c r="NBQ324" s="26" t="s">
        <v>366</v>
      </c>
      <c r="NBR324" s="26" t="s">
        <v>366</v>
      </c>
      <c r="NBS324" s="26" t="s">
        <v>366</v>
      </c>
      <c r="NBT324" s="26" t="s">
        <v>366</v>
      </c>
      <c r="NBU324" s="26" t="s">
        <v>366</v>
      </c>
      <c r="NBV324" s="26" t="s">
        <v>366</v>
      </c>
      <c r="NBW324" s="26" t="s">
        <v>366</v>
      </c>
      <c r="NBX324" s="26" t="s">
        <v>366</v>
      </c>
      <c r="NBY324" s="26" t="s">
        <v>366</v>
      </c>
      <c r="NBZ324" s="26" t="s">
        <v>366</v>
      </c>
      <c r="NCA324" s="26" t="s">
        <v>366</v>
      </c>
      <c r="NCB324" s="26" t="s">
        <v>366</v>
      </c>
      <c r="NCC324" s="26" t="s">
        <v>366</v>
      </c>
      <c r="NCD324" s="26" t="s">
        <v>366</v>
      </c>
      <c r="NCE324" s="26" t="s">
        <v>366</v>
      </c>
      <c r="NCF324" s="26" t="s">
        <v>366</v>
      </c>
      <c r="NCG324" s="26" t="s">
        <v>366</v>
      </c>
      <c r="NCH324" s="26" t="s">
        <v>366</v>
      </c>
      <c r="NCI324" s="26" t="s">
        <v>366</v>
      </c>
      <c r="NCJ324" s="26" t="s">
        <v>366</v>
      </c>
      <c r="NCK324" s="26" t="s">
        <v>366</v>
      </c>
      <c r="NCL324" s="26" t="s">
        <v>366</v>
      </c>
      <c r="NCM324" s="26" t="s">
        <v>366</v>
      </c>
      <c r="NCN324" s="26" t="s">
        <v>366</v>
      </c>
      <c r="NCO324" s="26" t="s">
        <v>366</v>
      </c>
      <c r="NCP324" s="26" t="s">
        <v>366</v>
      </c>
      <c r="NCQ324" s="26" t="s">
        <v>366</v>
      </c>
      <c r="NCR324" s="26" t="s">
        <v>366</v>
      </c>
      <c r="NCS324" s="26" t="s">
        <v>366</v>
      </c>
      <c r="NCT324" s="26" t="s">
        <v>366</v>
      </c>
      <c r="NCU324" s="26" t="s">
        <v>366</v>
      </c>
      <c r="NCV324" s="26" t="s">
        <v>366</v>
      </c>
      <c r="NCW324" s="26" t="s">
        <v>366</v>
      </c>
      <c r="NCX324" s="26" t="s">
        <v>366</v>
      </c>
      <c r="NCY324" s="26" t="s">
        <v>366</v>
      </c>
      <c r="NCZ324" s="26" t="s">
        <v>366</v>
      </c>
      <c r="NDA324" s="26" t="s">
        <v>366</v>
      </c>
      <c r="NDB324" s="26" t="s">
        <v>366</v>
      </c>
      <c r="NDC324" s="26" t="s">
        <v>366</v>
      </c>
      <c r="NDD324" s="26" t="s">
        <v>366</v>
      </c>
      <c r="NDE324" s="26" t="s">
        <v>366</v>
      </c>
      <c r="NDF324" s="26" t="s">
        <v>366</v>
      </c>
      <c r="NDG324" s="26" t="s">
        <v>366</v>
      </c>
      <c r="NDH324" s="26" t="s">
        <v>366</v>
      </c>
      <c r="NDI324" s="26" t="s">
        <v>366</v>
      </c>
      <c r="NDJ324" s="26" t="s">
        <v>366</v>
      </c>
      <c r="NDK324" s="26" t="s">
        <v>366</v>
      </c>
      <c r="NDL324" s="26" t="s">
        <v>366</v>
      </c>
      <c r="NDM324" s="26" t="s">
        <v>366</v>
      </c>
      <c r="NDN324" s="26" t="s">
        <v>366</v>
      </c>
      <c r="NDO324" s="26" t="s">
        <v>366</v>
      </c>
      <c r="NDP324" s="26" t="s">
        <v>366</v>
      </c>
      <c r="NDQ324" s="26" t="s">
        <v>366</v>
      </c>
      <c r="NDR324" s="26" t="s">
        <v>366</v>
      </c>
      <c r="NDS324" s="26" t="s">
        <v>366</v>
      </c>
      <c r="NDT324" s="26" t="s">
        <v>366</v>
      </c>
      <c r="NDU324" s="26" t="s">
        <v>366</v>
      </c>
      <c r="NDV324" s="26" t="s">
        <v>366</v>
      </c>
      <c r="NDW324" s="26" t="s">
        <v>366</v>
      </c>
      <c r="NDX324" s="26" t="s">
        <v>366</v>
      </c>
      <c r="NDY324" s="26" t="s">
        <v>366</v>
      </c>
      <c r="NDZ324" s="26" t="s">
        <v>366</v>
      </c>
      <c r="NEA324" s="26" t="s">
        <v>366</v>
      </c>
      <c r="NEB324" s="26" t="s">
        <v>366</v>
      </c>
      <c r="NEC324" s="26" t="s">
        <v>366</v>
      </c>
      <c r="NED324" s="26" t="s">
        <v>366</v>
      </c>
      <c r="NEE324" s="26" t="s">
        <v>366</v>
      </c>
      <c r="NEF324" s="26" t="s">
        <v>366</v>
      </c>
      <c r="NEG324" s="26" t="s">
        <v>366</v>
      </c>
      <c r="NEH324" s="26" t="s">
        <v>366</v>
      </c>
      <c r="NEI324" s="26" t="s">
        <v>366</v>
      </c>
      <c r="NEJ324" s="26" t="s">
        <v>366</v>
      </c>
      <c r="NEK324" s="26" t="s">
        <v>366</v>
      </c>
      <c r="NEL324" s="26" t="s">
        <v>366</v>
      </c>
      <c r="NEM324" s="26" t="s">
        <v>366</v>
      </c>
      <c r="NEN324" s="26" t="s">
        <v>366</v>
      </c>
      <c r="NEO324" s="26" t="s">
        <v>366</v>
      </c>
      <c r="NEP324" s="26" t="s">
        <v>366</v>
      </c>
      <c r="NEQ324" s="26" t="s">
        <v>366</v>
      </c>
      <c r="NER324" s="26" t="s">
        <v>366</v>
      </c>
      <c r="NES324" s="26" t="s">
        <v>366</v>
      </c>
      <c r="NET324" s="26" t="s">
        <v>366</v>
      </c>
      <c r="NEU324" s="26" t="s">
        <v>366</v>
      </c>
      <c r="NEV324" s="26" t="s">
        <v>366</v>
      </c>
      <c r="NEW324" s="26" t="s">
        <v>366</v>
      </c>
      <c r="NEX324" s="26" t="s">
        <v>366</v>
      </c>
      <c r="NEY324" s="26" t="s">
        <v>366</v>
      </c>
      <c r="NEZ324" s="26" t="s">
        <v>366</v>
      </c>
      <c r="NFA324" s="26" t="s">
        <v>366</v>
      </c>
      <c r="NFB324" s="26" t="s">
        <v>366</v>
      </c>
      <c r="NFC324" s="26" t="s">
        <v>366</v>
      </c>
      <c r="NFD324" s="26" t="s">
        <v>366</v>
      </c>
      <c r="NFE324" s="26" t="s">
        <v>366</v>
      </c>
      <c r="NFF324" s="26" t="s">
        <v>366</v>
      </c>
      <c r="NFG324" s="26" t="s">
        <v>366</v>
      </c>
      <c r="NFH324" s="26" t="s">
        <v>366</v>
      </c>
      <c r="NFI324" s="26" t="s">
        <v>366</v>
      </c>
      <c r="NFJ324" s="26" t="s">
        <v>366</v>
      </c>
      <c r="NFK324" s="26" t="s">
        <v>366</v>
      </c>
      <c r="NFL324" s="26" t="s">
        <v>366</v>
      </c>
      <c r="NFM324" s="26" t="s">
        <v>366</v>
      </c>
      <c r="NFN324" s="26" t="s">
        <v>366</v>
      </c>
      <c r="NFO324" s="26" t="s">
        <v>366</v>
      </c>
      <c r="NFP324" s="26" t="s">
        <v>366</v>
      </c>
      <c r="NFQ324" s="26" t="s">
        <v>366</v>
      </c>
      <c r="NFR324" s="26" t="s">
        <v>366</v>
      </c>
      <c r="NFS324" s="26" t="s">
        <v>366</v>
      </c>
      <c r="NFT324" s="26" t="s">
        <v>366</v>
      </c>
      <c r="NFU324" s="26" t="s">
        <v>366</v>
      </c>
      <c r="NFV324" s="26" t="s">
        <v>366</v>
      </c>
      <c r="NFW324" s="26" t="s">
        <v>366</v>
      </c>
      <c r="NFX324" s="26" t="s">
        <v>366</v>
      </c>
      <c r="NFY324" s="26" t="s">
        <v>366</v>
      </c>
      <c r="NFZ324" s="26" t="s">
        <v>366</v>
      </c>
      <c r="NGA324" s="26" t="s">
        <v>366</v>
      </c>
      <c r="NGB324" s="26" t="s">
        <v>366</v>
      </c>
      <c r="NGC324" s="26" t="s">
        <v>366</v>
      </c>
      <c r="NGD324" s="26" t="s">
        <v>366</v>
      </c>
      <c r="NGE324" s="26" t="s">
        <v>366</v>
      </c>
      <c r="NGF324" s="26" t="s">
        <v>366</v>
      </c>
      <c r="NGG324" s="26" t="s">
        <v>366</v>
      </c>
      <c r="NGH324" s="26" t="s">
        <v>366</v>
      </c>
      <c r="NGI324" s="26" t="s">
        <v>366</v>
      </c>
      <c r="NGJ324" s="26" t="s">
        <v>366</v>
      </c>
      <c r="NGK324" s="26" t="s">
        <v>366</v>
      </c>
      <c r="NGL324" s="26" t="s">
        <v>366</v>
      </c>
      <c r="NGM324" s="26" t="s">
        <v>366</v>
      </c>
      <c r="NGN324" s="26" t="s">
        <v>366</v>
      </c>
      <c r="NGO324" s="26" t="s">
        <v>366</v>
      </c>
      <c r="NGP324" s="26" t="s">
        <v>366</v>
      </c>
      <c r="NGQ324" s="26" t="s">
        <v>366</v>
      </c>
      <c r="NGR324" s="26" t="s">
        <v>366</v>
      </c>
      <c r="NGS324" s="26" t="s">
        <v>366</v>
      </c>
      <c r="NGT324" s="26" t="s">
        <v>366</v>
      </c>
      <c r="NGU324" s="26" t="s">
        <v>366</v>
      </c>
      <c r="NGV324" s="26" t="s">
        <v>366</v>
      </c>
      <c r="NGW324" s="26" t="s">
        <v>366</v>
      </c>
      <c r="NGX324" s="26" t="s">
        <v>366</v>
      </c>
      <c r="NGY324" s="26" t="s">
        <v>366</v>
      </c>
      <c r="NGZ324" s="26" t="s">
        <v>366</v>
      </c>
      <c r="NHA324" s="26" t="s">
        <v>366</v>
      </c>
      <c r="NHB324" s="26" t="s">
        <v>366</v>
      </c>
      <c r="NHC324" s="26" t="s">
        <v>366</v>
      </c>
      <c r="NHD324" s="26" t="s">
        <v>366</v>
      </c>
      <c r="NHE324" s="26" t="s">
        <v>366</v>
      </c>
      <c r="NHF324" s="26" t="s">
        <v>366</v>
      </c>
      <c r="NHG324" s="26" t="s">
        <v>366</v>
      </c>
      <c r="NHH324" s="26" t="s">
        <v>366</v>
      </c>
      <c r="NHI324" s="26" t="s">
        <v>366</v>
      </c>
      <c r="NHJ324" s="26" t="s">
        <v>366</v>
      </c>
      <c r="NHK324" s="26" t="s">
        <v>366</v>
      </c>
      <c r="NHL324" s="26" t="s">
        <v>366</v>
      </c>
      <c r="NHM324" s="26" t="s">
        <v>366</v>
      </c>
      <c r="NHN324" s="26" t="s">
        <v>366</v>
      </c>
      <c r="NHO324" s="26" t="s">
        <v>366</v>
      </c>
      <c r="NHP324" s="26" t="s">
        <v>366</v>
      </c>
      <c r="NHQ324" s="26" t="s">
        <v>366</v>
      </c>
      <c r="NHR324" s="26" t="s">
        <v>366</v>
      </c>
      <c r="NHS324" s="26" t="s">
        <v>366</v>
      </c>
      <c r="NHT324" s="26" t="s">
        <v>366</v>
      </c>
      <c r="NHU324" s="26" t="s">
        <v>366</v>
      </c>
      <c r="NHV324" s="26" t="s">
        <v>366</v>
      </c>
      <c r="NHW324" s="26" t="s">
        <v>366</v>
      </c>
      <c r="NHX324" s="26" t="s">
        <v>366</v>
      </c>
      <c r="NHY324" s="26" t="s">
        <v>366</v>
      </c>
      <c r="NHZ324" s="26" t="s">
        <v>366</v>
      </c>
      <c r="NIA324" s="26" t="s">
        <v>366</v>
      </c>
      <c r="NIB324" s="26" t="s">
        <v>366</v>
      </c>
      <c r="NIC324" s="26" t="s">
        <v>366</v>
      </c>
      <c r="NID324" s="26" t="s">
        <v>366</v>
      </c>
      <c r="NIE324" s="26" t="s">
        <v>366</v>
      </c>
      <c r="NIF324" s="26" t="s">
        <v>366</v>
      </c>
      <c r="NIG324" s="26" t="s">
        <v>366</v>
      </c>
      <c r="NIH324" s="26" t="s">
        <v>366</v>
      </c>
      <c r="NII324" s="26" t="s">
        <v>366</v>
      </c>
      <c r="NIJ324" s="26" t="s">
        <v>366</v>
      </c>
      <c r="NIK324" s="26" t="s">
        <v>366</v>
      </c>
      <c r="NIL324" s="26" t="s">
        <v>366</v>
      </c>
      <c r="NIM324" s="26" t="s">
        <v>366</v>
      </c>
      <c r="NIN324" s="26" t="s">
        <v>366</v>
      </c>
      <c r="NIO324" s="26" t="s">
        <v>366</v>
      </c>
      <c r="NIP324" s="26" t="s">
        <v>366</v>
      </c>
      <c r="NIQ324" s="26" t="s">
        <v>366</v>
      </c>
      <c r="NIR324" s="26" t="s">
        <v>366</v>
      </c>
      <c r="NIS324" s="26" t="s">
        <v>366</v>
      </c>
      <c r="NIT324" s="26" t="s">
        <v>366</v>
      </c>
      <c r="NIU324" s="26" t="s">
        <v>366</v>
      </c>
      <c r="NIV324" s="26" t="s">
        <v>366</v>
      </c>
      <c r="NIW324" s="26" t="s">
        <v>366</v>
      </c>
      <c r="NIX324" s="26" t="s">
        <v>366</v>
      </c>
      <c r="NIY324" s="26" t="s">
        <v>366</v>
      </c>
      <c r="NIZ324" s="26" t="s">
        <v>366</v>
      </c>
      <c r="NJA324" s="26" t="s">
        <v>366</v>
      </c>
      <c r="NJB324" s="26" t="s">
        <v>366</v>
      </c>
      <c r="NJC324" s="26" t="s">
        <v>366</v>
      </c>
      <c r="NJD324" s="26" t="s">
        <v>366</v>
      </c>
      <c r="NJE324" s="26" t="s">
        <v>366</v>
      </c>
      <c r="NJF324" s="26" t="s">
        <v>366</v>
      </c>
      <c r="NJG324" s="26" t="s">
        <v>366</v>
      </c>
      <c r="NJH324" s="26" t="s">
        <v>366</v>
      </c>
      <c r="NJI324" s="26" t="s">
        <v>366</v>
      </c>
      <c r="NJJ324" s="26" t="s">
        <v>366</v>
      </c>
      <c r="NJK324" s="26" t="s">
        <v>366</v>
      </c>
      <c r="NJL324" s="26" t="s">
        <v>366</v>
      </c>
      <c r="NJM324" s="26" t="s">
        <v>366</v>
      </c>
      <c r="NJN324" s="26" t="s">
        <v>366</v>
      </c>
      <c r="NJO324" s="26" t="s">
        <v>366</v>
      </c>
      <c r="NJP324" s="26" t="s">
        <v>366</v>
      </c>
      <c r="NJQ324" s="26" t="s">
        <v>366</v>
      </c>
      <c r="NJR324" s="26" t="s">
        <v>366</v>
      </c>
      <c r="NJS324" s="26" t="s">
        <v>366</v>
      </c>
      <c r="NJT324" s="26" t="s">
        <v>366</v>
      </c>
      <c r="NJU324" s="26" t="s">
        <v>366</v>
      </c>
      <c r="NJV324" s="26" t="s">
        <v>366</v>
      </c>
      <c r="NJW324" s="26" t="s">
        <v>366</v>
      </c>
      <c r="NJX324" s="26" t="s">
        <v>366</v>
      </c>
      <c r="NJY324" s="26" t="s">
        <v>366</v>
      </c>
      <c r="NJZ324" s="26" t="s">
        <v>366</v>
      </c>
      <c r="NKA324" s="26" t="s">
        <v>366</v>
      </c>
      <c r="NKB324" s="26" t="s">
        <v>366</v>
      </c>
      <c r="NKC324" s="26" t="s">
        <v>366</v>
      </c>
      <c r="NKD324" s="26" t="s">
        <v>366</v>
      </c>
      <c r="NKE324" s="26" t="s">
        <v>366</v>
      </c>
      <c r="NKF324" s="26" t="s">
        <v>366</v>
      </c>
      <c r="NKG324" s="26" t="s">
        <v>366</v>
      </c>
      <c r="NKH324" s="26" t="s">
        <v>366</v>
      </c>
      <c r="NKI324" s="26" t="s">
        <v>366</v>
      </c>
      <c r="NKJ324" s="26" t="s">
        <v>366</v>
      </c>
      <c r="NKK324" s="26" t="s">
        <v>366</v>
      </c>
      <c r="NKL324" s="26" t="s">
        <v>366</v>
      </c>
      <c r="NKM324" s="26" t="s">
        <v>366</v>
      </c>
      <c r="NKN324" s="26" t="s">
        <v>366</v>
      </c>
      <c r="NKO324" s="26" t="s">
        <v>366</v>
      </c>
      <c r="NKP324" s="26" t="s">
        <v>366</v>
      </c>
      <c r="NKQ324" s="26" t="s">
        <v>366</v>
      </c>
      <c r="NKR324" s="26" t="s">
        <v>366</v>
      </c>
      <c r="NKS324" s="26" t="s">
        <v>366</v>
      </c>
      <c r="NKT324" s="26" t="s">
        <v>366</v>
      </c>
      <c r="NKU324" s="26" t="s">
        <v>366</v>
      </c>
      <c r="NKV324" s="26" t="s">
        <v>366</v>
      </c>
      <c r="NKW324" s="26" t="s">
        <v>366</v>
      </c>
      <c r="NKX324" s="26" t="s">
        <v>366</v>
      </c>
      <c r="NKY324" s="26" t="s">
        <v>366</v>
      </c>
      <c r="NKZ324" s="26" t="s">
        <v>366</v>
      </c>
      <c r="NLA324" s="26" t="s">
        <v>366</v>
      </c>
      <c r="NLB324" s="26" t="s">
        <v>366</v>
      </c>
      <c r="NLC324" s="26" t="s">
        <v>366</v>
      </c>
      <c r="NLD324" s="26" t="s">
        <v>366</v>
      </c>
      <c r="NLE324" s="26" t="s">
        <v>366</v>
      </c>
      <c r="NLF324" s="26" t="s">
        <v>366</v>
      </c>
      <c r="NLG324" s="26" t="s">
        <v>366</v>
      </c>
      <c r="NLH324" s="26" t="s">
        <v>366</v>
      </c>
      <c r="NLI324" s="26" t="s">
        <v>366</v>
      </c>
      <c r="NLJ324" s="26" t="s">
        <v>366</v>
      </c>
      <c r="NLK324" s="26" t="s">
        <v>366</v>
      </c>
      <c r="NLL324" s="26" t="s">
        <v>366</v>
      </c>
      <c r="NLM324" s="26" t="s">
        <v>366</v>
      </c>
      <c r="NLN324" s="26" t="s">
        <v>366</v>
      </c>
      <c r="NLO324" s="26" t="s">
        <v>366</v>
      </c>
      <c r="NLP324" s="26" t="s">
        <v>366</v>
      </c>
      <c r="NLQ324" s="26" t="s">
        <v>366</v>
      </c>
      <c r="NLR324" s="26" t="s">
        <v>366</v>
      </c>
      <c r="NLS324" s="26" t="s">
        <v>366</v>
      </c>
      <c r="NLT324" s="26" t="s">
        <v>366</v>
      </c>
      <c r="NLU324" s="26" t="s">
        <v>366</v>
      </c>
      <c r="NLV324" s="26" t="s">
        <v>366</v>
      </c>
      <c r="NLW324" s="26" t="s">
        <v>366</v>
      </c>
      <c r="NLX324" s="26" t="s">
        <v>366</v>
      </c>
      <c r="NLY324" s="26" t="s">
        <v>366</v>
      </c>
      <c r="NLZ324" s="26" t="s">
        <v>366</v>
      </c>
      <c r="NMA324" s="26" t="s">
        <v>366</v>
      </c>
      <c r="NMB324" s="26" t="s">
        <v>366</v>
      </c>
      <c r="NMC324" s="26" t="s">
        <v>366</v>
      </c>
      <c r="NMD324" s="26" t="s">
        <v>366</v>
      </c>
      <c r="NME324" s="26" t="s">
        <v>366</v>
      </c>
      <c r="NMF324" s="26" t="s">
        <v>366</v>
      </c>
      <c r="NMG324" s="26" t="s">
        <v>366</v>
      </c>
      <c r="NMH324" s="26" t="s">
        <v>366</v>
      </c>
      <c r="NMI324" s="26" t="s">
        <v>366</v>
      </c>
      <c r="NMJ324" s="26" t="s">
        <v>366</v>
      </c>
      <c r="NMK324" s="26" t="s">
        <v>366</v>
      </c>
      <c r="NML324" s="26" t="s">
        <v>366</v>
      </c>
      <c r="NMM324" s="26" t="s">
        <v>366</v>
      </c>
      <c r="NMN324" s="26" t="s">
        <v>366</v>
      </c>
      <c r="NMO324" s="26" t="s">
        <v>366</v>
      </c>
      <c r="NMP324" s="26" t="s">
        <v>366</v>
      </c>
      <c r="NMQ324" s="26" t="s">
        <v>366</v>
      </c>
      <c r="NMR324" s="26" t="s">
        <v>366</v>
      </c>
      <c r="NMS324" s="26" t="s">
        <v>366</v>
      </c>
      <c r="NMT324" s="26" t="s">
        <v>366</v>
      </c>
      <c r="NMU324" s="26" t="s">
        <v>366</v>
      </c>
      <c r="NMV324" s="26" t="s">
        <v>366</v>
      </c>
      <c r="NMW324" s="26" t="s">
        <v>366</v>
      </c>
      <c r="NMX324" s="26" t="s">
        <v>366</v>
      </c>
      <c r="NMY324" s="26" t="s">
        <v>366</v>
      </c>
      <c r="NMZ324" s="26" t="s">
        <v>366</v>
      </c>
      <c r="NNA324" s="26" t="s">
        <v>366</v>
      </c>
      <c r="NNB324" s="26" t="s">
        <v>366</v>
      </c>
      <c r="NNC324" s="26" t="s">
        <v>366</v>
      </c>
      <c r="NND324" s="26" t="s">
        <v>366</v>
      </c>
      <c r="NNE324" s="26" t="s">
        <v>366</v>
      </c>
      <c r="NNF324" s="26" t="s">
        <v>366</v>
      </c>
      <c r="NNG324" s="26" t="s">
        <v>366</v>
      </c>
      <c r="NNH324" s="26" t="s">
        <v>366</v>
      </c>
      <c r="NNI324" s="26" t="s">
        <v>366</v>
      </c>
      <c r="NNJ324" s="26" t="s">
        <v>366</v>
      </c>
      <c r="NNK324" s="26" t="s">
        <v>366</v>
      </c>
      <c r="NNL324" s="26" t="s">
        <v>366</v>
      </c>
      <c r="NNM324" s="26" t="s">
        <v>366</v>
      </c>
      <c r="NNN324" s="26" t="s">
        <v>366</v>
      </c>
      <c r="NNO324" s="26" t="s">
        <v>366</v>
      </c>
      <c r="NNP324" s="26" t="s">
        <v>366</v>
      </c>
      <c r="NNQ324" s="26" t="s">
        <v>366</v>
      </c>
      <c r="NNR324" s="26" t="s">
        <v>366</v>
      </c>
      <c r="NNS324" s="26" t="s">
        <v>366</v>
      </c>
      <c r="NNT324" s="26" t="s">
        <v>366</v>
      </c>
      <c r="NNU324" s="26" t="s">
        <v>366</v>
      </c>
      <c r="NNV324" s="26" t="s">
        <v>366</v>
      </c>
      <c r="NNW324" s="26" t="s">
        <v>366</v>
      </c>
      <c r="NNX324" s="26" t="s">
        <v>366</v>
      </c>
      <c r="NNY324" s="26" t="s">
        <v>366</v>
      </c>
      <c r="NNZ324" s="26" t="s">
        <v>366</v>
      </c>
      <c r="NOA324" s="26" t="s">
        <v>366</v>
      </c>
      <c r="NOB324" s="26" t="s">
        <v>366</v>
      </c>
      <c r="NOC324" s="26" t="s">
        <v>366</v>
      </c>
      <c r="NOD324" s="26" t="s">
        <v>366</v>
      </c>
      <c r="NOE324" s="26" t="s">
        <v>366</v>
      </c>
      <c r="NOF324" s="26" t="s">
        <v>366</v>
      </c>
      <c r="NOG324" s="26" t="s">
        <v>366</v>
      </c>
      <c r="NOH324" s="26" t="s">
        <v>366</v>
      </c>
      <c r="NOI324" s="26" t="s">
        <v>366</v>
      </c>
      <c r="NOJ324" s="26" t="s">
        <v>366</v>
      </c>
      <c r="NOK324" s="26" t="s">
        <v>366</v>
      </c>
      <c r="NOL324" s="26" t="s">
        <v>366</v>
      </c>
      <c r="NOM324" s="26" t="s">
        <v>366</v>
      </c>
      <c r="NON324" s="26" t="s">
        <v>366</v>
      </c>
      <c r="NOO324" s="26" t="s">
        <v>366</v>
      </c>
      <c r="NOP324" s="26" t="s">
        <v>366</v>
      </c>
      <c r="NOQ324" s="26" t="s">
        <v>366</v>
      </c>
      <c r="NOR324" s="26" t="s">
        <v>366</v>
      </c>
      <c r="NOS324" s="26" t="s">
        <v>366</v>
      </c>
      <c r="NOT324" s="26" t="s">
        <v>366</v>
      </c>
      <c r="NOU324" s="26" t="s">
        <v>366</v>
      </c>
      <c r="NOV324" s="26" t="s">
        <v>366</v>
      </c>
      <c r="NOW324" s="26" t="s">
        <v>366</v>
      </c>
      <c r="NOX324" s="26" t="s">
        <v>366</v>
      </c>
      <c r="NOY324" s="26" t="s">
        <v>366</v>
      </c>
      <c r="NOZ324" s="26" t="s">
        <v>366</v>
      </c>
      <c r="NPA324" s="26" t="s">
        <v>366</v>
      </c>
      <c r="NPB324" s="26" t="s">
        <v>366</v>
      </c>
      <c r="NPC324" s="26" t="s">
        <v>366</v>
      </c>
      <c r="NPD324" s="26" t="s">
        <v>366</v>
      </c>
      <c r="NPE324" s="26" t="s">
        <v>366</v>
      </c>
      <c r="NPF324" s="26" t="s">
        <v>366</v>
      </c>
      <c r="NPG324" s="26" t="s">
        <v>366</v>
      </c>
      <c r="NPH324" s="26" t="s">
        <v>366</v>
      </c>
      <c r="NPI324" s="26" t="s">
        <v>366</v>
      </c>
      <c r="NPJ324" s="26" t="s">
        <v>366</v>
      </c>
      <c r="NPK324" s="26" t="s">
        <v>366</v>
      </c>
      <c r="NPL324" s="26" t="s">
        <v>366</v>
      </c>
      <c r="NPM324" s="26" t="s">
        <v>366</v>
      </c>
      <c r="NPN324" s="26" t="s">
        <v>366</v>
      </c>
      <c r="NPO324" s="26" t="s">
        <v>366</v>
      </c>
      <c r="NPP324" s="26" t="s">
        <v>366</v>
      </c>
      <c r="NPQ324" s="26" t="s">
        <v>366</v>
      </c>
      <c r="NPR324" s="26" t="s">
        <v>366</v>
      </c>
      <c r="NPS324" s="26" t="s">
        <v>366</v>
      </c>
      <c r="NPT324" s="26" t="s">
        <v>366</v>
      </c>
      <c r="NPU324" s="26" t="s">
        <v>366</v>
      </c>
      <c r="NPV324" s="26" t="s">
        <v>366</v>
      </c>
      <c r="NPW324" s="26" t="s">
        <v>366</v>
      </c>
      <c r="NPX324" s="26" t="s">
        <v>366</v>
      </c>
      <c r="NPY324" s="26" t="s">
        <v>366</v>
      </c>
      <c r="NPZ324" s="26" t="s">
        <v>366</v>
      </c>
      <c r="NQA324" s="26" t="s">
        <v>366</v>
      </c>
      <c r="NQB324" s="26" t="s">
        <v>366</v>
      </c>
      <c r="NQC324" s="26" t="s">
        <v>366</v>
      </c>
      <c r="NQD324" s="26" t="s">
        <v>366</v>
      </c>
      <c r="NQE324" s="26" t="s">
        <v>366</v>
      </c>
      <c r="NQF324" s="26" t="s">
        <v>366</v>
      </c>
      <c r="NQG324" s="26" t="s">
        <v>366</v>
      </c>
      <c r="NQH324" s="26" t="s">
        <v>366</v>
      </c>
      <c r="NQI324" s="26" t="s">
        <v>366</v>
      </c>
      <c r="NQJ324" s="26" t="s">
        <v>366</v>
      </c>
      <c r="NQK324" s="26" t="s">
        <v>366</v>
      </c>
      <c r="NQL324" s="26" t="s">
        <v>366</v>
      </c>
      <c r="NQM324" s="26" t="s">
        <v>366</v>
      </c>
      <c r="NQN324" s="26" t="s">
        <v>366</v>
      </c>
      <c r="NQO324" s="26" t="s">
        <v>366</v>
      </c>
      <c r="NQP324" s="26" t="s">
        <v>366</v>
      </c>
      <c r="NQQ324" s="26" t="s">
        <v>366</v>
      </c>
      <c r="NQR324" s="26" t="s">
        <v>366</v>
      </c>
      <c r="NQS324" s="26" t="s">
        <v>366</v>
      </c>
      <c r="NQT324" s="26" t="s">
        <v>366</v>
      </c>
      <c r="NQU324" s="26" t="s">
        <v>366</v>
      </c>
      <c r="NQV324" s="26" t="s">
        <v>366</v>
      </c>
      <c r="NQW324" s="26" t="s">
        <v>366</v>
      </c>
      <c r="NQX324" s="26" t="s">
        <v>366</v>
      </c>
      <c r="NQY324" s="26" t="s">
        <v>366</v>
      </c>
      <c r="NQZ324" s="26" t="s">
        <v>366</v>
      </c>
      <c r="NRA324" s="26" t="s">
        <v>366</v>
      </c>
      <c r="NRB324" s="26" t="s">
        <v>366</v>
      </c>
      <c r="NRC324" s="26" t="s">
        <v>366</v>
      </c>
      <c r="NRD324" s="26" t="s">
        <v>366</v>
      </c>
      <c r="NRE324" s="26" t="s">
        <v>366</v>
      </c>
      <c r="NRF324" s="26" t="s">
        <v>366</v>
      </c>
      <c r="NRG324" s="26" t="s">
        <v>366</v>
      </c>
      <c r="NRH324" s="26" t="s">
        <v>366</v>
      </c>
      <c r="NRI324" s="26" t="s">
        <v>366</v>
      </c>
      <c r="NRJ324" s="26" t="s">
        <v>366</v>
      </c>
      <c r="NRK324" s="26" t="s">
        <v>366</v>
      </c>
      <c r="NRL324" s="26" t="s">
        <v>366</v>
      </c>
      <c r="NRM324" s="26" t="s">
        <v>366</v>
      </c>
      <c r="NRN324" s="26" t="s">
        <v>366</v>
      </c>
      <c r="NRO324" s="26" t="s">
        <v>366</v>
      </c>
      <c r="NRP324" s="26" t="s">
        <v>366</v>
      </c>
      <c r="NRQ324" s="26" t="s">
        <v>366</v>
      </c>
      <c r="NRR324" s="26" t="s">
        <v>366</v>
      </c>
      <c r="NRS324" s="26" t="s">
        <v>366</v>
      </c>
      <c r="NRT324" s="26" t="s">
        <v>366</v>
      </c>
      <c r="NRU324" s="26" t="s">
        <v>366</v>
      </c>
      <c r="NRV324" s="26" t="s">
        <v>366</v>
      </c>
      <c r="NRW324" s="26" t="s">
        <v>366</v>
      </c>
      <c r="NRX324" s="26" t="s">
        <v>366</v>
      </c>
      <c r="NRY324" s="26" t="s">
        <v>366</v>
      </c>
      <c r="NRZ324" s="26" t="s">
        <v>366</v>
      </c>
      <c r="NSA324" s="26" t="s">
        <v>366</v>
      </c>
      <c r="NSB324" s="26" t="s">
        <v>366</v>
      </c>
      <c r="NSC324" s="26" t="s">
        <v>366</v>
      </c>
      <c r="NSD324" s="26" t="s">
        <v>366</v>
      </c>
      <c r="NSE324" s="26" t="s">
        <v>366</v>
      </c>
      <c r="NSF324" s="26" t="s">
        <v>366</v>
      </c>
      <c r="NSG324" s="26" t="s">
        <v>366</v>
      </c>
      <c r="NSH324" s="26" t="s">
        <v>366</v>
      </c>
      <c r="NSI324" s="26" t="s">
        <v>366</v>
      </c>
      <c r="NSJ324" s="26" t="s">
        <v>366</v>
      </c>
      <c r="NSK324" s="26" t="s">
        <v>366</v>
      </c>
      <c r="NSL324" s="26" t="s">
        <v>366</v>
      </c>
      <c r="NSM324" s="26" t="s">
        <v>366</v>
      </c>
      <c r="NSN324" s="26" t="s">
        <v>366</v>
      </c>
      <c r="NSO324" s="26" t="s">
        <v>366</v>
      </c>
      <c r="NSP324" s="26" t="s">
        <v>366</v>
      </c>
      <c r="NSQ324" s="26" t="s">
        <v>366</v>
      </c>
      <c r="NSR324" s="26" t="s">
        <v>366</v>
      </c>
      <c r="NSS324" s="26" t="s">
        <v>366</v>
      </c>
      <c r="NST324" s="26" t="s">
        <v>366</v>
      </c>
      <c r="NSU324" s="26" t="s">
        <v>366</v>
      </c>
      <c r="NSV324" s="26" t="s">
        <v>366</v>
      </c>
      <c r="NSW324" s="26" t="s">
        <v>366</v>
      </c>
      <c r="NSX324" s="26" t="s">
        <v>366</v>
      </c>
      <c r="NSY324" s="26" t="s">
        <v>366</v>
      </c>
      <c r="NSZ324" s="26" t="s">
        <v>366</v>
      </c>
      <c r="NTA324" s="26" t="s">
        <v>366</v>
      </c>
      <c r="NTB324" s="26" t="s">
        <v>366</v>
      </c>
      <c r="NTC324" s="26" t="s">
        <v>366</v>
      </c>
      <c r="NTD324" s="26" t="s">
        <v>366</v>
      </c>
      <c r="NTE324" s="26" t="s">
        <v>366</v>
      </c>
      <c r="NTF324" s="26" t="s">
        <v>366</v>
      </c>
      <c r="NTG324" s="26" t="s">
        <v>366</v>
      </c>
      <c r="NTH324" s="26" t="s">
        <v>366</v>
      </c>
      <c r="NTI324" s="26" t="s">
        <v>366</v>
      </c>
      <c r="NTJ324" s="26" t="s">
        <v>366</v>
      </c>
      <c r="NTK324" s="26" t="s">
        <v>366</v>
      </c>
      <c r="NTL324" s="26" t="s">
        <v>366</v>
      </c>
      <c r="NTM324" s="26" t="s">
        <v>366</v>
      </c>
      <c r="NTN324" s="26" t="s">
        <v>366</v>
      </c>
      <c r="NTO324" s="26" t="s">
        <v>366</v>
      </c>
      <c r="NTP324" s="26" t="s">
        <v>366</v>
      </c>
      <c r="NTQ324" s="26" t="s">
        <v>366</v>
      </c>
      <c r="NTR324" s="26" t="s">
        <v>366</v>
      </c>
      <c r="NTS324" s="26" t="s">
        <v>366</v>
      </c>
      <c r="NTT324" s="26" t="s">
        <v>366</v>
      </c>
      <c r="NTU324" s="26" t="s">
        <v>366</v>
      </c>
      <c r="NTV324" s="26" t="s">
        <v>366</v>
      </c>
      <c r="NTW324" s="26" t="s">
        <v>366</v>
      </c>
      <c r="NTX324" s="26" t="s">
        <v>366</v>
      </c>
      <c r="NTY324" s="26" t="s">
        <v>366</v>
      </c>
      <c r="NTZ324" s="26" t="s">
        <v>366</v>
      </c>
      <c r="NUA324" s="26" t="s">
        <v>366</v>
      </c>
      <c r="NUB324" s="26" t="s">
        <v>366</v>
      </c>
      <c r="NUC324" s="26" t="s">
        <v>366</v>
      </c>
      <c r="NUD324" s="26" t="s">
        <v>366</v>
      </c>
      <c r="NUE324" s="26" t="s">
        <v>366</v>
      </c>
      <c r="NUF324" s="26" t="s">
        <v>366</v>
      </c>
      <c r="NUG324" s="26" t="s">
        <v>366</v>
      </c>
      <c r="NUH324" s="26" t="s">
        <v>366</v>
      </c>
      <c r="NUI324" s="26" t="s">
        <v>366</v>
      </c>
      <c r="NUJ324" s="26" t="s">
        <v>366</v>
      </c>
      <c r="NUK324" s="26" t="s">
        <v>366</v>
      </c>
      <c r="NUL324" s="26" t="s">
        <v>366</v>
      </c>
      <c r="NUM324" s="26" t="s">
        <v>366</v>
      </c>
      <c r="NUN324" s="26" t="s">
        <v>366</v>
      </c>
      <c r="NUO324" s="26" t="s">
        <v>366</v>
      </c>
      <c r="NUP324" s="26" t="s">
        <v>366</v>
      </c>
      <c r="NUQ324" s="26" t="s">
        <v>366</v>
      </c>
      <c r="NUR324" s="26" t="s">
        <v>366</v>
      </c>
      <c r="NUS324" s="26" t="s">
        <v>366</v>
      </c>
      <c r="NUT324" s="26" t="s">
        <v>366</v>
      </c>
      <c r="NUU324" s="26" t="s">
        <v>366</v>
      </c>
      <c r="NUV324" s="26" t="s">
        <v>366</v>
      </c>
      <c r="NUW324" s="26" t="s">
        <v>366</v>
      </c>
      <c r="NUX324" s="26" t="s">
        <v>366</v>
      </c>
      <c r="NUY324" s="26" t="s">
        <v>366</v>
      </c>
      <c r="NUZ324" s="26" t="s">
        <v>366</v>
      </c>
      <c r="NVA324" s="26" t="s">
        <v>366</v>
      </c>
      <c r="NVB324" s="26" t="s">
        <v>366</v>
      </c>
      <c r="NVC324" s="26" t="s">
        <v>366</v>
      </c>
      <c r="NVD324" s="26" t="s">
        <v>366</v>
      </c>
      <c r="NVE324" s="26" t="s">
        <v>366</v>
      </c>
      <c r="NVF324" s="26" t="s">
        <v>366</v>
      </c>
      <c r="NVG324" s="26" t="s">
        <v>366</v>
      </c>
      <c r="NVH324" s="26" t="s">
        <v>366</v>
      </c>
      <c r="NVI324" s="26" t="s">
        <v>366</v>
      </c>
      <c r="NVJ324" s="26" t="s">
        <v>366</v>
      </c>
      <c r="NVK324" s="26" t="s">
        <v>366</v>
      </c>
      <c r="NVL324" s="26" t="s">
        <v>366</v>
      </c>
      <c r="NVM324" s="26" t="s">
        <v>366</v>
      </c>
      <c r="NVN324" s="26" t="s">
        <v>366</v>
      </c>
      <c r="NVO324" s="26" t="s">
        <v>366</v>
      </c>
      <c r="NVP324" s="26" t="s">
        <v>366</v>
      </c>
      <c r="NVQ324" s="26" t="s">
        <v>366</v>
      </c>
      <c r="NVR324" s="26" t="s">
        <v>366</v>
      </c>
      <c r="NVS324" s="26" t="s">
        <v>366</v>
      </c>
      <c r="NVT324" s="26" t="s">
        <v>366</v>
      </c>
      <c r="NVU324" s="26" t="s">
        <v>366</v>
      </c>
      <c r="NVV324" s="26" t="s">
        <v>366</v>
      </c>
      <c r="NVW324" s="26" t="s">
        <v>366</v>
      </c>
      <c r="NVX324" s="26" t="s">
        <v>366</v>
      </c>
      <c r="NVY324" s="26" t="s">
        <v>366</v>
      </c>
      <c r="NVZ324" s="26" t="s">
        <v>366</v>
      </c>
      <c r="NWA324" s="26" t="s">
        <v>366</v>
      </c>
      <c r="NWB324" s="26" t="s">
        <v>366</v>
      </c>
      <c r="NWC324" s="26" t="s">
        <v>366</v>
      </c>
      <c r="NWD324" s="26" t="s">
        <v>366</v>
      </c>
      <c r="NWE324" s="26" t="s">
        <v>366</v>
      </c>
      <c r="NWF324" s="26" t="s">
        <v>366</v>
      </c>
      <c r="NWG324" s="26" t="s">
        <v>366</v>
      </c>
      <c r="NWH324" s="26" t="s">
        <v>366</v>
      </c>
      <c r="NWI324" s="26" t="s">
        <v>366</v>
      </c>
      <c r="NWJ324" s="26" t="s">
        <v>366</v>
      </c>
      <c r="NWK324" s="26" t="s">
        <v>366</v>
      </c>
      <c r="NWL324" s="26" t="s">
        <v>366</v>
      </c>
      <c r="NWM324" s="26" t="s">
        <v>366</v>
      </c>
      <c r="NWN324" s="26" t="s">
        <v>366</v>
      </c>
      <c r="NWO324" s="26" t="s">
        <v>366</v>
      </c>
      <c r="NWP324" s="26" t="s">
        <v>366</v>
      </c>
      <c r="NWQ324" s="26" t="s">
        <v>366</v>
      </c>
      <c r="NWR324" s="26" t="s">
        <v>366</v>
      </c>
      <c r="NWS324" s="26" t="s">
        <v>366</v>
      </c>
      <c r="NWT324" s="26" t="s">
        <v>366</v>
      </c>
      <c r="NWU324" s="26" t="s">
        <v>366</v>
      </c>
      <c r="NWV324" s="26" t="s">
        <v>366</v>
      </c>
      <c r="NWW324" s="26" t="s">
        <v>366</v>
      </c>
      <c r="NWX324" s="26" t="s">
        <v>366</v>
      </c>
      <c r="NWY324" s="26" t="s">
        <v>366</v>
      </c>
      <c r="NWZ324" s="26" t="s">
        <v>366</v>
      </c>
      <c r="NXA324" s="26" t="s">
        <v>366</v>
      </c>
      <c r="NXB324" s="26" t="s">
        <v>366</v>
      </c>
      <c r="NXC324" s="26" t="s">
        <v>366</v>
      </c>
      <c r="NXD324" s="26" t="s">
        <v>366</v>
      </c>
      <c r="NXE324" s="26" t="s">
        <v>366</v>
      </c>
      <c r="NXF324" s="26" t="s">
        <v>366</v>
      </c>
      <c r="NXG324" s="26" t="s">
        <v>366</v>
      </c>
      <c r="NXH324" s="26" t="s">
        <v>366</v>
      </c>
      <c r="NXI324" s="26" t="s">
        <v>366</v>
      </c>
      <c r="NXJ324" s="26" t="s">
        <v>366</v>
      </c>
      <c r="NXK324" s="26" t="s">
        <v>366</v>
      </c>
      <c r="NXL324" s="26" t="s">
        <v>366</v>
      </c>
      <c r="NXM324" s="26" t="s">
        <v>366</v>
      </c>
      <c r="NXN324" s="26" t="s">
        <v>366</v>
      </c>
      <c r="NXO324" s="26" t="s">
        <v>366</v>
      </c>
      <c r="NXP324" s="26" t="s">
        <v>366</v>
      </c>
      <c r="NXQ324" s="26" t="s">
        <v>366</v>
      </c>
      <c r="NXR324" s="26" t="s">
        <v>366</v>
      </c>
      <c r="NXS324" s="26" t="s">
        <v>366</v>
      </c>
      <c r="NXT324" s="26" t="s">
        <v>366</v>
      </c>
      <c r="NXU324" s="26" t="s">
        <v>366</v>
      </c>
      <c r="NXV324" s="26" t="s">
        <v>366</v>
      </c>
      <c r="NXW324" s="26" t="s">
        <v>366</v>
      </c>
      <c r="NXX324" s="26" t="s">
        <v>366</v>
      </c>
      <c r="NXY324" s="26" t="s">
        <v>366</v>
      </c>
      <c r="NXZ324" s="26" t="s">
        <v>366</v>
      </c>
      <c r="NYA324" s="26" t="s">
        <v>366</v>
      </c>
      <c r="NYB324" s="26" t="s">
        <v>366</v>
      </c>
      <c r="NYC324" s="26" t="s">
        <v>366</v>
      </c>
      <c r="NYD324" s="26" t="s">
        <v>366</v>
      </c>
      <c r="NYE324" s="26" t="s">
        <v>366</v>
      </c>
      <c r="NYF324" s="26" t="s">
        <v>366</v>
      </c>
      <c r="NYG324" s="26" t="s">
        <v>366</v>
      </c>
      <c r="NYH324" s="26" t="s">
        <v>366</v>
      </c>
      <c r="NYI324" s="26" t="s">
        <v>366</v>
      </c>
      <c r="NYJ324" s="26" t="s">
        <v>366</v>
      </c>
      <c r="NYK324" s="26" t="s">
        <v>366</v>
      </c>
      <c r="NYL324" s="26" t="s">
        <v>366</v>
      </c>
      <c r="NYM324" s="26" t="s">
        <v>366</v>
      </c>
      <c r="NYN324" s="26" t="s">
        <v>366</v>
      </c>
      <c r="NYO324" s="26" t="s">
        <v>366</v>
      </c>
      <c r="NYP324" s="26" t="s">
        <v>366</v>
      </c>
      <c r="NYQ324" s="26" t="s">
        <v>366</v>
      </c>
      <c r="NYR324" s="26" t="s">
        <v>366</v>
      </c>
      <c r="NYS324" s="26" t="s">
        <v>366</v>
      </c>
      <c r="NYT324" s="26" t="s">
        <v>366</v>
      </c>
      <c r="NYU324" s="26" t="s">
        <v>366</v>
      </c>
      <c r="NYV324" s="26" t="s">
        <v>366</v>
      </c>
      <c r="NYW324" s="26" t="s">
        <v>366</v>
      </c>
      <c r="NYX324" s="26" t="s">
        <v>366</v>
      </c>
      <c r="NYY324" s="26" t="s">
        <v>366</v>
      </c>
      <c r="NYZ324" s="26" t="s">
        <v>366</v>
      </c>
      <c r="NZA324" s="26" t="s">
        <v>366</v>
      </c>
      <c r="NZB324" s="26" t="s">
        <v>366</v>
      </c>
      <c r="NZC324" s="26" t="s">
        <v>366</v>
      </c>
      <c r="NZD324" s="26" t="s">
        <v>366</v>
      </c>
      <c r="NZE324" s="26" t="s">
        <v>366</v>
      </c>
      <c r="NZF324" s="26" t="s">
        <v>366</v>
      </c>
      <c r="NZG324" s="26" t="s">
        <v>366</v>
      </c>
      <c r="NZH324" s="26" t="s">
        <v>366</v>
      </c>
      <c r="NZI324" s="26" t="s">
        <v>366</v>
      </c>
      <c r="NZJ324" s="26" t="s">
        <v>366</v>
      </c>
      <c r="NZK324" s="26" t="s">
        <v>366</v>
      </c>
      <c r="NZL324" s="26" t="s">
        <v>366</v>
      </c>
      <c r="NZM324" s="26" t="s">
        <v>366</v>
      </c>
      <c r="NZN324" s="26" t="s">
        <v>366</v>
      </c>
      <c r="NZO324" s="26" t="s">
        <v>366</v>
      </c>
      <c r="NZP324" s="26" t="s">
        <v>366</v>
      </c>
      <c r="NZQ324" s="26" t="s">
        <v>366</v>
      </c>
      <c r="NZR324" s="26" t="s">
        <v>366</v>
      </c>
      <c r="NZS324" s="26" t="s">
        <v>366</v>
      </c>
      <c r="NZT324" s="26" t="s">
        <v>366</v>
      </c>
      <c r="NZU324" s="26" t="s">
        <v>366</v>
      </c>
      <c r="NZV324" s="26" t="s">
        <v>366</v>
      </c>
      <c r="NZW324" s="26" t="s">
        <v>366</v>
      </c>
      <c r="NZX324" s="26" t="s">
        <v>366</v>
      </c>
      <c r="NZY324" s="26" t="s">
        <v>366</v>
      </c>
      <c r="NZZ324" s="26" t="s">
        <v>366</v>
      </c>
      <c r="OAA324" s="26" t="s">
        <v>366</v>
      </c>
      <c r="OAB324" s="26" t="s">
        <v>366</v>
      </c>
      <c r="OAC324" s="26" t="s">
        <v>366</v>
      </c>
      <c r="OAD324" s="26" t="s">
        <v>366</v>
      </c>
      <c r="OAE324" s="26" t="s">
        <v>366</v>
      </c>
      <c r="OAF324" s="26" t="s">
        <v>366</v>
      </c>
      <c r="OAG324" s="26" t="s">
        <v>366</v>
      </c>
      <c r="OAH324" s="26" t="s">
        <v>366</v>
      </c>
      <c r="OAI324" s="26" t="s">
        <v>366</v>
      </c>
      <c r="OAJ324" s="26" t="s">
        <v>366</v>
      </c>
      <c r="OAK324" s="26" t="s">
        <v>366</v>
      </c>
      <c r="OAL324" s="26" t="s">
        <v>366</v>
      </c>
      <c r="OAM324" s="26" t="s">
        <v>366</v>
      </c>
      <c r="OAN324" s="26" t="s">
        <v>366</v>
      </c>
      <c r="OAO324" s="26" t="s">
        <v>366</v>
      </c>
      <c r="OAP324" s="26" t="s">
        <v>366</v>
      </c>
      <c r="OAQ324" s="26" t="s">
        <v>366</v>
      </c>
      <c r="OAR324" s="26" t="s">
        <v>366</v>
      </c>
      <c r="OAS324" s="26" t="s">
        <v>366</v>
      </c>
      <c r="OAT324" s="26" t="s">
        <v>366</v>
      </c>
      <c r="OAU324" s="26" t="s">
        <v>366</v>
      </c>
      <c r="OAV324" s="26" t="s">
        <v>366</v>
      </c>
      <c r="OAW324" s="26" t="s">
        <v>366</v>
      </c>
      <c r="OAX324" s="26" t="s">
        <v>366</v>
      </c>
      <c r="OAY324" s="26" t="s">
        <v>366</v>
      </c>
      <c r="OAZ324" s="26" t="s">
        <v>366</v>
      </c>
      <c r="OBA324" s="26" t="s">
        <v>366</v>
      </c>
      <c r="OBB324" s="26" t="s">
        <v>366</v>
      </c>
      <c r="OBC324" s="26" t="s">
        <v>366</v>
      </c>
      <c r="OBD324" s="26" t="s">
        <v>366</v>
      </c>
      <c r="OBE324" s="26" t="s">
        <v>366</v>
      </c>
      <c r="OBF324" s="26" t="s">
        <v>366</v>
      </c>
      <c r="OBG324" s="26" t="s">
        <v>366</v>
      </c>
      <c r="OBH324" s="26" t="s">
        <v>366</v>
      </c>
      <c r="OBI324" s="26" t="s">
        <v>366</v>
      </c>
      <c r="OBJ324" s="26" t="s">
        <v>366</v>
      </c>
      <c r="OBK324" s="26" t="s">
        <v>366</v>
      </c>
      <c r="OBL324" s="26" t="s">
        <v>366</v>
      </c>
      <c r="OBM324" s="26" t="s">
        <v>366</v>
      </c>
      <c r="OBN324" s="26" t="s">
        <v>366</v>
      </c>
      <c r="OBO324" s="26" t="s">
        <v>366</v>
      </c>
      <c r="OBP324" s="26" t="s">
        <v>366</v>
      </c>
      <c r="OBQ324" s="26" t="s">
        <v>366</v>
      </c>
      <c r="OBR324" s="26" t="s">
        <v>366</v>
      </c>
      <c r="OBS324" s="26" t="s">
        <v>366</v>
      </c>
      <c r="OBT324" s="26" t="s">
        <v>366</v>
      </c>
      <c r="OBU324" s="26" t="s">
        <v>366</v>
      </c>
      <c r="OBV324" s="26" t="s">
        <v>366</v>
      </c>
      <c r="OBW324" s="26" t="s">
        <v>366</v>
      </c>
      <c r="OBX324" s="26" t="s">
        <v>366</v>
      </c>
      <c r="OBY324" s="26" t="s">
        <v>366</v>
      </c>
      <c r="OBZ324" s="26" t="s">
        <v>366</v>
      </c>
      <c r="OCA324" s="26" t="s">
        <v>366</v>
      </c>
      <c r="OCB324" s="26" t="s">
        <v>366</v>
      </c>
      <c r="OCC324" s="26" t="s">
        <v>366</v>
      </c>
      <c r="OCD324" s="26" t="s">
        <v>366</v>
      </c>
      <c r="OCE324" s="26" t="s">
        <v>366</v>
      </c>
      <c r="OCF324" s="26" t="s">
        <v>366</v>
      </c>
      <c r="OCG324" s="26" t="s">
        <v>366</v>
      </c>
      <c r="OCH324" s="26" t="s">
        <v>366</v>
      </c>
      <c r="OCI324" s="26" t="s">
        <v>366</v>
      </c>
      <c r="OCJ324" s="26" t="s">
        <v>366</v>
      </c>
      <c r="OCK324" s="26" t="s">
        <v>366</v>
      </c>
      <c r="OCL324" s="26" t="s">
        <v>366</v>
      </c>
      <c r="OCM324" s="26" t="s">
        <v>366</v>
      </c>
      <c r="OCN324" s="26" t="s">
        <v>366</v>
      </c>
      <c r="OCO324" s="26" t="s">
        <v>366</v>
      </c>
      <c r="OCP324" s="26" t="s">
        <v>366</v>
      </c>
      <c r="OCQ324" s="26" t="s">
        <v>366</v>
      </c>
      <c r="OCR324" s="26" t="s">
        <v>366</v>
      </c>
      <c r="OCS324" s="26" t="s">
        <v>366</v>
      </c>
      <c r="OCT324" s="26" t="s">
        <v>366</v>
      </c>
      <c r="OCU324" s="26" t="s">
        <v>366</v>
      </c>
      <c r="OCV324" s="26" t="s">
        <v>366</v>
      </c>
      <c r="OCW324" s="26" t="s">
        <v>366</v>
      </c>
      <c r="OCX324" s="26" t="s">
        <v>366</v>
      </c>
      <c r="OCY324" s="26" t="s">
        <v>366</v>
      </c>
      <c r="OCZ324" s="26" t="s">
        <v>366</v>
      </c>
      <c r="ODA324" s="26" t="s">
        <v>366</v>
      </c>
      <c r="ODB324" s="26" t="s">
        <v>366</v>
      </c>
      <c r="ODC324" s="26" t="s">
        <v>366</v>
      </c>
      <c r="ODD324" s="26" t="s">
        <v>366</v>
      </c>
      <c r="ODE324" s="26" t="s">
        <v>366</v>
      </c>
      <c r="ODF324" s="26" t="s">
        <v>366</v>
      </c>
      <c r="ODG324" s="26" t="s">
        <v>366</v>
      </c>
      <c r="ODH324" s="26" t="s">
        <v>366</v>
      </c>
      <c r="ODI324" s="26" t="s">
        <v>366</v>
      </c>
      <c r="ODJ324" s="26" t="s">
        <v>366</v>
      </c>
      <c r="ODK324" s="26" t="s">
        <v>366</v>
      </c>
      <c r="ODL324" s="26" t="s">
        <v>366</v>
      </c>
      <c r="ODM324" s="26" t="s">
        <v>366</v>
      </c>
      <c r="ODN324" s="26" t="s">
        <v>366</v>
      </c>
      <c r="ODO324" s="26" t="s">
        <v>366</v>
      </c>
      <c r="ODP324" s="26" t="s">
        <v>366</v>
      </c>
      <c r="ODQ324" s="26" t="s">
        <v>366</v>
      </c>
      <c r="ODR324" s="26" t="s">
        <v>366</v>
      </c>
      <c r="ODS324" s="26" t="s">
        <v>366</v>
      </c>
      <c r="ODT324" s="26" t="s">
        <v>366</v>
      </c>
      <c r="ODU324" s="26" t="s">
        <v>366</v>
      </c>
      <c r="ODV324" s="26" t="s">
        <v>366</v>
      </c>
      <c r="ODW324" s="26" t="s">
        <v>366</v>
      </c>
      <c r="ODX324" s="26" t="s">
        <v>366</v>
      </c>
      <c r="ODY324" s="26" t="s">
        <v>366</v>
      </c>
      <c r="ODZ324" s="26" t="s">
        <v>366</v>
      </c>
      <c r="OEA324" s="26" t="s">
        <v>366</v>
      </c>
      <c r="OEB324" s="26" t="s">
        <v>366</v>
      </c>
      <c r="OEC324" s="26" t="s">
        <v>366</v>
      </c>
      <c r="OED324" s="26" t="s">
        <v>366</v>
      </c>
      <c r="OEE324" s="26" t="s">
        <v>366</v>
      </c>
      <c r="OEF324" s="26" t="s">
        <v>366</v>
      </c>
      <c r="OEG324" s="26" t="s">
        <v>366</v>
      </c>
      <c r="OEH324" s="26" t="s">
        <v>366</v>
      </c>
      <c r="OEI324" s="26" t="s">
        <v>366</v>
      </c>
      <c r="OEJ324" s="26" t="s">
        <v>366</v>
      </c>
      <c r="OEK324" s="26" t="s">
        <v>366</v>
      </c>
      <c r="OEL324" s="26" t="s">
        <v>366</v>
      </c>
      <c r="OEM324" s="26" t="s">
        <v>366</v>
      </c>
      <c r="OEN324" s="26" t="s">
        <v>366</v>
      </c>
      <c r="OEO324" s="26" t="s">
        <v>366</v>
      </c>
      <c r="OEP324" s="26" t="s">
        <v>366</v>
      </c>
      <c r="OEQ324" s="26" t="s">
        <v>366</v>
      </c>
      <c r="OER324" s="26" t="s">
        <v>366</v>
      </c>
      <c r="OES324" s="26" t="s">
        <v>366</v>
      </c>
      <c r="OET324" s="26" t="s">
        <v>366</v>
      </c>
      <c r="OEU324" s="26" t="s">
        <v>366</v>
      </c>
      <c r="OEV324" s="26" t="s">
        <v>366</v>
      </c>
      <c r="OEW324" s="26" t="s">
        <v>366</v>
      </c>
      <c r="OEX324" s="26" t="s">
        <v>366</v>
      </c>
      <c r="OEY324" s="26" t="s">
        <v>366</v>
      </c>
      <c r="OEZ324" s="26" t="s">
        <v>366</v>
      </c>
      <c r="OFA324" s="26" t="s">
        <v>366</v>
      </c>
      <c r="OFB324" s="26" t="s">
        <v>366</v>
      </c>
      <c r="OFC324" s="26" t="s">
        <v>366</v>
      </c>
      <c r="OFD324" s="26" t="s">
        <v>366</v>
      </c>
      <c r="OFE324" s="26" t="s">
        <v>366</v>
      </c>
      <c r="OFF324" s="26" t="s">
        <v>366</v>
      </c>
      <c r="OFG324" s="26" t="s">
        <v>366</v>
      </c>
      <c r="OFH324" s="26" t="s">
        <v>366</v>
      </c>
      <c r="OFI324" s="26" t="s">
        <v>366</v>
      </c>
      <c r="OFJ324" s="26" t="s">
        <v>366</v>
      </c>
      <c r="OFK324" s="26" t="s">
        <v>366</v>
      </c>
      <c r="OFL324" s="26" t="s">
        <v>366</v>
      </c>
      <c r="OFM324" s="26" t="s">
        <v>366</v>
      </c>
      <c r="OFN324" s="26" t="s">
        <v>366</v>
      </c>
      <c r="OFO324" s="26" t="s">
        <v>366</v>
      </c>
      <c r="OFP324" s="26" t="s">
        <v>366</v>
      </c>
      <c r="OFQ324" s="26" t="s">
        <v>366</v>
      </c>
      <c r="OFR324" s="26" t="s">
        <v>366</v>
      </c>
      <c r="OFS324" s="26" t="s">
        <v>366</v>
      </c>
      <c r="OFT324" s="26" t="s">
        <v>366</v>
      </c>
      <c r="OFU324" s="26" t="s">
        <v>366</v>
      </c>
      <c r="OFV324" s="26" t="s">
        <v>366</v>
      </c>
      <c r="OFW324" s="26" t="s">
        <v>366</v>
      </c>
      <c r="OFX324" s="26" t="s">
        <v>366</v>
      </c>
      <c r="OFY324" s="26" t="s">
        <v>366</v>
      </c>
      <c r="OFZ324" s="26" t="s">
        <v>366</v>
      </c>
      <c r="OGA324" s="26" t="s">
        <v>366</v>
      </c>
      <c r="OGB324" s="26" t="s">
        <v>366</v>
      </c>
      <c r="OGC324" s="26" t="s">
        <v>366</v>
      </c>
      <c r="OGD324" s="26" t="s">
        <v>366</v>
      </c>
      <c r="OGE324" s="26" t="s">
        <v>366</v>
      </c>
      <c r="OGF324" s="26" t="s">
        <v>366</v>
      </c>
      <c r="OGG324" s="26" t="s">
        <v>366</v>
      </c>
      <c r="OGH324" s="26" t="s">
        <v>366</v>
      </c>
      <c r="OGI324" s="26" t="s">
        <v>366</v>
      </c>
      <c r="OGJ324" s="26" t="s">
        <v>366</v>
      </c>
      <c r="OGK324" s="26" t="s">
        <v>366</v>
      </c>
      <c r="OGL324" s="26" t="s">
        <v>366</v>
      </c>
      <c r="OGM324" s="26" t="s">
        <v>366</v>
      </c>
      <c r="OGN324" s="26" t="s">
        <v>366</v>
      </c>
      <c r="OGO324" s="26" t="s">
        <v>366</v>
      </c>
      <c r="OGP324" s="26" t="s">
        <v>366</v>
      </c>
      <c r="OGQ324" s="26" t="s">
        <v>366</v>
      </c>
      <c r="OGR324" s="26" t="s">
        <v>366</v>
      </c>
      <c r="OGS324" s="26" t="s">
        <v>366</v>
      </c>
      <c r="OGT324" s="26" t="s">
        <v>366</v>
      </c>
      <c r="OGU324" s="26" t="s">
        <v>366</v>
      </c>
      <c r="OGV324" s="26" t="s">
        <v>366</v>
      </c>
      <c r="OGW324" s="26" t="s">
        <v>366</v>
      </c>
      <c r="OGX324" s="26" t="s">
        <v>366</v>
      </c>
      <c r="OGY324" s="26" t="s">
        <v>366</v>
      </c>
      <c r="OGZ324" s="26" t="s">
        <v>366</v>
      </c>
      <c r="OHA324" s="26" t="s">
        <v>366</v>
      </c>
      <c r="OHB324" s="26" t="s">
        <v>366</v>
      </c>
      <c r="OHC324" s="26" t="s">
        <v>366</v>
      </c>
      <c r="OHD324" s="26" t="s">
        <v>366</v>
      </c>
      <c r="OHE324" s="26" t="s">
        <v>366</v>
      </c>
      <c r="OHF324" s="26" t="s">
        <v>366</v>
      </c>
      <c r="OHG324" s="26" t="s">
        <v>366</v>
      </c>
      <c r="OHH324" s="26" t="s">
        <v>366</v>
      </c>
      <c r="OHI324" s="26" t="s">
        <v>366</v>
      </c>
      <c r="OHJ324" s="26" t="s">
        <v>366</v>
      </c>
      <c r="OHK324" s="26" t="s">
        <v>366</v>
      </c>
      <c r="OHL324" s="26" t="s">
        <v>366</v>
      </c>
      <c r="OHM324" s="26" t="s">
        <v>366</v>
      </c>
      <c r="OHN324" s="26" t="s">
        <v>366</v>
      </c>
      <c r="OHO324" s="26" t="s">
        <v>366</v>
      </c>
      <c r="OHP324" s="26" t="s">
        <v>366</v>
      </c>
      <c r="OHQ324" s="26" t="s">
        <v>366</v>
      </c>
      <c r="OHR324" s="26" t="s">
        <v>366</v>
      </c>
      <c r="OHS324" s="26" t="s">
        <v>366</v>
      </c>
      <c r="OHT324" s="26" t="s">
        <v>366</v>
      </c>
      <c r="OHU324" s="26" t="s">
        <v>366</v>
      </c>
      <c r="OHV324" s="26" t="s">
        <v>366</v>
      </c>
      <c r="OHW324" s="26" t="s">
        <v>366</v>
      </c>
      <c r="OHX324" s="26" t="s">
        <v>366</v>
      </c>
      <c r="OHY324" s="26" t="s">
        <v>366</v>
      </c>
      <c r="OHZ324" s="26" t="s">
        <v>366</v>
      </c>
      <c r="OIA324" s="26" t="s">
        <v>366</v>
      </c>
      <c r="OIB324" s="26" t="s">
        <v>366</v>
      </c>
      <c r="OIC324" s="26" t="s">
        <v>366</v>
      </c>
      <c r="OID324" s="26" t="s">
        <v>366</v>
      </c>
      <c r="OIE324" s="26" t="s">
        <v>366</v>
      </c>
      <c r="OIF324" s="26" t="s">
        <v>366</v>
      </c>
      <c r="OIG324" s="26" t="s">
        <v>366</v>
      </c>
      <c r="OIH324" s="26" t="s">
        <v>366</v>
      </c>
      <c r="OII324" s="26" t="s">
        <v>366</v>
      </c>
      <c r="OIJ324" s="26" t="s">
        <v>366</v>
      </c>
      <c r="OIK324" s="26" t="s">
        <v>366</v>
      </c>
      <c r="OIL324" s="26" t="s">
        <v>366</v>
      </c>
      <c r="OIM324" s="26" t="s">
        <v>366</v>
      </c>
      <c r="OIN324" s="26" t="s">
        <v>366</v>
      </c>
      <c r="OIO324" s="26" t="s">
        <v>366</v>
      </c>
      <c r="OIP324" s="26" t="s">
        <v>366</v>
      </c>
      <c r="OIQ324" s="26" t="s">
        <v>366</v>
      </c>
      <c r="OIR324" s="26" t="s">
        <v>366</v>
      </c>
      <c r="OIS324" s="26" t="s">
        <v>366</v>
      </c>
      <c r="OIT324" s="26" t="s">
        <v>366</v>
      </c>
      <c r="OIU324" s="26" t="s">
        <v>366</v>
      </c>
      <c r="OIV324" s="26" t="s">
        <v>366</v>
      </c>
      <c r="OIW324" s="26" t="s">
        <v>366</v>
      </c>
      <c r="OIX324" s="26" t="s">
        <v>366</v>
      </c>
      <c r="OIY324" s="26" t="s">
        <v>366</v>
      </c>
      <c r="OIZ324" s="26" t="s">
        <v>366</v>
      </c>
      <c r="OJA324" s="26" t="s">
        <v>366</v>
      </c>
      <c r="OJB324" s="26" t="s">
        <v>366</v>
      </c>
      <c r="OJC324" s="26" t="s">
        <v>366</v>
      </c>
      <c r="OJD324" s="26" t="s">
        <v>366</v>
      </c>
      <c r="OJE324" s="26" t="s">
        <v>366</v>
      </c>
      <c r="OJF324" s="26" t="s">
        <v>366</v>
      </c>
      <c r="OJG324" s="26" t="s">
        <v>366</v>
      </c>
      <c r="OJH324" s="26" t="s">
        <v>366</v>
      </c>
      <c r="OJI324" s="26" t="s">
        <v>366</v>
      </c>
      <c r="OJJ324" s="26" t="s">
        <v>366</v>
      </c>
      <c r="OJK324" s="26" t="s">
        <v>366</v>
      </c>
      <c r="OJL324" s="26" t="s">
        <v>366</v>
      </c>
      <c r="OJM324" s="26" t="s">
        <v>366</v>
      </c>
      <c r="OJN324" s="26" t="s">
        <v>366</v>
      </c>
      <c r="OJO324" s="26" t="s">
        <v>366</v>
      </c>
      <c r="OJP324" s="26" t="s">
        <v>366</v>
      </c>
      <c r="OJQ324" s="26" t="s">
        <v>366</v>
      </c>
      <c r="OJR324" s="26" t="s">
        <v>366</v>
      </c>
      <c r="OJS324" s="26" t="s">
        <v>366</v>
      </c>
      <c r="OJT324" s="26" t="s">
        <v>366</v>
      </c>
      <c r="OJU324" s="26" t="s">
        <v>366</v>
      </c>
      <c r="OJV324" s="26" t="s">
        <v>366</v>
      </c>
      <c r="OJW324" s="26" t="s">
        <v>366</v>
      </c>
      <c r="OJX324" s="26" t="s">
        <v>366</v>
      </c>
      <c r="OJY324" s="26" t="s">
        <v>366</v>
      </c>
      <c r="OJZ324" s="26" t="s">
        <v>366</v>
      </c>
      <c r="OKA324" s="26" t="s">
        <v>366</v>
      </c>
      <c r="OKB324" s="26" t="s">
        <v>366</v>
      </c>
      <c r="OKC324" s="26" t="s">
        <v>366</v>
      </c>
      <c r="OKD324" s="26" t="s">
        <v>366</v>
      </c>
      <c r="OKE324" s="26" t="s">
        <v>366</v>
      </c>
      <c r="OKF324" s="26" t="s">
        <v>366</v>
      </c>
      <c r="OKG324" s="26" t="s">
        <v>366</v>
      </c>
      <c r="OKH324" s="26" t="s">
        <v>366</v>
      </c>
      <c r="OKI324" s="26" t="s">
        <v>366</v>
      </c>
      <c r="OKJ324" s="26" t="s">
        <v>366</v>
      </c>
      <c r="OKK324" s="26" t="s">
        <v>366</v>
      </c>
      <c r="OKL324" s="26" t="s">
        <v>366</v>
      </c>
      <c r="OKM324" s="26" t="s">
        <v>366</v>
      </c>
      <c r="OKN324" s="26" t="s">
        <v>366</v>
      </c>
      <c r="OKO324" s="26" t="s">
        <v>366</v>
      </c>
      <c r="OKP324" s="26" t="s">
        <v>366</v>
      </c>
      <c r="OKQ324" s="26" t="s">
        <v>366</v>
      </c>
      <c r="OKR324" s="26" t="s">
        <v>366</v>
      </c>
      <c r="OKS324" s="26" t="s">
        <v>366</v>
      </c>
      <c r="OKT324" s="26" t="s">
        <v>366</v>
      </c>
      <c r="OKU324" s="26" t="s">
        <v>366</v>
      </c>
      <c r="OKV324" s="26" t="s">
        <v>366</v>
      </c>
      <c r="OKW324" s="26" t="s">
        <v>366</v>
      </c>
      <c r="OKX324" s="26" t="s">
        <v>366</v>
      </c>
      <c r="OKY324" s="26" t="s">
        <v>366</v>
      </c>
      <c r="OKZ324" s="26" t="s">
        <v>366</v>
      </c>
      <c r="OLA324" s="26" t="s">
        <v>366</v>
      </c>
      <c r="OLB324" s="26" t="s">
        <v>366</v>
      </c>
      <c r="OLC324" s="26" t="s">
        <v>366</v>
      </c>
      <c r="OLD324" s="26" t="s">
        <v>366</v>
      </c>
      <c r="OLE324" s="26" t="s">
        <v>366</v>
      </c>
      <c r="OLF324" s="26" t="s">
        <v>366</v>
      </c>
      <c r="OLG324" s="26" t="s">
        <v>366</v>
      </c>
      <c r="OLH324" s="26" t="s">
        <v>366</v>
      </c>
      <c r="OLI324" s="26" t="s">
        <v>366</v>
      </c>
      <c r="OLJ324" s="26" t="s">
        <v>366</v>
      </c>
      <c r="OLK324" s="26" t="s">
        <v>366</v>
      </c>
      <c r="OLL324" s="26" t="s">
        <v>366</v>
      </c>
      <c r="OLM324" s="26" t="s">
        <v>366</v>
      </c>
      <c r="OLN324" s="26" t="s">
        <v>366</v>
      </c>
      <c r="OLO324" s="26" t="s">
        <v>366</v>
      </c>
      <c r="OLP324" s="26" t="s">
        <v>366</v>
      </c>
      <c r="OLQ324" s="26" t="s">
        <v>366</v>
      </c>
      <c r="OLR324" s="26" t="s">
        <v>366</v>
      </c>
      <c r="OLS324" s="26" t="s">
        <v>366</v>
      </c>
      <c r="OLT324" s="26" t="s">
        <v>366</v>
      </c>
      <c r="OLU324" s="26" t="s">
        <v>366</v>
      </c>
      <c r="OLV324" s="26" t="s">
        <v>366</v>
      </c>
      <c r="OLW324" s="26" t="s">
        <v>366</v>
      </c>
      <c r="OLX324" s="26" t="s">
        <v>366</v>
      </c>
      <c r="OLY324" s="26" t="s">
        <v>366</v>
      </c>
      <c r="OLZ324" s="26" t="s">
        <v>366</v>
      </c>
      <c r="OMA324" s="26" t="s">
        <v>366</v>
      </c>
      <c r="OMB324" s="26" t="s">
        <v>366</v>
      </c>
      <c r="OMC324" s="26" t="s">
        <v>366</v>
      </c>
      <c r="OMD324" s="26" t="s">
        <v>366</v>
      </c>
      <c r="OME324" s="26" t="s">
        <v>366</v>
      </c>
      <c r="OMF324" s="26" t="s">
        <v>366</v>
      </c>
      <c r="OMG324" s="26" t="s">
        <v>366</v>
      </c>
      <c r="OMH324" s="26" t="s">
        <v>366</v>
      </c>
      <c r="OMI324" s="26" t="s">
        <v>366</v>
      </c>
      <c r="OMJ324" s="26" t="s">
        <v>366</v>
      </c>
      <c r="OMK324" s="26" t="s">
        <v>366</v>
      </c>
      <c r="OML324" s="26" t="s">
        <v>366</v>
      </c>
      <c r="OMM324" s="26" t="s">
        <v>366</v>
      </c>
      <c r="OMN324" s="26" t="s">
        <v>366</v>
      </c>
      <c r="OMO324" s="26" t="s">
        <v>366</v>
      </c>
      <c r="OMP324" s="26" t="s">
        <v>366</v>
      </c>
      <c r="OMQ324" s="26" t="s">
        <v>366</v>
      </c>
      <c r="OMR324" s="26" t="s">
        <v>366</v>
      </c>
      <c r="OMS324" s="26" t="s">
        <v>366</v>
      </c>
      <c r="OMT324" s="26" t="s">
        <v>366</v>
      </c>
      <c r="OMU324" s="26" t="s">
        <v>366</v>
      </c>
      <c r="OMV324" s="26" t="s">
        <v>366</v>
      </c>
      <c r="OMW324" s="26" t="s">
        <v>366</v>
      </c>
      <c r="OMX324" s="26" t="s">
        <v>366</v>
      </c>
      <c r="OMY324" s="26" t="s">
        <v>366</v>
      </c>
      <c r="OMZ324" s="26" t="s">
        <v>366</v>
      </c>
      <c r="ONA324" s="26" t="s">
        <v>366</v>
      </c>
      <c r="ONB324" s="26" t="s">
        <v>366</v>
      </c>
      <c r="ONC324" s="26" t="s">
        <v>366</v>
      </c>
      <c r="OND324" s="26" t="s">
        <v>366</v>
      </c>
      <c r="ONE324" s="26" t="s">
        <v>366</v>
      </c>
      <c r="ONF324" s="26" t="s">
        <v>366</v>
      </c>
      <c r="ONG324" s="26" t="s">
        <v>366</v>
      </c>
      <c r="ONH324" s="26" t="s">
        <v>366</v>
      </c>
      <c r="ONI324" s="26" t="s">
        <v>366</v>
      </c>
      <c r="ONJ324" s="26" t="s">
        <v>366</v>
      </c>
      <c r="ONK324" s="26" t="s">
        <v>366</v>
      </c>
      <c r="ONL324" s="26" t="s">
        <v>366</v>
      </c>
      <c r="ONM324" s="26" t="s">
        <v>366</v>
      </c>
      <c r="ONN324" s="26" t="s">
        <v>366</v>
      </c>
      <c r="ONO324" s="26" t="s">
        <v>366</v>
      </c>
      <c r="ONP324" s="26" t="s">
        <v>366</v>
      </c>
      <c r="ONQ324" s="26" t="s">
        <v>366</v>
      </c>
      <c r="ONR324" s="26" t="s">
        <v>366</v>
      </c>
      <c r="ONS324" s="26" t="s">
        <v>366</v>
      </c>
      <c r="ONT324" s="26" t="s">
        <v>366</v>
      </c>
      <c r="ONU324" s="26" t="s">
        <v>366</v>
      </c>
      <c r="ONV324" s="26" t="s">
        <v>366</v>
      </c>
      <c r="ONW324" s="26" t="s">
        <v>366</v>
      </c>
      <c r="ONX324" s="26" t="s">
        <v>366</v>
      </c>
      <c r="ONY324" s="26" t="s">
        <v>366</v>
      </c>
      <c r="ONZ324" s="26" t="s">
        <v>366</v>
      </c>
      <c r="OOA324" s="26" t="s">
        <v>366</v>
      </c>
      <c r="OOB324" s="26" t="s">
        <v>366</v>
      </c>
      <c r="OOC324" s="26" t="s">
        <v>366</v>
      </c>
      <c r="OOD324" s="26" t="s">
        <v>366</v>
      </c>
      <c r="OOE324" s="26" t="s">
        <v>366</v>
      </c>
      <c r="OOF324" s="26" t="s">
        <v>366</v>
      </c>
      <c r="OOG324" s="26" t="s">
        <v>366</v>
      </c>
      <c r="OOH324" s="26" t="s">
        <v>366</v>
      </c>
      <c r="OOI324" s="26" t="s">
        <v>366</v>
      </c>
      <c r="OOJ324" s="26" t="s">
        <v>366</v>
      </c>
      <c r="OOK324" s="26" t="s">
        <v>366</v>
      </c>
      <c r="OOL324" s="26" t="s">
        <v>366</v>
      </c>
      <c r="OOM324" s="26" t="s">
        <v>366</v>
      </c>
      <c r="OON324" s="26" t="s">
        <v>366</v>
      </c>
      <c r="OOO324" s="26" t="s">
        <v>366</v>
      </c>
      <c r="OOP324" s="26" t="s">
        <v>366</v>
      </c>
      <c r="OOQ324" s="26" t="s">
        <v>366</v>
      </c>
      <c r="OOR324" s="26" t="s">
        <v>366</v>
      </c>
      <c r="OOS324" s="26" t="s">
        <v>366</v>
      </c>
      <c r="OOT324" s="26" t="s">
        <v>366</v>
      </c>
      <c r="OOU324" s="26" t="s">
        <v>366</v>
      </c>
      <c r="OOV324" s="26" t="s">
        <v>366</v>
      </c>
      <c r="OOW324" s="26" t="s">
        <v>366</v>
      </c>
      <c r="OOX324" s="26" t="s">
        <v>366</v>
      </c>
      <c r="OOY324" s="26" t="s">
        <v>366</v>
      </c>
      <c r="OOZ324" s="26" t="s">
        <v>366</v>
      </c>
      <c r="OPA324" s="26" t="s">
        <v>366</v>
      </c>
      <c r="OPB324" s="26" t="s">
        <v>366</v>
      </c>
      <c r="OPC324" s="26" t="s">
        <v>366</v>
      </c>
      <c r="OPD324" s="26" t="s">
        <v>366</v>
      </c>
      <c r="OPE324" s="26" t="s">
        <v>366</v>
      </c>
      <c r="OPF324" s="26" t="s">
        <v>366</v>
      </c>
      <c r="OPG324" s="26" t="s">
        <v>366</v>
      </c>
      <c r="OPH324" s="26" t="s">
        <v>366</v>
      </c>
      <c r="OPI324" s="26" t="s">
        <v>366</v>
      </c>
      <c r="OPJ324" s="26" t="s">
        <v>366</v>
      </c>
      <c r="OPK324" s="26" t="s">
        <v>366</v>
      </c>
      <c r="OPL324" s="26" t="s">
        <v>366</v>
      </c>
      <c r="OPM324" s="26" t="s">
        <v>366</v>
      </c>
      <c r="OPN324" s="26" t="s">
        <v>366</v>
      </c>
      <c r="OPO324" s="26" t="s">
        <v>366</v>
      </c>
      <c r="OPP324" s="26" t="s">
        <v>366</v>
      </c>
      <c r="OPQ324" s="26" t="s">
        <v>366</v>
      </c>
      <c r="OPR324" s="26" t="s">
        <v>366</v>
      </c>
      <c r="OPS324" s="26" t="s">
        <v>366</v>
      </c>
      <c r="OPT324" s="26" t="s">
        <v>366</v>
      </c>
      <c r="OPU324" s="26" t="s">
        <v>366</v>
      </c>
      <c r="OPV324" s="26" t="s">
        <v>366</v>
      </c>
      <c r="OPW324" s="26" t="s">
        <v>366</v>
      </c>
      <c r="OPX324" s="26" t="s">
        <v>366</v>
      </c>
      <c r="OPY324" s="26" t="s">
        <v>366</v>
      </c>
      <c r="OPZ324" s="26" t="s">
        <v>366</v>
      </c>
      <c r="OQA324" s="26" t="s">
        <v>366</v>
      </c>
      <c r="OQB324" s="26" t="s">
        <v>366</v>
      </c>
      <c r="OQC324" s="26" t="s">
        <v>366</v>
      </c>
      <c r="OQD324" s="26" t="s">
        <v>366</v>
      </c>
      <c r="OQE324" s="26" t="s">
        <v>366</v>
      </c>
      <c r="OQF324" s="26" t="s">
        <v>366</v>
      </c>
      <c r="OQG324" s="26" t="s">
        <v>366</v>
      </c>
      <c r="OQH324" s="26" t="s">
        <v>366</v>
      </c>
      <c r="OQI324" s="26" t="s">
        <v>366</v>
      </c>
      <c r="OQJ324" s="26" t="s">
        <v>366</v>
      </c>
      <c r="OQK324" s="26" t="s">
        <v>366</v>
      </c>
      <c r="OQL324" s="26" t="s">
        <v>366</v>
      </c>
      <c r="OQM324" s="26" t="s">
        <v>366</v>
      </c>
      <c r="OQN324" s="26" t="s">
        <v>366</v>
      </c>
      <c r="OQO324" s="26" t="s">
        <v>366</v>
      </c>
      <c r="OQP324" s="26" t="s">
        <v>366</v>
      </c>
      <c r="OQQ324" s="26" t="s">
        <v>366</v>
      </c>
      <c r="OQR324" s="26" t="s">
        <v>366</v>
      </c>
      <c r="OQS324" s="26" t="s">
        <v>366</v>
      </c>
      <c r="OQT324" s="26" t="s">
        <v>366</v>
      </c>
      <c r="OQU324" s="26" t="s">
        <v>366</v>
      </c>
      <c r="OQV324" s="26" t="s">
        <v>366</v>
      </c>
      <c r="OQW324" s="26" t="s">
        <v>366</v>
      </c>
      <c r="OQX324" s="26" t="s">
        <v>366</v>
      </c>
      <c r="OQY324" s="26" t="s">
        <v>366</v>
      </c>
      <c r="OQZ324" s="26" t="s">
        <v>366</v>
      </c>
      <c r="ORA324" s="26" t="s">
        <v>366</v>
      </c>
      <c r="ORB324" s="26" t="s">
        <v>366</v>
      </c>
      <c r="ORC324" s="26" t="s">
        <v>366</v>
      </c>
      <c r="ORD324" s="26" t="s">
        <v>366</v>
      </c>
      <c r="ORE324" s="26" t="s">
        <v>366</v>
      </c>
      <c r="ORF324" s="26" t="s">
        <v>366</v>
      </c>
      <c r="ORG324" s="26" t="s">
        <v>366</v>
      </c>
      <c r="ORH324" s="26" t="s">
        <v>366</v>
      </c>
      <c r="ORI324" s="26" t="s">
        <v>366</v>
      </c>
      <c r="ORJ324" s="26" t="s">
        <v>366</v>
      </c>
      <c r="ORK324" s="26" t="s">
        <v>366</v>
      </c>
      <c r="ORL324" s="26" t="s">
        <v>366</v>
      </c>
      <c r="ORM324" s="26" t="s">
        <v>366</v>
      </c>
      <c r="ORN324" s="26" t="s">
        <v>366</v>
      </c>
      <c r="ORO324" s="26" t="s">
        <v>366</v>
      </c>
      <c r="ORP324" s="26" t="s">
        <v>366</v>
      </c>
      <c r="ORQ324" s="26" t="s">
        <v>366</v>
      </c>
      <c r="ORR324" s="26" t="s">
        <v>366</v>
      </c>
      <c r="ORS324" s="26" t="s">
        <v>366</v>
      </c>
      <c r="ORT324" s="26" t="s">
        <v>366</v>
      </c>
      <c r="ORU324" s="26" t="s">
        <v>366</v>
      </c>
      <c r="ORV324" s="26" t="s">
        <v>366</v>
      </c>
      <c r="ORW324" s="26" t="s">
        <v>366</v>
      </c>
      <c r="ORX324" s="26" t="s">
        <v>366</v>
      </c>
      <c r="ORY324" s="26" t="s">
        <v>366</v>
      </c>
      <c r="ORZ324" s="26" t="s">
        <v>366</v>
      </c>
      <c r="OSA324" s="26" t="s">
        <v>366</v>
      </c>
      <c r="OSB324" s="26" t="s">
        <v>366</v>
      </c>
      <c r="OSC324" s="26" t="s">
        <v>366</v>
      </c>
      <c r="OSD324" s="26" t="s">
        <v>366</v>
      </c>
      <c r="OSE324" s="26" t="s">
        <v>366</v>
      </c>
      <c r="OSF324" s="26" t="s">
        <v>366</v>
      </c>
      <c r="OSG324" s="26" t="s">
        <v>366</v>
      </c>
      <c r="OSH324" s="26" t="s">
        <v>366</v>
      </c>
      <c r="OSI324" s="26" t="s">
        <v>366</v>
      </c>
      <c r="OSJ324" s="26" t="s">
        <v>366</v>
      </c>
      <c r="OSK324" s="26" t="s">
        <v>366</v>
      </c>
      <c r="OSL324" s="26" t="s">
        <v>366</v>
      </c>
      <c r="OSM324" s="26" t="s">
        <v>366</v>
      </c>
      <c r="OSN324" s="26" t="s">
        <v>366</v>
      </c>
      <c r="OSO324" s="26" t="s">
        <v>366</v>
      </c>
      <c r="OSP324" s="26" t="s">
        <v>366</v>
      </c>
      <c r="OSQ324" s="26" t="s">
        <v>366</v>
      </c>
      <c r="OSR324" s="26" t="s">
        <v>366</v>
      </c>
      <c r="OSS324" s="26" t="s">
        <v>366</v>
      </c>
      <c r="OST324" s="26" t="s">
        <v>366</v>
      </c>
      <c r="OSU324" s="26" t="s">
        <v>366</v>
      </c>
      <c r="OSV324" s="26" t="s">
        <v>366</v>
      </c>
      <c r="OSW324" s="26" t="s">
        <v>366</v>
      </c>
      <c r="OSX324" s="26" t="s">
        <v>366</v>
      </c>
      <c r="OSY324" s="26" t="s">
        <v>366</v>
      </c>
      <c r="OSZ324" s="26" t="s">
        <v>366</v>
      </c>
      <c r="OTA324" s="26" t="s">
        <v>366</v>
      </c>
      <c r="OTB324" s="26" t="s">
        <v>366</v>
      </c>
      <c r="OTC324" s="26" t="s">
        <v>366</v>
      </c>
      <c r="OTD324" s="26" t="s">
        <v>366</v>
      </c>
      <c r="OTE324" s="26" t="s">
        <v>366</v>
      </c>
      <c r="OTF324" s="26" t="s">
        <v>366</v>
      </c>
      <c r="OTG324" s="26" t="s">
        <v>366</v>
      </c>
      <c r="OTH324" s="26" t="s">
        <v>366</v>
      </c>
      <c r="OTI324" s="26" t="s">
        <v>366</v>
      </c>
      <c r="OTJ324" s="26" t="s">
        <v>366</v>
      </c>
      <c r="OTK324" s="26" t="s">
        <v>366</v>
      </c>
      <c r="OTL324" s="26" t="s">
        <v>366</v>
      </c>
      <c r="OTM324" s="26" t="s">
        <v>366</v>
      </c>
      <c r="OTN324" s="26" t="s">
        <v>366</v>
      </c>
      <c r="OTO324" s="26" t="s">
        <v>366</v>
      </c>
      <c r="OTP324" s="26" t="s">
        <v>366</v>
      </c>
      <c r="OTQ324" s="26" t="s">
        <v>366</v>
      </c>
      <c r="OTR324" s="26" t="s">
        <v>366</v>
      </c>
      <c r="OTS324" s="26" t="s">
        <v>366</v>
      </c>
      <c r="OTT324" s="26" t="s">
        <v>366</v>
      </c>
      <c r="OTU324" s="26" t="s">
        <v>366</v>
      </c>
      <c r="OTV324" s="26" t="s">
        <v>366</v>
      </c>
      <c r="OTW324" s="26" t="s">
        <v>366</v>
      </c>
      <c r="OTX324" s="26" t="s">
        <v>366</v>
      </c>
      <c r="OTY324" s="26" t="s">
        <v>366</v>
      </c>
      <c r="OTZ324" s="26" t="s">
        <v>366</v>
      </c>
      <c r="OUA324" s="26" t="s">
        <v>366</v>
      </c>
      <c r="OUB324" s="26" t="s">
        <v>366</v>
      </c>
      <c r="OUC324" s="26" t="s">
        <v>366</v>
      </c>
      <c r="OUD324" s="26" t="s">
        <v>366</v>
      </c>
      <c r="OUE324" s="26" t="s">
        <v>366</v>
      </c>
      <c r="OUF324" s="26" t="s">
        <v>366</v>
      </c>
      <c r="OUG324" s="26" t="s">
        <v>366</v>
      </c>
      <c r="OUH324" s="26" t="s">
        <v>366</v>
      </c>
      <c r="OUI324" s="26" t="s">
        <v>366</v>
      </c>
      <c r="OUJ324" s="26" t="s">
        <v>366</v>
      </c>
      <c r="OUK324" s="26" t="s">
        <v>366</v>
      </c>
      <c r="OUL324" s="26" t="s">
        <v>366</v>
      </c>
      <c r="OUM324" s="26" t="s">
        <v>366</v>
      </c>
      <c r="OUN324" s="26" t="s">
        <v>366</v>
      </c>
      <c r="OUO324" s="26" t="s">
        <v>366</v>
      </c>
      <c r="OUP324" s="26" t="s">
        <v>366</v>
      </c>
      <c r="OUQ324" s="26" t="s">
        <v>366</v>
      </c>
      <c r="OUR324" s="26" t="s">
        <v>366</v>
      </c>
      <c r="OUS324" s="26" t="s">
        <v>366</v>
      </c>
      <c r="OUT324" s="26" t="s">
        <v>366</v>
      </c>
      <c r="OUU324" s="26" t="s">
        <v>366</v>
      </c>
      <c r="OUV324" s="26" t="s">
        <v>366</v>
      </c>
      <c r="OUW324" s="26" t="s">
        <v>366</v>
      </c>
      <c r="OUX324" s="26" t="s">
        <v>366</v>
      </c>
      <c r="OUY324" s="26" t="s">
        <v>366</v>
      </c>
      <c r="OUZ324" s="26" t="s">
        <v>366</v>
      </c>
      <c r="OVA324" s="26" t="s">
        <v>366</v>
      </c>
      <c r="OVB324" s="26" t="s">
        <v>366</v>
      </c>
      <c r="OVC324" s="26" t="s">
        <v>366</v>
      </c>
      <c r="OVD324" s="26" t="s">
        <v>366</v>
      </c>
      <c r="OVE324" s="26" t="s">
        <v>366</v>
      </c>
      <c r="OVF324" s="26" t="s">
        <v>366</v>
      </c>
      <c r="OVG324" s="26" t="s">
        <v>366</v>
      </c>
      <c r="OVH324" s="26" t="s">
        <v>366</v>
      </c>
      <c r="OVI324" s="26" t="s">
        <v>366</v>
      </c>
      <c r="OVJ324" s="26" t="s">
        <v>366</v>
      </c>
      <c r="OVK324" s="26" t="s">
        <v>366</v>
      </c>
      <c r="OVL324" s="26" t="s">
        <v>366</v>
      </c>
      <c r="OVM324" s="26" t="s">
        <v>366</v>
      </c>
      <c r="OVN324" s="26" t="s">
        <v>366</v>
      </c>
      <c r="OVO324" s="26" t="s">
        <v>366</v>
      </c>
      <c r="OVP324" s="26" t="s">
        <v>366</v>
      </c>
      <c r="OVQ324" s="26" t="s">
        <v>366</v>
      </c>
      <c r="OVR324" s="26" t="s">
        <v>366</v>
      </c>
      <c r="OVS324" s="26" t="s">
        <v>366</v>
      </c>
      <c r="OVT324" s="26" t="s">
        <v>366</v>
      </c>
      <c r="OVU324" s="26" t="s">
        <v>366</v>
      </c>
      <c r="OVV324" s="26" t="s">
        <v>366</v>
      </c>
      <c r="OVW324" s="26" t="s">
        <v>366</v>
      </c>
      <c r="OVX324" s="26" t="s">
        <v>366</v>
      </c>
      <c r="OVY324" s="26" t="s">
        <v>366</v>
      </c>
      <c r="OVZ324" s="26" t="s">
        <v>366</v>
      </c>
      <c r="OWA324" s="26" t="s">
        <v>366</v>
      </c>
      <c r="OWB324" s="26" t="s">
        <v>366</v>
      </c>
      <c r="OWC324" s="26" t="s">
        <v>366</v>
      </c>
      <c r="OWD324" s="26" t="s">
        <v>366</v>
      </c>
      <c r="OWE324" s="26" t="s">
        <v>366</v>
      </c>
      <c r="OWF324" s="26" t="s">
        <v>366</v>
      </c>
      <c r="OWG324" s="26" t="s">
        <v>366</v>
      </c>
      <c r="OWH324" s="26" t="s">
        <v>366</v>
      </c>
      <c r="OWI324" s="26" t="s">
        <v>366</v>
      </c>
      <c r="OWJ324" s="26" t="s">
        <v>366</v>
      </c>
      <c r="OWK324" s="26" t="s">
        <v>366</v>
      </c>
      <c r="OWL324" s="26" t="s">
        <v>366</v>
      </c>
      <c r="OWM324" s="26" t="s">
        <v>366</v>
      </c>
      <c r="OWN324" s="26" t="s">
        <v>366</v>
      </c>
      <c r="OWO324" s="26" t="s">
        <v>366</v>
      </c>
      <c r="OWP324" s="26" t="s">
        <v>366</v>
      </c>
      <c r="OWQ324" s="26" t="s">
        <v>366</v>
      </c>
      <c r="OWR324" s="26" t="s">
        <v>366</v>
      </c>
      <c r="OWS324" s="26" t="s">
        <v>366</v>
      </c>
      <c r="OWT324" s="26" t="s">
        <v>366</v>
      </c>
      <c r="OWU324" s="26" t="s">
        <v>366</v>
      </c>
      <c r="OWV324" s="26" t="s">
        <v>366</v>
      </c>
      <c r="OWW324" s="26" t="s">
        <v>366</v>
      </c>
      <c r="OWX324" s="26" t="s">
        <v>366</v>
      </c>
      <c r="OWY324" s="26" t="s">
        <v>366</v>
      </c>
      <c r="OWZ324" s="26" t="s">
        <v>366</v>
      </c>
      <c r="OXA324" s="26" t="s">
        <v>366</v>
      </c>
      <c r="OXB324" s="26" t="s">
        <v>366</v>
      </c>
      <c r="OXC324" s="26" t="s">
        <v>366</v>
      </c>
      <c r="OXD324" s="26" t="s">
        <v>366</v>
      </c>
      <c r="OXE324" s="26" t="s">
        <v>366</v>
      </c>
      <c r="OXF324" s="26" t="s">
        <v>366</v>
      </c>
      <c r="OXG324" s="26" t="s">
        <v>366</v>
      </c>
      <c r="OXH324" s="26" t="s">
        <v>366</v>
      </c>
      <c r="OXI324" s="26" t="s">
        <v>366</v>
      </c>
      <c r="OXJ324" s="26" t="s">
        <v>366</v>
      </c>
      <c r="OXK324" s="26" t="s">
        <v>366</v>
      </c>
      <c r="OXL324" s="26" t="s">
        <v>366</v>
      </c>
      <c r="OXM324" s="26" t="s">
        <v>366</v>
      </c>
      <c r="OXN324" s="26" t="s">
        <v>366</v>
      </c>
      <c r="OXO324" s="26" t="s">
        <v>366</v>
      </c>
      <c r="OXP324" s="26" t="s">
        <v>366</v>
      </c>
      <c r="OXQ324" s="26" t="s">
        <v>366</v>
      </c>
      <c r="OXR324" s="26" t="s">
        <v>366</v>
      </c>
      <c r="OXS324" s="26" t="s">
        <v>366</v>
      </c>
      <c r="OXT324" s="26" t="s">
        <v>366</v>
      </c>
      <c r="OXU324" s="26" t="s">
        <v>366</v>
      </c>
      <c r="OXV324" s="26" t="s">
        <v>366</v>
      </c>
      <c r="OXW324" s="26" t="s">
        <v>366</v>
      </c>
      <c r="OXX324" s="26" t="s">
        <v>366</v>
      </c>
      <c r="OXY324" s="26" t="s">
        <v>366</v>
      </c>
      <c r="OXZ324" s="26" t="s">
        <v>366</v>
      </c>
      <c r="OYA324" s="26" t="s">
        <v>366</v>
      </c>
      <c r="OYB324" s="26" t="s">
        <v>366</v>
      </c>
      <c r="OYC324" s="26" t="s">
        <v>366</v>
      </c>
      <c r="OYD324" s="26" t="s">
        <v>366</v>
      </c>
      <c r="OYE324" s="26" t="s">
        <v>366</v>
      </c>
      <c r="OYF324" s="26" t="s">
        <v>366</v>
      </c>
      <c r="OYG324" s="26" t="s">
        <v>366</v>
      </c>
      <c r="OYH324" s="26" t="s">
        <v>366</v>
      </c>
      <c r="OYI324" s="26" t="s">
        <v>366</v>
      </c>
      <c r="OYJ324" s="26" t="s">
        <v>366</v>
      </c>
      <c r="OYK324" s="26" t="s">
        <v>366</v>
      </c>
      <c r="OYL324" s="26" t="s">
        <v>366</v>
      </c>
      <c r="OYM324" s="26" t="s">
        <v>366</v>
      </c>
      <c r="OYN324" s="26" t="s">
        <v>366</v>
      </c>
      <c r="OYO324" s="26" t="s">
        <v>366</v>
      </c>
      <c r="OYP324" s="26" t="s">
        <v>366</v>
      </c>
      <c r="OYQ324" s="26" t="s">
        <v>366</v>
      </c>
      <c r="OYR324" s="26" t="s">
        <v>366</v>
      </c>
      <c r="OYS324" s="26" t="s">
        <v>366</v>
      </c>
      <c r="OYT324" s="26" t="s">
        <v>366</v>
      </c>
      <c r="OYU324" s="26" t="s">
        <v>366</v>
      </c>
      <c r="OYV324" s="26" t="s">
        <v>366</v>
      </c>
      <c r="OYW324" s="26" t="s">
        <v>366</v>
      </c>
      <c r="OYX324" s="26" t="s">
        <v>366</v>
      </c>
      <c r="OYY324" s="26" t="s">
        <v>366</v>
      </c>
      <c r="OYZ324" s="26" t="s">
        <v>366</v>
      </c>
      <c r="OZA324" s="26" t="s">
        <v>366</v>
      </c>
      <c r="OZB324" s="26" t="s">
        <v>366</v>
      </c>
      <c r="OZC324" s="26" t="s">
        <v>366</v>
      </c>
      <c r="OZD324" s="26" t="s">
        <v>366</v>
      </c>
      <c r="OZE324" s="26" t="s">
        <v>366</v>
      </c>
      <c r="OZF324" s="26" t="s">
        <v>366</v>
      </c>
      <c r="OZG324" s="26" t="s">
        <v>366</v>
      </c>
      <c r="OZH324" s="26" t="s">
        <v>366</v>
      </c>
      <c r="OZI324" s="26" t="s">
        <v>366</v>
      </c>
      <c r="OZJ324" s="26" t="s">
        <v>366</v>
      </c>
      <c r="OZK324" s="26" t="s">
        <v>366</v>
      </c>
      <c r="OZL324" s="26" t="s">
        <v>366</v>
      </c>
      <c r="OZM324" s="26" t="s">
        <v>366</v>
      </c>
      <c r="OZN324" s="26" t="s">
        <v>366</v>
      </c>
      <c r="OZO324" s="26" t="s">
        <v>366</v>
      </c>
      <c r="OZP324" s="26" t="s">
        <v>366</v>
      </c>
      <c r="OZQ324" s="26" t="s">
        <v>366</v>
      </c>
      <c r="OZR324" s="26" t="s">
        <v>366</v>
      </c>
      <c r="OZS324" s="26" t="s">
        <v>366</v>
      </c>
      <c r="OZT324" s="26" t="s">
        <v>366</v>
      </c>
      <c r="OZU324" s="26" t="s">
        <v>366</v>
      </c>
      <c r="OZV324" s="26" t="s">
        <v>366</v>
      </c>
      <c r="OZW324" s="26" t="s">
        <v>366</v>
      </c>
      <c r="OZX324" s="26" t="s">
        <v>366</v>
      </c>
      <c r="OZY324" s="26" t="s">
        <v>366</v>
      </c>
      <c r="OZZ324" s="26" t="s">
        <v>366</v>
      </c>
      <c r="PAA324" s="26" t="s">
        <v>366</v>
      </c>
      <c r="PAB324" s="26" t="s">
        <v>366</v>
      </c>
      <c r="PAC324" s="26" t="s">
        <v>366</v>
      </c>
      <c r="PAD324" s="26" t="s">
        <v>366</v>
      </c>
      <c r="PAE324" s="26" t="s">
        <v>366</v>
      </c>
      <c r="PAF324" s="26" t="s">
        <v>366</v>
      </c>
      <c r="PAG324" s="26" t="s">
        <v>366</v>
      </c>
      <c r="PAH324" s="26" t="s">
        <v>366</v>
      </c>
      <c r="PAI324" s="26" t="s">
        <v>366</v>
      </c>
      <c r="PAJ324" s="26" t="s">
        <v>366</v>
      </c>
      <c r="PAK324" s="26" t="s">
        <v>366</v>
      </c>
      <c r="PAL324" s="26" t="s">
        <v>366</v>
      </c>
      <c r="PAM324" s="26" t="s">
        <v>366</v>
      </c>
      <c r="PAN324" s="26" t="s">
        <v>366</v>
      </c>
      <c r="PAO324" s="26" t="s">
        <v>366</v>
      </c>
      <c r="PAP324" s="26" t="s">
        <v>366</v>
      </c>
      <c r="PAQ324" s="26" t="s">
        <v>366</v>
      </c>
      <c r="PAR324" s="26" t="s">
        <v>366</v>
      </c>
      <c r="PAS324" s="26" t="s">
        <v>366</v>
      </c>
      <c r="PAT324" s="26" t="s">
        <v>366</v>
      </c>
      <c r="PAU324" s="26" t="s">
        <v>366</v>
      </c>
      <c r="PAV324" s="26" t="s">
        <v>366</v>
      </c>
      <c r="PAW324" s="26" t="s">
        <v>366</v>
      </c>
      <c r="PAX324" s="26" t="s">
        <v>366</v>
      </c>
      <c r="PAY324" s="26" t="s">
        <v>366</v>
      </c>
      <c r="PAZ324" s="26" t="s">
        <v>366</v>
      </c>
      <c r="PBA324" s="26" t="s">
        <v>366</v>
      </c>
      <c r="PBB324" s="26" t="s">
        <v>366</v>
      </c>
      <c r="PBC324" s="26" t="s">
        <v>366</v>
      </c>
      <c r="PBD324" s="26" t="s">
        <v>366</v>
      </c>
      <c r="PBE324" s="26" t="s">
        <v>366</v>
      </c>
      <c r="PBF324" s="26" t="s">
        <v>366</v>
      </c>
      <c r="PBG324" s="26" t="s">
        <v>366</v>
      </c>
      <c r="PBH324" s="26" t="s">
        <v>366</v>
      </c>
      <c r="PBI324" s="26" t="s">
        <v>366</v>
      </c>
      <c r="PBJ324" s="26" t="s">
        <v>366</v>
      </c>
      <c r="PBK324" s="26" t="s">
        <v>366</v>
      </c>
      <c r="PBL324" s="26" t="s">
        <v>366</v>
      </c>
      <c r="PBM324" s="26" t="s">
        <v>366</v>
      </c>
      <c r="PBN324" s="26" t="s">
        <v>366</v>
      </c>
      <c r="PBO324" s="26" t="s">
        <v>366</v>
      </c>
      <c r="PBP324" s="26" t="s">
        <v>366</v>
      </c>
      <c r="PBQ324" s="26" t="s">
        <v>366</v>
      </c>
      <c r="PBR324" s="26" t="s">
        <v>366</v>
      </c>
      <c r="PBS324" s="26" t="s">
        <v>366</v>
      </c>
      <c r="PBT324" s="26" t="s">
        <v>366</v>
      </c>
      <c r="PBU324" s="26" t="s">
        <v>366</v>
      </c>
      <c r="PBV324" s="26" t="s">
        <v>366</v>
      </c>
      <c r="PBW324" s="26" t="s">
        <v>366</v>
      </c>
      <c r="PBX324" s="26" t="s">
        <v>366</v>
      </c>
      <c r="PBY324" s="26" t="s">
        <v>366</v>
      </c>
      <c r="PBZ324" s="26" t="s">
        <v>366</v>
      </c>
      <c r="PCA324" s="26" t="s">
        <v>366</v>
      </c>
      <c r="PCB324" s="26" t="s">
        <v>366</v>
      </c>
      <c r="PCC324" s="26" t="s">
        <v>366</v>
      </c>
      <c r="PCD324" s="26" t="s">
        <v>366</v>
      </c>
      <c r="PCE324" s="26" t="s">
        <v>366</v>
      </c>
      <c r="PCF324" s="26" t="s">
        <v>366</v>
      </c>
      <c r="PCG324" s="26" t="s">
        <v>366</v>
      </c>
      <c r="PCH324" s="26" t="s">
        <v>366</v>
      </c>
      <c r="PCI324" s="26" t="s">
        <v>366</v>
      </c>
      <c r="PCJ324" s="26" t="s">
        <v>366</v>
      </c>
      <c r="PCK324" s="26" t="s">
        <v>366</v>
      </c>
      <c r="PCL324" s="26" t="s">
        <v>366</v>
      </c>
      <c r="PCM324" s="26" t="s">
        <v>366</v>
      </c>
      <c r="PCN324" s="26" t="s">
        <v>366</v>
      </c>
      <c r="PCO324" s="26" t="s">
        <v>366</v>
      </c>
      <c r="PCP324" s="26" t="s">
        <v>366</v>
      </c>
      <c r="PCQ324" s="26" t="s">
        <v>366</v>
      </c>
      <c r="PCR324" s="26" t="s">
        <v>366</v>
      </c>
      <c r="PCS324" s="26" t="s">
        <v>366</v>
      </c>
      <c r="PCT324" s="26" t="s">
        <v>366</v>
      </c>
      <c r="PCU324" s="26" t="s">
        <v>366</v>
      </c>
      <c r="PCV324" s="26" t="s">
        <v>366</v>
      </c>
      <c r="PCW324" s="26" t="s">
        <v>366</v>
      </c>
      <c r="PCX324" s="26" t="s">
        <v>366</v>
      </c>
      <c r="PCY324" s="26" t="s">
        <v>366</v>
      </c>
      <c r="PCZ324" s="26" t="s">
        <v>366</v>
      </c>
      <c r="PDA324" s="26" t="s">
        <v>366</v>
      </c>
      <c r="PDB324" s="26" t="s">
        <v>366</v>
      </c>
      <c r="PDC324" s="26" t="s">
        <v>366</v>
      </c>
      <c r="PDD324" s="26" t="s">
        <v>366</v>
      </c>
      <c r="PDE324" s="26" t="s">
        <v>366</v>
      </c>
      <c r="PDF324" s="26" t="s">
        <v>366</v>
      </c>
      <c r="PDG324" s="26" t="s">
        <v>366</v>
      </c>
      <c r="PDH324" s="26" t="s">
        <v>366</v>
      </c>
      <c r="PDI324" s="26" t="s">
        <v>366</v>
      </c>
      <c r="PDJ324" s="26" t="s">
        <v>366</v>
      </c>
      <c r="PDK324" s="26" t="s">
        <v>366</v>
      </c>
      <c r="PDL324" s="26" t="s">
        <v>366</v>
      </c>
      <c r="PDM324" s="26" t="s">
        <v>366</v>
      </c>
      <c r="PDN324" s="26" t="s">
        <v>366</v>
      </c>
      <c r="PDO324" s="26" t="s">
        <v>366</v>
      </c>
      <c r="PDP324" s="26" t="s">
        <v>366</v>
      </c>
      <c r="PDQ324" s="26" t="s">
        <v>366</v>
      </c>
      <c r="PDR324" s="26" t="s">
        <v>366</v>
      </c>
      <c r="PDS324" s="26" t="s">
        <v>366</v>
      </c>
      <c r="PDT324" s="26" t="s">
        <v>366</v>
      </c>
      <c r="PDU324" s="26" t="s">
        <v>366</v>
      </c>
      <c r="PDV324" s="26" t="s">
        <v>366</v>
      </c>
      <c r="PDW324" s="26" t="s">
        <v>366</v>
      </c>
      <c r="PDX324" s="26" t="s">
        <v>366</v>
      </c>
      <c r="PDY324" s="26" t="s">
        <v>366</v>
      </c>
      <c r="PDZ324" s="26" t="s">
        <v>366</v>
      </c>
      <c r="PEA324" s="26" t="s">
        <v>366</v>
      </c>
      <c r="PEB324" s="26" t="s">
        <v>366</v>
      </c>
      <c r="PEC324" s="26" t="s">
        <v>366</v>
      </c>
      <c r="PED324" s="26" t="s">
        <v>366</v>
      </c>
      <c r="PEE324" s="26" t="s">
        <v>366</v>
      </c>
      <c r="PEF324" s="26" t="s">
        <v>366</v>
      </c>
      <c r="PEG324" s="26" t="s">
        <v>366</v>
      </c>
      <c r="PEH324" s="26" t="s">
        <v>366</v>
      </c>
      <c r="PEI324" s="26" t="s">
        <v>366</v>
      </c>
      <c r="PEJ324" s="26" t="s">
        <v>366</v>
      </c>
      <c r="PEK324" s="26" t="s">
        <v>366</v>
      </c>
      <c r="PEL324" s="26" t="s">
        <v>366</v>
      </c>
      <c r="PEM324" s="26" t="s">
        <v>366</v>
      </c>
      <c r="PEN324" s="26" t="s">
        <v>366</v>
      </c>
      <c r="PEO324" s="26" t="s">
        <v>366</v>
      </c>
      <c r="PEP324" s="26" t="s">
        <v>366</v>
      </c>
      <c r="PEQ324" s="26" t="s">
        <v>366</v>
      </c>
      <c r="PER324" s="26" t="s">
        <v>366</v>
      </c>
      <c r="PES324" s="26" t="s">
        <v>366</v>
      </c>
      <c r="PET324" s="26" t="s">
        <v>366</v>
      </c>
      <c r="PEU324" s="26" t="s">
        <v>366</v>
      </c>
      <c r="PEV324" s="26" t="s">
        <v>366</v>
      </c>
      <c r="PEW324" s="26" t="s">
        <v>366</v>
      </c>
      <c r="PEX324" s="26" t="s">
        <v>366</v>
      </c>
      <c r="PEY324" s="26" t="s">
        <v>366</v>
      </c>
      <c r="PEZ324" s="26" t="s">
        <v>366</v>
      </c>
      <c r="PFA324" s="26" t="s">
        <v>366</v>
      </c>
      <c r="PFB324" s="26" t="s">
        <v>366</v>
      </c>
      <c r="PFC324" s="26" t="s">
        <v>366</v>
      </c>
      <c r="PFD324" s="26" t="s">
        <v>366</v>
      </c>
      <c r="PFE324" s="26" t="s">
        <v>366</v>
      </c>
      <c r="PFF324" s="26" t="s">
        <v>366</v>
      </c>
      <c r="PFG324" s="26" t="s">
        <v>366</v>
      </c>
      <c r="PFH324" s="26" t="s">
        <v>366</v>
      </c>
      <c r="PFI324" s="26" t="s">
        <v>366</v>
      </c>
      <c r="PFJ324" s="26" t="s">
        <v>366</v>
      </c>
      <c r="PFK324" s="26" t="s">
        <v>366</v>
      </c>
      <c r="PFL324" s="26" t="s">
        <v>366</v>
      </c>
      <c r="PFM324" s="26" t="s">
        <v>366</v>
      </c>
      <c r="PFN324" s="26" t="s">
        <v>366</v>
      </c>
      <c r="PFO324" s="26" t="s">
        <v>366</v>
      </c>
      <c r="PFP324" s="26" t="s">
        <v>366</v>
      </c>
      <c r="PFQ324" s="26" t="s">
        <v>366</v>
      </c>
      <c r="PFR324" s="26" t="s">
        <v>366</v>
      </c>
      <c r="PFS324" s="26" t="s">
        <v>366</v>
      </c>
      <c r="PFT324" s="26" t="s">
        <v>366</v>
      </c>
      <c r="PFU324" s="26" t="s">
        <v>366</v>
      </c>
      <c r="PFV324" s="26" t="s">
        <v>366</v>
      </c>
      <c r="PFW324" s="26" t="s">
        <v>366</v>
      </c>
      <c r="PFX324" s="26" t="s">
        <v>366</v>
      </c>
      <c r="PFY324" s="26" t="s">
        <v>366</v>
      </c>
      <c r="PFZ324" s="26" t="s">
        <v>366</v>
      </c>
      <c r="PGA324" s="26" t="s">
        <v>366</v>
      </c>
      <c r="PGB324" s="26" t="s">
        <v>366</v>
      </c>
      <c r="PGC324" s="26" t="s">
        <v>366</v>
      </c>
      <c r="PGD324" s="26" t="s">
        <v>366</v>
      </c>
      <c r="PGE324" s="26" t="s">
        <v>366</v>
      </c>
      <c r="PGF324" s="26" t="s">
        <v>366</v>
      </c>
      <c r="PGG324" s="26" t="s">
        <v>366</v>
      </c>
      <c r="PGH324" s="26" t="s">
        <v>366</v>
      </c>
      <c r="PGI324" s="26" t="s">
        <v>366</v>
      </c>
      <c r="PGJ324" s="26" t="s">
        <v>366</v>
      </c>
      <c r="PGK324" s="26" t="s">
        <v>366</v>
      </c>
      <c r="PGL324" s="26" t="s">
        <v>366</v>
      </c>
      <c r="PGM324" s="26" t="s">
        <v>366</v>
      </c>
      <c r="PGN324" s="26" t="s">
        <v>366</v>
      </c>
      <c r="PGO324" s="26" t="s">
        <v>366</v>
      </c>
      <c r="PGP324" s="26" t="s">
        <v>366</v>
      </c>
      <c r="PGQ324" s="26" t="s">
        <v>366</v>
      </c>
      <c r="PGR324" s="26" t="s">
        <v>366</v>
      </c>
      <c r="PGS324" s="26" t="s">
        <v>366</v>
      </c>
      <c r="PGT324" s="26" t="s">
        <v>366</v>
      </c>
      <c r="PGU324" s="26" t="s">
        <v>366</v>
      </c>
      <c r="PGV324" s="26" t="s">
        <v>366</v>
      </c>
      <c r="PGW324" s="26" t="s">
        <v>366</v>
      </c>
      <c r="PGX324" s="26" t="s">
        <v>366</v>
      </c>
      <c r="PGY324" s="26" t="s">
        <v>366</v>
      </c>
      <c r="PGZ324" s="26" t="s">
        <v>366</v>
      </c>
      <c r="PHA324" s="26" t="s">
        <v>366</v>
      </c>
      <c r="PHB324" s="26" t="s">
        <v>366</v>
      </c>
      <c r="PHC324" s="26" t="s">
        <v>366</v>
      </c>
      <c r="PHD324" s="26" t="s">
        <v>366</v>
      </c>
      <c r="PHE324" s="26" t="s">
        <v>366</v>
      </c>
      <c r="PHF324" s="26" t="s">
        <v>366</v>
      </c>
      <c r="PHG324" s="26" t="s">
        <v>366</v>
      </c>
      <c r="PHH324" s="26" t="s">
        <v>366</v>
      </c>
      <c r="PHI324" s="26" t="s">
        <v>366</v>
      </c>
      <c r="PHJ324" s="26" t="s">
        <v>366</v>
      </c>
      <c r="PHK324" s="26" t="s">
        <v>366</v>
      </c>
      <c r="PHL324" s="26" t="s">
        <v>366</v>
      </c>
      <c r="PHM324" s="26" t="s">
        <v>366</v>
      </c>
      <c r="PHN324" s="26" t="s">
        <v>366</v>
      </c>
      <c r="PHO324" s="26" t="s">
        <v>366</v>
      </c>
      <c r="PHP324" s="26" t="s">
        <v>366</v>
      </c>
      <c r="PHQ324" s="26" t="s">
        <v>366</v>
      </c>
      <c r="PHR324" s="26" t="s">
        <v>366</v>
      </c>
      <c r="PHS324" s="26" t="s">
        <v>366</v>
      </c>
      <c r="PHT324" s="26" t="s">
        <v>366</v>
      </c>
      <c r="PHU324" s="26" t="s">
        <v>366</v>
      </c>
      <c r="PHV324" s="26" t="s">
        <v>366</v>
      </c>
      <c r="PHW324" s="26" t="s">
        <v>366</v>
      </c>
      <c r="PHX324" s="26" t="s">
        <v>366</v>
      </c>
      <c r="PHY324" s="26" t="s">
        <v>366</v>
      </c>
      <c r="PHZ324" s="26" t="s">
        <v>366</v>
      </c>
      <c r="PIA324" s="26" t="s">
        <v>366</v>
      </c>
      <c r="PIB324" s="26" t="s">
        <v>366</v>
      </c>
      <c r="PIC324" s="26" t="s">
        <v>366</v>
      </c>
      <c r="PID324" s="26" t="s">
        <v>366</v>
      </c>
      <c r="PIE324" s="26" t="s">
        <v>366</v>
      </c>
      <c r="PIF324" s="26" t="s">
        <v>366</v>
      </c>
      <c r="PIG324" s="26" t="s">
        <v>366</v>
      </c>
      <c r="PIH324" s="26" t="s">
        <v>366</v>
      </c>
      <c r="PII324" s="26" t="s">
        <v>366</v>
      </c>
      <c r="PIJ324" s="26" t="s">
        <v>366</v>
      </c>
      <c r="PIK324" s="26" t="s">
        <v>366</v>
      </c>
      <c r="PIL324" s="26" t="s">
        <v>366</v>
      </c>
      <c r="PIM324" s="26" t="s">
        <v>366</v>
      </c>
      <c r="PIN324" s="26" t="s">
        <v>366</v>
      </c>
      <c r="PIO324" s="26" t="s">
        <v>366</v>
      </c>
      <c r="PIP324" s="26" t="s">
        <v>366</v>
      </c>
      <c r="PIQ324" s="26" t="s">
        <v>366</v>
      </c>
      <c r="PIR324" s="26" t="s">
        <v>366</v>
      </c>
      <c r="PIS324" s="26" t="s">
        <v>366</v>
      </c>
      <c r="PIT324" s="26" t="s">
        <v>366</v>
      </c>
      <c r="PIU324" s="26" t="s">
        <v>366</v>
      </c>
      <c r="PIV324" s="26" t="s">
        <v>366</v>
      </c>
      <c r="PIW324" s="26" t="s">
        <v>366</v>
      </c>
      <c r="PIX324" s="26" t="s">
        <v>366</v>
      </c>
      <c r="PIY324" s="26" t="s">
        <v>366</v>
      </c>
      <c r="PIZ324" s="26" t="s">
        <v>366</v>
      </c>
      <c r="PJA324" s="26" t="s">
        <v>366</v>
      </c>
      <c r="PJB324" s="26" t="s">
        <v>366</v>
      </c>
      <c r="PJC324" s="26" t="s">
        <v>366</v>
      </c>
      <c r="PJD324" s="26" t="s">
        <v>366</v>
      </c>
      <c r="PJE324" s="26" t="s">
        <v>366</v>
      </c>
      <c r="PJF324" s="26" t="s">
        <v>366</v>
      </c>
      <c r="PJG324" s="26" t="s">
        <v>366</v>
      </c>
      <c r="PJH324" s="26" t="s">
        <v>366</v>
      </c>
      <c r="PJI324" s="26" t="s">
        <v>366</v>
      </c>
      <c r="PJJ324" s="26" t="s">
        <v>366</v>
      </c>
      <c r="PJK324" s="26" t="s">
        <v>366</v>
      </c>
      <c r="PJL324" s="26" t="s">
        <v>366</v>
      </c>
      <c r="PJM324" s="26" t="s">
        <v>366</v>
      </c>
      <c r="PJN324" s="26" t="s">
        <v>366</v>
      </c>
      <c r="PJO324" s="26" t="s">
        <v>366</v>
      </c>
      <c r="PJP324" s="26" t="s">
        <v>366</v>
      </c>
      <c r="PJQ324" s="26" t="s">
        <v>366</v>
      </c>
      <c r="PJR324" s="26" t="s">
        <v>366</v>
      </c>
      <c r="PJS324" s="26" t="s">
        <v>366</v>
      </c>
      <c r="PJT324" s="26" t="s">
        <v>366</v>
      </c>
      <c r="PJU324" s="26" t="s">
        <v>366</v>
      </c>
      <c r="PJV324" s="26" t="s">
        <v>366</v>
      </c>
      <c r="PJW324" s="26" t="s">
        <v>366</v>
      </c>
      <c r="PJX324" s="26" t="s">
        <v>366</v>
      </c>
      <c r="PJY324" s="26" t="s">
        <v>366</v>
      </c>
      <c r="PJZ324" s="26" t="s">
        <v>366</v>
      </c>
      <c r="PKA324" s="26" t="s">
        <v>366</v>
      </c>
      <c r="PKB324" s="26" t="s">
        <v>366</v>
      </c>
      <c r="PKC324" s="26" t="s">
        <v>366</v>
      </c>
      <c r="PKD324" s="26" t="s">
        <v>366</v>
      </c>
      <c r="PKE324" s="26" t="s">
        <v>366</v>
      </c>
      <c r="PKF324" s="26" t="s">
        <v>366</v>
      </c>
      <c r="PKG324" s="26" t="s">
        <v>366</v>
      </c>
      <c r="PKH324" s="26" t="s">
        <v>366</v>
      </c>
      <c r="PKI324" s="26" t="s">
        <v>366</v>
      </c>
      <c r="PKJ324" s="26" t="s">
        <v>366</v>
      </c>
      <c r="PKK324" s="26" t="s">
        <v>366</v>
      </c>
      <c r="PKL324" s="26" t="s">
        <v>366</v>
      </c>
      <c r="PKM324" s="26" t="s">
        <v>366</v>
      </c>
      <c r="PKN324" s="26" t="s">
        <v>366</v>
      </c>
      <c r="PKO324" s="26" t="s">
        <v>366</v>
      </c>
      <c r="PKP324" s="26" t="s">
        <v>366</v>
      </c>
      <c r="PKQ324" s="26" t="s">
        <v>366</v>
      </c>
      <c r="PKR324" s="26" t="s">
        <v>366</v>
      </c>
      <c r="PKS324" s="26" t="s">
        <v>366</v>
      </c>
      <c r="PKT324" s="26" t="s">
        <v>366</v>
      </c>
      <c r="PKU324" s="26" t="s">
        <v>366</v>
      </c>
      <c r="PKV324" s="26" t="s">
        <v>366</v>
      </c>
      <c r="PKW324" s="26" t="s">
        <v>366</v>
      </c>
      <c r="PKX324" s="26" t="s">
        <v>366</v>
      </c>
      <c r="PKY324" s="26" t="s">
        <v>366</v>
      </c>
      <c r="PKZ324" s="26" t="s">
        <v>366</v>
      </c>
      <c r="PLA324" s="26" t="s">
        <v>366</v>
      </c>
      <c r="PLB324" s="26" t="s">
        <v>366</v>
      </c>
      <c r="PLC324" s="26" t="s">
        <v>366</v>
      </c>
      <c r="PLD324" s="26" t="s">
        <v>366</v>
      </c>
      <c r="PLE324" s="26" t="s">
        <v>366</v>
      </c>
      <c r="PLF324" s="26" t="s">
        <v>366</v>
      </c>
      <c r="PLG324" s="26" t="s">
        <v>366</v>
      </c>
      <c r="PLH324" s="26" t="s">
        <v>366</v>
      </c>
      <c r="PLI324" s="26" t="s">
        <v>366</v>
      </c>
      <c r="PLJ324" s="26" t="s">
        <v>366</v>
      </c>
      <c r="PLK324" s="26" t="s">
        <v>366</v>
      </c>
      <c r="PLL324" s="26" t="s">
        <v>366</v>
      </c>
      <c r="PLM324" s="26" t="s">
        <v>366</v>
      </c>
      <c r="PLN324" s="26" t="s">
        <v>366</v>
      </c>
      <c r="PLO324" s="26" t="s">
        <v>366</v>
      </c>
      <c r="PLP324" s="26" t="s">
        <v>366</v>
      </c>
      <c r="PLQ324" s="26" t="s">
        <v>366</v>
      </c>
      <c r="PLR324" s="26" t="s">
        <v>366</v>
      </c>
      <c r="PLS324" s="26" t="s">
        <v>366</v>
      </c>
      <c r="PLT324" s="26" t="s">
        <v>366</v>
      </c>
      <c r="PLU324" s="26" t="s">
        <v>366</v>
      </c>
      <c r="PLV324" s="26" t="s">
        <v>366</v>
      </c>
      <c r="PLW324" s="26" t="s">
        <v>366</v>
      </c>
      <c r="PLX324" s="26" t="s">
        <v>366</v>
      </c>
      <c r="PLY324" s="26" t="s">
        <v>366</v>
      </c>
      <c r="PLZ324" s="26" t="s">
        <v>366</v>
      </c>
      <c r="PMA324" s="26" t="s">
        <v>366</v>
      </c>
      <c r="PMB324" s="26" t="s">
        <v>366</v>
      </c>
      <c r="PMC324" s="26" t="s">
        <v>366</v>
      </c>
      <c r="PMD324" s="26" t="s">
        <v>366</v>
      </c>
      <c r="PME324" s="26" t="s">
        <v>366</v>
      </c>
      <c r="PMF324" s="26" t="s">
        <v>366</v>
      </c>
      <c r="PMG324" s="26" t="s">
        <v>366</v>
      </c>
      <c r="PMH324" s="26" t="s">
        <v>366</v>
      </c>
      <c r="PMI324" s="26" t="s">
        <v>366</v>
      </c>
      <c r="PMJ324" s="26" t="s">
        <v>366</v>
      </c>
      <c r="PMK324" s="26" t="s">
        <v>366</v>
      </c>
      <c r="PML324" s="26" t="s">
        <v>366</v>
      </c>
      <c r="PMM324" s="26" t="s">
        <v>366</v>
      </c>
      <c r="PMN324" s="26" t="s">
        <v>366</v>
      </c>
      <c r="PMO324" s="26" t="s">
        <v>366</v>
      </c>
      <c r="PMP324" s="26" t="s">
        <v>366</v>
      </c>
      <c r="PMQ324" s="26" t="s">
        <v>366</v>
      </c>
      <c r="PMR324" s="26" t="s">
        <v>366</v>
      </c>
      <c r="PMS324" s="26" t="s">
        <v>366</v>
      </c>
      <c r="PMT324" s="26" t="s">
        <v>366</v>
      </c>
      <c r="PMU324" s="26" t="s">
        <v>366</v>
      </c>
      <c r="PMV324" s="26" t="s">
        <v>366</v>
      </c>
      <c r="PMW324" s="26" t="s">
        <v>366</v>
      </c>
      <c r="PMX324" s="26" t="s">
        <v>366</v>
      </c>
      <c r="PMY324" s="26" t="s">
        <v>366</v>
      </c>
      <c r="PMZ324" s="26" t="s">
        <v>366</v>
      </c>
      <c r="PNA324" s="26" t="s">
        <v>366</v>
      </c>
      <c r="PNB324" s="26" t="s">
        <v>366</v>
      </c>
      <c r="PNC324" s="26" t="s">
        <v>366</v>
      </c>
      <c r="PND324" s="26" t="s">
        <v>366</v>
      </c>
      <c r="PNE324" s="26" t="s">
        <v>366</v>
      </c>
      <c r="PNF324" s="26" t="s">
        <v>366</v>
      </c>
      <c r="PNG324" s="26" t="s">
        <v>366</v>
      </c>
      <c r="PNH324" s="26" t="s">
        <v>366</v>
      </c>
      <c r="PNI324" s="26" t="s">
        <v>366</v>
      </c>
      <c r="PNJ324" s="26" t="s">
        <v>366</v>
      </c>
      <c r="PNK324" s="26" t="s">
        <v>366</v>
      </c>
      <c r="PNL324" s="26" t="s">
        <v>366</v>
      </c>
      <c r="PNM324" s="26" t="s">
        <v>366</v>
      </c>
      <c r="PNN324" s="26" t="s">
        <v>366</v>
      </c>
      <c r="PNO324" s="26" t="s">
        <v>366</v>
      </c>
      <c r="PNP324" s="26" t="s">
        <v>366</v>
      </c>
      <c r="PNQ324" s="26" t="s">
        <v>366</v>
      </c>
      <c r="PNR324" s="26" t="s">
        <v>366</v>
      </c>
      <c r="PNS324" s="26" t="s">
        <v>366</v>
      </c>
      <c r="PNT324" s="26" t="s">
        <v>366</v>
      </c>
      <c r="PNU324" s="26" t="s">
        <v>366</v>
      </c>
      <c r="PNV324" s="26" t="s">
        <v>366</v>
      </c>
      <c r="PNW324" s="26" t="s">
        <v>366</v>
      </c>
      <c r="PNX324" s="26" t="s">
        <v>366</v>
      </c>
      <c r="PNY324" s="26" t="s">
        <v>366</v>
      </c>
      <c r="PNZ324" s="26" t="s">
        <v>366</v>
      </c>
      <c r="POA324" s="26" t="s">
        <v>366</v>
      </c>
      <c r="POB324" s="26" t="s">
        <v>366</v>
      </c>
      <c r="POC324" s="26" t="s">
        <v>366</v>
      </c>
      <c r="POD324" s="26" t="s">
        <v>366</v>
      </c>
      <c r="POE324" s="26" t="s">
        <v>366</v>
      </c>
      <c r="POF324" s="26" t="s">
        <v>366</v>
      </c>
      <c r="POG324" s="26" t="s">
        <v>366</v>
      </c>
      <c r="POH324" s="26" t="s">
        <v>366</v>
      </c>
      <c r="POI324" s="26" t="s">
        <v>366</v>
      </c>
      <c r="POJ324" s="26" t="s">
        <v>366</v>
      </c>
      <c r="POK324" s="26" t="s">
        <v>366</v>
      </c>
      <c r="POL324" s="26" t="s">
        <v>366</v>
      </c>
      <c r="POM324" s="26" t="s">
        <v>366</v>
      </c>
      <c r="PON324" s="26" t="s">
        <v>366</v>
      </c>
      <c r="POO324" s="26" t="s">
        <v>366</v>
      </c>
      <c r="POP324" s="26" t="s">
        <v>366</v>
      </c>
      <c r="POQ324" s="26" t="s">
        <v>366</v>
      </c>
      <c r="POR324" s="26" t="s">
        <v>366</v>
      </c>
      <c r="POS324" s="26" t="s">
        <v>366</v>
      </c>
      <c r="POT324" s="26" t="s">
        <v>366</v>
      </c>
      <c r="POU324" s="26" t="s">
        <v>366</v>
      </c>
      <c r="POV324" s="26" t="s">
        <v>366</v>
      </c>
      <c r="POW324" s="26" t="s">
        <v>366</v>
      </c>
      <c r="POX324" s="26" t="s">
        <v>366</v>
      </c>
      <c r="POY324" s="26" t="s">
        <v>366</v>
      </c>
      <c r="POZ324" s="26" t="s">
        <v>366</v>
      </c>
      <c r="PPA324" s="26" t="s">
        <v>366</v>
      </c>
      <c r="PPB324" s="26" t="s">
        <v>366</v>
      </c>
      <c r="PPC324" s="26" t="s">
        <v>366</v>
      </c>
      <c r="PPD324" s="26" t="s">
        <v>366</v>
      </c>
      <c r="PPE324" s="26" t="s">
        <v>366</v>
      </c>
      <c r="PPF324" s="26" t="s">
        <v>366</v>
      </c>
      <c r="PPG324" s="26" t="s">
        <v>366</v>
      </c>
      <c r="PPH324" s="26" t="s">
        <v>366</v>
      </c>
      <c r="PPI324" s="26" t="s">
        <v>366</v>
      </c>
      <c r="PPJ324" s="26" t="s">
        <v>366</v>
      </c>
      <c r="PPK324" s="26" t="s">
        <v>366</v>
      </c>
      <c r="PPL324" s="26" t="s">
        <v>366</v>
      </c>
      <c r="PPM324" s="26" t="s">
        <v>366</v>
      </c>
      <c r="PPN324" s="26" t="s">
        <v>366</v>
      </c>
      <c r="PPO324" s="26" t="s">
        <v>366</v>
      </c>
      <c r="PPP324" s="26" t="s">
        <v>366</v>
      </c>
      <c r="PPQ324" s="26" t="s">
        <v>366</v>
      </c>
      <c r="PPR324" s="26" t="s">
        <v>366</v>
      </c>
      <c r="PPS324" s="26" t="s">
        <v>366</v>
      </c>
      <c r="PPT324" s="26" t="s">
        <v>366</v>
      </c>
      <c r="PPU324" s="26" t="s">
        <v>366</v>
      </c>
      <c r="PPV324" s="26" t="s">
        <v>366</v>
      </c>
      <c r="PPW324" s="26" t="s">
        <v>366</v>
      </c>
      <c r="PPX324" s="26" t="s">
        <v>366</v>
      </c>
      <c r="PPY324" s="26" t="s">
        <v>366</v>
      </c>
      <c r="PPZ324" s="26" t="s">
        <v>366</v>
      </c>
      <c r="PQA324" s="26" t="s">
        <v>366</v>
      </c>
      <c r="PQB324" s="26" t="s">
        <v>366</v>
      </c>
      <c r="PQC324" s="26" t="s">
        <v>366</v>
      </c>
      <c r="PQD324" s="26" t="s">
        <v>366</v>
      </c>
      <c r="PQE324" s="26" t="s">
        <v>366</v>
      </c>
      <c r="PQF324" s="26" t="s">
        <v>366</v>
      </c>
      <c r="PQG324" s="26" t="s">
        <v>366</v>
      </c>
      <c r="PQH324" s="26" t="s">
        <v>366</v>
      </c>
      <c r="PQI324" s="26" t="s">
        <v>366</v>
      </c>
      <c r="PQJ324" s="26" t="s">
        <v>366</v>
      </c>
      <c r="PQK324" s="26" t="s">
        <v>366</v>
      </c>
      <c r="PQL324" s="26" t="s">
        <v>366</v>
      </c>
      <c r="PQM324" s="26" t="s">
        <v>366</v>
      </c>
      <c r="PQN324" s="26" t="s">
        <v>366</v>
      </c>
      <c r="PQO324" s="26" t="s">
        <v>366</v>
      </c>
      <c r="PQP324" s="26" t="s">
        <v>366</v>
      </c>
      <c r="PQQ324" s="26" t="s">
        <v>366</v>
      </c>
      <c r="PQR324" s="26" t="s">
        <v>366</v>
      </c>
      <c r="PQS324" s="26" t="s">
        <v>366</v>
      </c>
      <c r="PQT324" s="26" t="s">
        <v>366</v>
      </c>
      <c r="PQU324" s="26" t="s">
        <v>366</v>
      </c>
      <c r="PQV324" s="26" t="s">
        <v>366</v>
      </c>
      <c r="PQW324" s="26" t="s">
        <v>366</v>
      </c>
      <c r="PQX324" s="26" t="s">
        <v>366</v>
      </c>
      <c r="PQY324" s="26" t="s">
        <v>366</v>
      </c>
      <c r="PQZ324" s="26" t="s">
        <v>366</v>
      </c>
      <c r="PRA324" s="26" t="s">
        <v>366</v>
      </c>
      <c r="PRB324" s="26" t="s">
        <v>366</v>
      </c>
      <c r="PRC324" s="26" t="s">
        <v>366</v>
      </c>
      <c r="PRD324" s="26" t="s">
        <v>366</v>
      </c>
      <c r="PRE324" s="26" t="s">
        <v>366</v>
      </c>
      <c r="PRF324" s="26" t="s">
        <v>366</v>
      </c>
      <c r="PRG324" s="26" t="s">
        <v>366</v>
      </c>
      <c r="PRH324" s="26" t="s">
        <v>366</v>
      </c>
      <c r="PRI324" s="26" t="s">
        <v>366</v>
      </c>
      <c r="PRJ324" s="26" t="s">
        <v>366</v>
      </c>
      <c r="PRK324" s="26" t="s">
        <v>366</v>
      </c>
      <c r="PRL324" s="26" t="s">
        <v>366</v>
      </c>
      <c r="PRM324" s="26" t="s">
        <v>366</v>
      </c>
      <c r="PRN324" s="26" t="s">
        <v>366</v>
      </c>
      <c r="PRO324" s="26" t="s">
        <v>366</v>
      </c>
      <c r="PRP324" s="26" t="s">
        <v>366</v>
      </c>
      <c r="PRQ324" s="26" t="s">
        <v>366</v>
      </c>
      <c r="PRR324" s="26" t="s">
        <v>366</v>
      </c>
      <c r="PRS324" s="26" t="s">
        <v>366</v>
      </c>
      <c r="PRT324" s="26" t="s">
        <v>366</v>
      </c>
      <c r="PRU324" s="26" t="s">
        <v>366</v>
      </c>
      <c r="PRV324" s="26" t="s">
        <v>366</v>
      </c>
      <c r="PRW324" s="26" t="s">
        <v>366</v>
      </c>
      <c r="PRX324" s="26" t="s">
        <v>366</v>
      </c>
      <c r="PRY324" s="26" t="s">
        <v>366</v>
      </c>
      <c r="PRZ324" s="26" t="s">
        <v>366</v>
      </c>
      <c r="PSA324" s="26" t="s">
        <v>366</v>
      </c>
      <c r="PSB324" s="26" t="s">
        <v>366</v>
      </c>
      <c r="PSC324" s="26" t="s">
        <v>366</v>
      </c>
      <c r="PSD324" s="26" t="s">
        <v>366</v>
      </c>
      <c r="PSE324" s="26" t="s">
        <v>366</v>
      </c>
      <c r="PSF324" s="26" t="s">
        <v>366</v>
      </c>
      <c r="PSG324" s="26" t="s">
        <v>366</v>
      </c>
      <c r="PSH324" s="26" t="s">
        <v>366</v>
      </c>
      <c r="PSI324" s="26" t="s">
        <v>366</v>
      </c>
      <c r="PSJ324" s="26" t="s">
        <v>366</v>
      </c>
      <c r="PSK324" s="26" t="s">
        <v>366</v>
      </c>
      <c r="PSL324" s="26" t="s">
        <v>366</v>
      </c>
      <c r="PSM324" s="26" t="s">
        <v>366</v>
      </c>
      <c r="PSN324" s="26" t="s">
        <v>366</v>
      </c>
      <c r="PSO324" s="26" t="s">
        <v>366</v>
      </c>
      <c r="PSP324" s="26" t="s">
        <v>366</v>
      </c>
      <c r="PSQ324" s="26" t="s">
        <v>366</v>
      </c>
      <c r="PSR324" s="26" t="s">
        <v>366</v>
      </c>
      <c r="PSS324" s="26" t="s">
        <v>366</v>
      </c>
      <c r="PST324" s="26" t="s">
        <v>366</v>
      </c>
      <c r="PSU324" s="26" t="s">
        <v>366</v>
      </c>
      <c r="PSV324" s="26" t="s">
        <v>366</v>
      </c>
      <c r="PSW324" s="26" t="s">
        <v>366</v>
      </c>
      <c r="PSX324" s="26" t="s">
        <v>366</v>
      </c>
      <c r="PSY324" s="26" t="s">
        <v>366</v>
      </c>
      <c r="PSZ324" s="26" t="s">
        <v>366</v>
      </c>
      <c r="PTA324" s="26" t="s">
        <v>366</v>
      </c>
      <c r="PTB324" s="26" t="s">
        <v>366</v>
      </c>
      <c r="PTC324" s="26" t="s">
        <v>366</v>
      </c>
      <c r="PTD324" s="26" t="s">
        <v>366</v>
      </c>
      <c r="PTE324" s="26" t="s">
        <v>366</v>
      </c>
      <c r="PTF324" s="26" t="s">
        <v>366</v>
      </c>
      <c r="PTG324" s="26" t="s">
        <v>366</v>
      </c>
      <c r="PTH324" s="26" t="s">
        <v>366</v>
      </c>
      <c r="PTI324" s="26" t="s">
        <v>366</v>
      </c>
      <c r="PTJ324" s="26" t="s">
        <v>366</v>
      </c>
      <c r="PTK324" s="26" t="s">
        <v>366</v>
      </c>
      <c r="PTL324" s="26" t="s">
        <v>366</v>
      </c>
      <c r="PTM324" s="26" t="s">
        <v>366</v>
      </c>
      <c r="PTN324" s="26" t="s">
        <v>366</v>
      </c>
      <c r="PTO324" s="26" t="s">
        <v>366</v>
      </c>
      <c r="PTP324" s="26" t="s">
        <v>366</v>
      </c>
      <c r="PTQ324" s="26" t="s">
        <v>366</v>
      </c>
      <c r="PTR324" s="26" t="s">
        <v>366</v>
      </c>
      <c r="PTS324" s="26" t="s">
        <v>366</v>
      </c>
      <c r="PTT324" s="26" t="s">
        <v>366</v>
      </c>
      <c r="PTU324" s="26" t="s">
        <v>366</v>
      </c>
      <c r="PTV324" s="26" t="s">
        <v>366</v>
      </c>
      <c r="PTW324" s="26" t="s">
        <v>366</v>
      </c>
      <c r="PTX324" s="26" t="s">
        <v>366</v>
      </c>
      <c r="PTY324" s="26" t="s">
        <v>366</v>
      </c>
      <c r="PTZ324" s="26" t="s">
        <v>366</v>
      </c>
      <c r="PUA324" s="26" t="s">
        <v>366</v>
      </c>
      <c r="PUB324" s="26" t="s">
        <v>366</v>
      </c>
      <c r="PUC324" s="26" t="s">
        <v>366</v>
      </c>
      <c r="PUD324" s="26" t="s">
        <v>366</v>
      </c>
      <c r="PUE324" s="26" t="s">
        <v>366</v>
      </c>
      <c r="PUF324" s="26" t="s">
        <v>366</v>
      </c>
      <c r="PUG324" s="26" t="s">
        <v>366</v>
      </c>
      <c r="PUH324" s="26" t="s">
        <v>366</v>
      </c>
      <c r="PUI324" s="26" t="s">
        <v>366</v>
      </c>
      <c r="PUJ324" s="26" t="s">
        <v>366</v>
      </c>
      <c r="PUK324" s="26" t="s">
        <v>366</v>
      </c>
      <c r="PUL324" s="26" t="s">
        <v>366</v>
      </c>
      <c r="PUM324" s="26" t="s">
        <v>366</v>
      </c>
      <c r="PUN324" s="26" t="s">
        <v>366</v>
      </c>
      <c r="PUO324" s="26" t="s">
        <v>366</v>
      </c>
      <c r="PUP324" s="26" t="s">
        <v>366</v>
      </c>
      <c r="PUQ324" s="26" t="s">
        <v>366</v>
      </c>
      <c r="PUR324" s="26" t="s">
        <v>366</v>
      </c>
      <c r="PUS324" s="26" t="s">
        <v>366</v>
      </c>
      <c r="PUT324" s="26" t="s">
        <v>366</v>
      </c>
      <c r="PUU324" s="26" t="s">
        <v>366</v>
      </c>
      <c r="PUV324" s="26" t="s">
        <v>366</v>
      </c>
      <c r="PUW324" s="26" t="s">
        <v>366</v>
      </c>
      <c r="PUX324" s="26" t="s">
        <v>366</v>
      </c>
      <c r="PUY324" s="26" t="s">
        <v>366</v>
      </c>
      <c r="PUZ324" s="26" t="s">
        <v>366</v>
      </c>
      <c r="PVA324" s="26" t="s">
        <v>366</v>
      </c>
      <c r="PVB324" s="26" t="s">
        <v>366</v>
      </c>
      <c r="PVC324" s="26" t="s">
        <v>366</v>
      </c>
      <c r="PVD324" s="26" t="s">
        <v>366</v>
      </c>
      <c r="PVE324" s="26" t="s">
        <v>366</v>
      </c>
      <c r="PVF324" s="26" t="s">
        <v>366</v>
      </c>
      <c r="PVG324" s="26" t="s">
        <v>366</v>
      </c>
      <c r="PVH324" s="26" t="s">
        <v>366</v>
      </c>
      <c r="PVI324" s="26" t="s">
        <v>366</v>
      </c>
      <c r="PVJ324" s="26" t="s">
        <v>366</v>
      </c>
      <c r="PVK324" s="26" t="s">
        <v>366</v>
      </c>
      <c r="PVL324" s="26" t="s">
        <v>366</v>
      </c>
      <c r="PVM324" s="26" t="s">
        <v>366</v>
      </c>
      <c r="PVN324" s="26" t="s">
        <v>366</v>
      </c>
      <c r="PVO324" s="26" t="s">
        <v>366</v>
      </c>
      <c r="PVP324" s="26" t="s">
        <v>366</v>
      </c>
      <c r="PVQ324" s="26" t="s">
        <v>366</v>
      </c>
      <c r="PVR324" s="26" t="s">
        <v>366</v>
      </c>
      <c r="PVS324" s="26" t="s">
        <v>366</v>
      </c>
      <c r="PVT324" s="26" t="s">
        <v>366</v>
      </c>
      <c r="PVU324" s="26" t="s">
        <v>366</v>
      </c>
      <c r="PVV324" s="26" t="s">
        <v>366</v>
      </c>
      <c r="PVW324" s="26" t="s">
        <v>366</v>
      </c>
      <c r="PVX324" s="26" t="s">
        <v>366</v>
      </c>
      <c r="PVY324" s="26" t="s">
        <v>366</v>
      </c>
      <c r="PVZ324" s="26" t="s">
        <v>366</v>
      </c>
      <c r="PWA324" s="26" t="s">
        <v>366</v>
      </c>
      <c r="PWB324" s="26" t="s">
        <v>366</v>
      </c>
      <c r="PWC324" s="26" t="s">
        <v>366</v>
      </c>
      <c r="PWD324" s="26" t="s">
        <v>366</v>
      </c>
      <c r="PWE324" s="26" t="s">
        <v>366</v>
      </c>
      <c r="PWF324" s="26" t="s">
        <v>366</v>
      </c>
      <c r="PWG324" s="26" t="s">
        <v>366</v>
      </c>
      <c r="PWH324" s="26" t="s">
        <v>366</v>
      </c>
      <c r="PWI324" s="26" t="s">
        <v>366</v>
      </c>
      <c r="PWJ324" s="26" t="s">
        <v>366</v>
      </c>
      <c r="PWK324" s="26" t="s">
        <v>366</v>
      </c>
      <c r="PWL324" s="26" t="s">
        <v>366</v>
      </c>
      <c r="PWM324" s="26" t="s">
        <v>366</v>
      </c>
      <c r="PWN324" s="26" t="s">
        <v>366</v>
      </c>
      <c r="PWO324" s="26" t="s">
        <v>366</v>
      </c>
      <c r="PWP324" s="26" t="s">
        <v>366</v>
      </c>
      <c r="PWQ324" s="26" t="s">
        <v>366</v>
      </c>
      <c r="PWR324" s="26" t="s">
        <v>366</v>
      </c>
      <c r="PWS324" s="26" t="s">
        <v>366</v>
      </c>
      <c r="PWT324" s="26" t="s">
        <v>366</v>
      </c>
      <c r="PWU324" s="26" t="s">
        <v>366</v>
      </c>
      <c r="PWV324" s="26" t="s">
        <v>366</v>
      </c>
      <c r="PWW324" s="26" t="s">
        <v>366</v>
      </c>
      <c r="PWX324" s="26" t="s">
        <v>366</v>
      </c>
      <c r="PWY324" s="26" t="s">
        <v>366</v>
      </c>
      <c r="PWZ324" s="26" t="s">
        <v>366</v>
      </c>
      <c r="PXA324" s="26" t="s">
        <v>366</v>
      </c>
      <c r="PXB324" s="26" t="s">
        <v>366</v>
      </c>
      <c r="PXC324" s="26" t="s">
        <v>366</v>
      </c>
      <c r="PXD324" s="26" t="s">
        <v>366</v>
      </c>
      <c r="PXE324" s="26" t="s">
        <v>366</v>
      </c>
      <c r="PXF324" s="26" t="s">
        <v>366</v>
      </c>
      <c r="PXG324" s="26" t="s">
        <v>366</v>
      </c>
      <c r="PXH324" s="26" t="s">
        <v>366</v>
      </c>
      <c r="PXI324" s="26" t="s">
        <v>366</v>
      </c>
      <c r="PXJ324" s="26" t="s">
        <v>366</v>
      </c>
      <c r="PXK324" s="26" t="s">
        <v>366</v>
      </c>
      <c r="PXL324" s="26" t="s">
        <v>366</v>
      </c>
      <c r="PXM324" s="26" t="s">
        <v>366</v>
      </c>
      <c r="PXN324" s="26" t="s">
        <v>366</v>
      </c>
      <c r="PXO324" s="26" t="s">
        <v>366</v>
      </c>
      <c r="PXP324" s="26" t="s">
        <v>366</v>
      </c>
      <c r="PXQ324" s="26" t="s">
        <v>366</v>
      </c>
      <c r="PXR324" s="26" t="s">
        <v>366</v>
      </c>
      <c r="PXS324" s="26" t="s">
        <v>366</v>
      </c>
      <c r="PXT324" s="26" t="s">
        <v>366</v>
      </c>
      <c r="PXU324" s="26" t="s">
        <v>366</v>
      </c>
      <c r="PXV324" s="26" t="s">
        <v>366</v>
      </c>
      <c r="PXW324" s="26" t="s">
        <v>366</v>
      </c>
      <c r="PXX324" s="26" t="s">
        <v>366</v>
      </c>
      <c r="PXY324" s="26" t="s">
        <v>366</v>
      </c>
      <c r="PXZ324" s="26" t="s">
        <v>366</v>
      </c>
      <c r="PYA324" s="26" t="s">
        <v>366</v>
      </c>
      <c r="PYB324" s="26" t="s">
        <v>366</v>
      </c>
      <c r="PYC324" s="26" t="s">
        <v>366</v>
      </c>
      <c r="PYD324" s="26" t="s">
        <v>366</v>
      </c>
      <c r="PYE324" s="26" t="s">
        <v>366</v>
      </c>
      <c r="PYF324" s="26" t="s">
        <v>366</v>
      </c>
      <c r="PYG324" s="26" t="s">
        <v>366</v>
      </c>
      <c r="PYH324" s="26" t="s">
        <v>366</v>
      </c>
      <c r="PYI324" s="26" t="s">
        <v>366</v>
      </c>
      <c r="PYJ324" s="26" t="s">
        <v>366</v>
      </c>
      <c r="PYK324" s="26" t="s">
        <v>366</v>
      </c>
      <c r="PYL324" s="26" t="s">
        <v>366</v>
      </c>
      <c r="PYM324" s="26" t="s">
        <v>366</v>
      </c>
      <c r="PYN324" s="26" t="s">
        <v>366</v>
      </c>
      <c r="PYO324" s="26" t="s">
        <v>366</v>
      </c>
      <c r="PYP324" s="26" t="s">
        <v>366</v>
      </c>
      <c r="PYQ324" s="26" t="s">
        <v>366</v>
      </c>
      <c r="PYR324" s="26" t="s">
        <v>366</v>
      </c>
      <c r="PYS324" s="26" t="s">
        <v>366</v>
      </c>
      <c r="PYT324" s="26" t="s">
        <v>366</v>
      </c>
      <c r="PYU324" s="26" t="s">
        <v>366</v>
      </c>
      <c r="PYV324" s="26" t="s">
        <v>366</v>
      </c>
      <c r="PYW324" s="26" t="s">
        <v>366</v>
      </c>
      <c r="PYX324" s="26" t="s">
        <v>366</v>
      </c>
      <c r="PYY324" s="26" t="s">
        <v>366</v>
      </c>
      <c r="PYZ324" s="26" t="s">
        <v>366</v>
      </c>
      <c r="PZA324" s="26" t="s">
        <v>366</v>
      </c>
      <c r="PZB324" s="26" t="s">
        <v>366</v>
      </c>
      <c r="PZC324" s="26" t="s">
        <v>366</v>
      </c>
      <c r="PZD324" s="26" t="s">
        <v>366</v>
      </c>
      <c r="PZE324" s="26" t="s">
        <v>366</v>
      </c>
      <c r="PZF324" s="26" t="s">
        <v>366</v>
      </c>
      <c r="PZG324" s="26" t="s">
        <v>366</v>
      </c>
      <c r="PZH324" s="26" t="s">
        <v>366</v>
      </c>
      <c r="PZI324" s="26" t="s">
        <v>366</v>
      </c>
      <c r="PZJ324" s="26" t="s">
        <v>366</v>
      </c>
      <c r="PZK324" s="26" t="s">
        <v>366</v>
      </c>
      <c r="PZL324" s="26" t="s">
        <v>366</v>
      </c>
      <c r="PZM324" s="26" t="s">
        <v>366</v>
      </c>
      <c r="PZN324" s="26" t="s">
        <v>366</v>
      </c>
      <c r="PZO324" s="26" t="s">
        <v>366</v>
      </c>
      <c r="PZP324" s="26" t="s">
        <v>366</v>
      </c>
      <c r="PZQ324" s="26" t="s">
        <v>366</v>
      </c>
      <c r="PZR324" s="26" t="s">
        <v>366</v>
      </c>
      <c r="PZS324" s="26" t="s">
        <v>366</v>
      </c>
      <c r="PZT324" s="26" t="s">
        <v>366</v>
      </c>
      <c r="PZU324" s="26" t="s">
        <v>366</v>
      </c>
      <c r="PZV324" s="26" t="s">
        <v>366</v>
      </c>
      <c r="PZW324" s="26" t="s">
        <v>366</v>
      </c>
      <c r="PZX324" s="26" t="s">
        <v>366</v>
      </c>
      <c r="PZY324" s="26" t="s">
        <v>366</v>
      </c>
      <c r="PZZ324" s="26" t="s">
        <v>366</v>
      </c>
      <c r="QAA324" s="26" t="s">
        <v>366</v>
      </c>
      <c r="QAB324" s="26" t="s">
        <v>366</v>
      </c>
      <c r="QAC324" s="26" t="s">
        <v>366</v>
      </c>
      <c r="QAD324" s="26" t="s">
        <v>366</v>
      </c>
      <c r="QAE324" s="26" t="s">
        <v>366</v>
      </c>
      <c r="QAF324" s="26" t="s">
        <v>366</v>
      </c>
      <c r="QAG324" s="26" t="s">
        <v>366</v>
      </c>
      <c r="QAH324" s="26" t="s">
        <v>366</v>
      </c>
      <c r="QAI324" s="26" t="s">
        <v>366</v>
      </c>
      <c r="QAJ324" s="26" t="s">
        <v>366</v>
      </c>
      <c r="QAK324" s="26" t="s">
        <v>366</v>
      </c>
      <c r="QAL324" s="26" t="s">
        <v>366</v>
      </c>
      <c r="QAM324" s="26" t="s">
        <v>366</v>
      </c>
      <c r="QAN324" s="26" t="s">
        <v>366</v>
      </c>
      <c r="QAO324" s="26" t="s">
        <v>366</v>
      </c>
      <c r="QAP324" s="26" t="s">
        <v>366</v>
      </c>
      <c r="QAQ324" s="26" t="s">
        <v>366</v>
      </c>
      <c r="QAR324" s="26" t="s">
        <v>366</v>
      </c>
      <c r="QAS324" s="26" t="s">
        <v>366</v>
      </c>
      <c r="QAT324" s="26" t="s">
        <v>366</v>
      </c>
      <c r="QAU324" s="26" t="s">
        <v>366</v>
      </c>
      <c r="QAV324" s="26" t="s">
        <v>366</v>
      </c>
      <c r="QAW324" s="26" t="s">
        <v>366</v>
      </c>
      <c r="QAX324" s="26" t="s">
        <v>366</v>
      </c>
      <c r="QAY324" s="26" t="s">
        <v>366</v>
      </c>
      <c r="QAZ324" s="26" t="s">
        <v>366</v>
      </c>
      <c r="QBA324" s="26" t="s">
        <v>366</v>
      </c>
      <c r="QBB324" s="26" t="s">
        <v>366</v>
      </c>
      <c r="QBC324" s="26" t="s">
        <v>366</v>
      </c>
      <c r="QBD324" s="26" t="s">
        <v>366</v>
      </c>
      <c r="QBE324" s="26" t="s">
        <v>366</v>
      </c>
      <c r="QBF324" s="26" t="s">
        <v>366</v>
      </c>
      <c r="QBG324" s="26" t="s">
        <v>366</v>
      </c>
      <c r="QBH324" s="26" t="s">
        <v>366</v>
      </c>
      <c r="QBI324" s="26" t="s">
        <v>366</v>
      </c>
      <c r="QBJ324" s="26" t="s">
        <v>366</v>
      </c>
      <c r="QBK324" s="26" t="s">
        <v>366</v>
      </c>
      <c r="QBL324" s="26" t="s">
        <v>366</v>
      </c>
      <c r="QBM324" s="26" t="s">
        <v>366</v>
      </c>
      <c r="QBN324" s="26" t="s">
        <v>366</v>
      </c>
      <c r="QBO324" s="26" t="s">
        <v>366</v>
      </c>
      <c r="QBP324" s="26" t="s">
        <v>366</v>
      </c>
      <c r="QBQ324" s="26" t="s">
        <v>366</v>
      </c>
      <c r="QBR324" s="26" t="s">
        <v>366</v>
      </c>
      <c r="QBS324" s="26" t="s">
        <v>366</v>
      </c>
      <c r="QBT324" s="26" t="s">
        <v>366</v>
      </c>
      <c r="QBU324" s="26" t="s">
        <v>366</v>
      </c>
      <c r="QBV324" s="26" t="s">
        <v>366</v>
      </c>
      <c r="QBW324" s="26" t="s">
        <v>366</v>
      </c>
      <c r="QBX324" s="26" t="s">
        <v>366</v>
      </c>
      <c r="QBY324" s="26" t="s">
        <v>366</v>
      </c>
      <c r="QBZ324" s="26" t="s">
        <v>366</v>
      </c>
      <c r="QCA324" s="26" t="s">
        <v>366</v>
      </c>
      <c r="QCB324" s="26" t="s">
        <v>366</v>
      </c>
      <c r="QCC324" s="26" t="s">
        <v>366</v>
      </c>
      <c r="QCD324" s="26" t="s">
        <v>366</v>
      </c>
      <c r="QCE324" s="26" t="s">
        <v>366</v>
      </c>
      <c r="QCF324" s="26" t="s">
        <v>366</v>
      </c>
      <c r="QCG324" s="26" t="s">
        <v>366</v>
      </c>
      <c r="QCH324" s="26" t="s">
        <v>366</v>
      </c>
      <c r="QCI324" s="26" t="s">
        <v>366</v>
      </c>
      <c r="QCJ324" s="26" t="s">
        <v>366</v>
      </c>
      <c r="QCK324" s="26" t="s">
        <v>366</v>
      </c>
      <c r="QCL324" s="26" t="s">
        <v>366</v>
      </c>
      <c r="QCM324" s="26" t="s">
        <v>366</v>
      </c>
      <c r="QCN324" s="26" t="s">
        <v>366</v>
      </c>
      <c r="QCO324" s="26" t="s">
        <v>366</v>
      </c>
      <c r="QCP324" s="26" t="s">
        <v>366</v>
      </c>
      <c r="QCQ324" s="26" t="s">
        <v>366</v>
      </c>
      <c r="QCR324" s="26" t="s">
        <v>366</v>
      </c>
      <c r="QCS324" s="26" t="s">
        <v>366</v>
      </c>
      <c r="QCT324" s="26" t="s">
        <v>366</v>
      </c>
      <c r="QCU324" s="26" t="s">
        <v>366</v>
      </c>
      <c r="QCV324" s="26" t="s">
        <v>366</v>
      </c>
      <c r="QCW324" s="26" t="s">
        <v>366</v>
      </c>
      <c r="QCX324" s="26" t="s">
        <v>366</v>
      </c>
      <c r="QCY324" s="26" t="s">
        <v>366</v>
      </c>
      <c r="QCZ324" s="26" t="s">
        <v>366</v>
      </c>
      <c r="QDA324" s="26" t="s">
        <v>366</v>
      </c>
      <c r="QDB324" s="26" t="s">
        <v>366</v>
      </c>
      <c r="QDC324" s="26" t="s">
        <v>366</v>
      </c>
      <c r="QDD324" s="26" t="s">
        <v>366</v>
      </c>
      <c r="QDE324" s="26" t="s">
        <v>366</v>
      </c>
      <c r="QDF324" s="26" t="s">
        <v>366</v>
      </c>
      <c r="QDG324" s="26" t="s">
        <v>366</v>
      </c>
      <c r="QDH324" s="26" t="s">
        <v>366</v>
      </c>
      <c r="QDI324" s="26" t="s">
        <v>366</v>
      </c>
      <c r="QDJ324" s="26" t="s">
        <v>366</v>
      </c>
      <c r="QDK324" s="26" t="s">
        <v>366</v>
      </c>
      <c r="QDL324" s="26" t="s">
        <v>366</v>
      </c>
      <c r="QDM324" s="26" t="s">
        <v>366</v>
      </c>
      <c r="QDN324" s="26" t="s">
        <v>366</v>
      </c>
      <c r="QDO324" s="26" t="s">
        <v>366</v>
      </c>
      <c r="QDP324" s="26" t="s">
        <v>366</v>
      </c>
      <c r="QDQ324" s="26" t="s">
        <v>366</v>
      </c>
      <c r="QDR324" s="26" t="s">
        <v>366</v>
      </c>
      <c r="QDS324" s="26" t="s">
        <v>366</v>
      </c>
      <c r="QDT324" s="26" t="s">
        <v>366</v>
      </c>
      <c r="QDU324" s="26" t="s">
        <v>366</v>
      </c>
      <c r="QDV324" s="26" t="s">
        <v>366</v>
      </c>
      <c r="QDW324" s="26" t="s">
        <v>366</v>
      </c>
      <c r="QDX324" s="26" t="s">
        <v>366</v>
      </c>
      <c r="QDY324" s="26" t="s">
        <v>366</v>
      </c>
      <c r="QDZ324" s="26" t="s">
        <v>366</v>
      </c>
      <c r="QEA324" s="26" t="s">
        <v>366</v>
      </c>
      <c r="QEB324" s="26" t="s">
        <v>366</v>
      </c>
      <c r="QEC324" s="26" t="s">
        <v>366</v>
      </c>
      <c r="QED324" s="26" t="s">
        <v>366</v>
      </c>
      <c r="QEE324" s="26" t="s">
        <v>366</v>
      </c>
      <c r="QEF324" s="26" t="s">
        <v>366</v>
      </c>
      <c r="QEG324" s="26" t="s">
        <v>366</v>
      </c>
      <c r="QEH324" s="26" t="s">
        <v>366</v>
      </c>
      <c r="QEI324" s="26" t="s">
        <v>366</v>
      </c>
      <c r="QEJ324" s="26" t="s">
        <v>366</v>
      </c>
      <c r="QEK324" s="26" t="s">
        <v>366</v>
      </c>
      <c r="QEL324" s="26" t="s">
        <v>366</v>
      </c>
      <c r="QEM324" s="26" t="s">
        <v>366</v>
      </c>
      <c r="QEN324" s="26" t="s">
        <v>366</v>
      </c>
      <c r="QEO324" s="26" t="s">
        <v>366</v>
      </c>
      <c r="QEP324" s="26" t="s">
        <v>366</v>
      </c>
      <c r="QEQ324" s="26" t="s">
        <v>366</v>
      </c>
      <c r="QER324" s="26" t="s">
        <v>366</v>
      </c>
      <c r="QES324" s="26" t="s">
        <v>366</v>
      </c>
      <c r="QET324" s="26" t="s">
        <v>366</v>
      </c>
      <c r="QEU324" s="26" t="s">
        <v>366</v>
      </c>
      <c r="QEV324" s="26" t="s">
        <v>366</v>
      </c>
      <c r="QEW324" s="26" t="s">
        <v>366</v>
      </c>
      <c r="QEX324" s="26" t="s">
        <v>366</v>
      </c>
      <c r="QEY324" s="26" t="s">
        <v>366</v>
      </c>
      <c r="QEZ324" s="26" t="s">
        <v>366</v>
      </c>
      <c r="QFA324" s="26" t="s">
        <v>366</v>
      </c>
      <c r="QFB324" s="26" t="s">
        <v>366</v>
      </c>
      <c r="QFC324" s="26" t="s">
        <v>366</v>
      </c>
      <c r="QFD324" s="26" t="s">
        <v>366</v>
      </c>
      <c r="QFE324" s="26" t="s">
        <v>366</v>
      </c>
      <c r="QFF324" s="26" t="s">
        <v>366</v>
      </c>
      <c r="QFG324" s="26" t="s">
        <v>366</v>
      </c>
      <c r="QFH324" s="26" t="s">
        <v>366</v>
      </c>
      <c r="QFI324" s="26" t="s">
        <v>366</v>
      </c>
      <c r="QFJ324" s="26" t="s">
        <v>366</v>
      </c>
      <c r="QFK324" s="26" t="s">
        <v>366</v>
      </c>
      <c r="QFL324" s="26" t="s">
        <v>366</v>
      </c>
      <c r="QFM324" s="26" t="s">
        <v>366</v>
      </c>
      <c r="QFN324" s="26" t="s">
        <v>366</v>
      </c>
      <c r="QFO324" s="26" t="s">
        <v>366</v>
      </c>
      <c r="QFP324" s="26" t="s">
        <v>366</v>
      </c>
      <c r="QFQ324" s="26" t="s">
        <v>366</v>
      </c>
      <c r="QFR324" s="26" t="s">
        <v>366</v>
      </c>
      <c r="QFS324" s="26" t="s">
        <v>366</v>
      </c>
      <c r="QFT324" s="26" t="s">
        <v>366</v>
      </c>
      <c r="QFU324" s="26" t="s">
        <v>366</v>
      </c>
      <c r="QFV324" s="26" t="s">
        <v>366</v>
      </c>
      <c r="QFW324" s="26" t="s">
        <v>366</v>
      </c>
      <c r="QFX324" s="26" t="s">
        <v>366</v>
      </c>
      <c r="QFY324" s="26" t="s">
        <v>366</v>
      </c>
      <c r="QFZ324" s="26" t="s">
        <v>366</v>
      </c>
      <c r="QGA324" s="26" t="s">
        <v>366</v>
      </c>
      <c r="QGB324" s="26" t="s">
        <v>366</v>
      </c>
      <c r="QGC324" s="26" t="s">
        <v>366</v>
      </c>
      <c r="QGD324" s="26" t="s">
        <v>366</v>
      </c>
      <c r="QGE324" s="26" t="s">
        <v>366</v>
      </c>
      <c r="QGF324" s="26" t="s">
        <v>366</v>
      </c>
      <c r="QGG324" s="26" t="s">
        <v>366</v>
      </c>
      <c r="QGH324" s="26" t="s">
        <v>366</v>
      </c>
      <c r="QGI324" s="26" t="s">
        <v>366</v>
      </c>
      <c r="QGJ324" s="26" t="s">
        <v>366</v>
      </c>
      <c r="QGK324" s="26" t="s">
        <v>366</v>
      </c>
      <c r="QGL324" s="26" t="s">
        <v>366</v>
      </c>
      <c r="QGM324" s="26" t="s">
        <v>366</v>
      </c>
      <c r="QGN324" s="26" t="s">
        <v>366</v>
      </c>
      <c r="QGO324" s="26" t="s">
        <v>366</v>
      </c>
      <c r="QGP324" s="26" t="s">
        <v>366</v>
      </c>
      <c r="QGQ324" s="26" t="s">
        <v>366</v>
      </c>
      <c r="QGR324" s="26" t="s">
        <v>366</v>
      </c>
      <c r="QGS324" s="26" t="s">
        <v>366</v>
      </c>
      <c r="QGT324" s="26" t="s">
        <v>366</v>
      </c>
      <c r="QGU324" s="26" t="s">
        <v>366</v>
      </c>
      <c r="QGV324" s="26" t="s">
        <v>366</v>
      </c>
      <c r="QGW324" s="26" t="s">
        <v>366</v>
      </c>
      <c r="QGX324" s="26" t="s">
        <v>366</v>
      </c>
      <c r="QGY324" s="26" t="s">
        <v>366</v>
      </c>
      <c r="QGZ324" s="26" t="s">
        <v>366</v>
      </c>
      <c r="QHA324" s="26" t="s">
        <v>366</v>
      </c>
      <c r="QHB324" s="26" t="s">
        <v>366</v>
      </c>
      <c r="QHC324" s="26" t="s">
        <v>366</v>
      </c>
      <c r="QHD324" s="26" t="s">
        <v>366</v>
      </c>
      <c r="QHE324" s="26" t="s">
        <v>366</v>
      </c>
      <c r="QHF324" s="26" t="s">
        <v>366</v>
      </c>
      <c r="QHG324" s="26" t="s">
        <v>366</v>
      </c>
      <c r="QHH324" s="26" t="s">
        <v>366</v>
      </c>
      <c r="QHI324" s="26" t="s">
        <v>366</v>
      </c>
      <c r="QHJ324" s="26" t="s">
        <v>366</v>
      </c>
      <c r="QHK324" s="26" t="s">
        <v>366</v>
      </c>
      <c r="QHL324" s="26" t="s">
        <v>366</v>
      </c>
      <c r="QHM324" s="26" t="s">
        <v>366</v>
      </c>
      <c r="QHN324" s="26" t="s">
        <v>366</v>
      </c>
      <c r="QHO324" s="26" t="s">
        <v>366</v>
      </c>
      <c r="QHP324" s="26" t="s">
        <v>366</v>
      </c>
      <c r="QHQ324" s="26" t="s">
        <v>366</v>
      </c>
      <c r="QHR324" s="26" t="s">
        <v>366</v>
      </c>
      <c r="QHS324" s="26" t="s">
        <v>366</v>
      </c>
      <c r="QHT324" s="26" t="s">
        <v>366</v>
      </c>
      <c r="QHU324" s="26" t="s">
        <v>366</v>
      </c>
      <c r="QHV324" s="26" t="s">
        <v>366</v>
      </c>
      <c r="QHW324" s="26" t="s">
        <v>366</v>
      </c>
      <c r="QHX324" s="26" t="s">
        <v>366</v>
      </c>
      <c r="QHY324" s="26" t="s">
        <v>366</v>
      </c>
      <c r="QHZ324" s="26" t="s">
        <v>366</v>
      </c>
      <c r="QIA324" s="26" t="s">
        <v>366</v>
      </c>
      <c r="QIB324" s="26" t="s">
        <v>366</v>
      </c>
      <c r="QIC324" s="26" t="s">
        <v>366</v>
      </c>
      <c r="QID324" s="26" t="s">
        <v>366</v>
      </c>
      <c r="QIE324" s="26" t="s">
        <v>366</v>
      </c>
      <c r="QIF324" s="26" t="s">
        <v>366</v>
      </c>
      <c r="QIG324" s="26" t="s">
        <v>366</v>
      </c>
      <c r="QIH324" s="26" t="s">
        <v>366</v>
      </c>
      <c r="QII324" s="26" t="s">
        <v>366</v>
      </c>
      <c r="QIJ324" s="26" t="s">
        <v>366</v>
      </c>
      <c r="QIK324" s="26" t="s">
        <v>366</v>
      </c>
      <c r="QIL324" s="26" t="s">
        <v>366</v>
      </c>
      <c r="QIM324" s="26" t="s">
        <v>366</v>
      </c>
      <c r="QIN324" s="26" t="s">
        <v>366</v>
      </c>
      <c r="QIO324" s="26" t="s">
        <v>366</v>
      </c>
      <c r="QIP324" s="26" t="s">
        <v>366</v>
      </c>
      <c r="QIQ324" s="26" t="s">
        <v>366</v>
      </c>
      <c r="QIR324" s="26" t="s">
        <v>366</v>
      </c>
      <c r="QIS324" s="26" t="s">
        <v>366</v>
      </c>
      <c r="QIT324" s="26" t="s">
        <v>366</v>
      </c>
      <c r="QIU324" s="26" t="s">
        <v>366</v>
      </c>
      <c r="QIV324" s="26" t="s">
        <v>366</v>
      </c>
      <c r="QIW324" s="26" t="s">
        <v>366</v>
      </c>
      <c r="QIX324" s="26" t="s">
        <v>366</v>
      </c>
      <c r="QIY324" s="26" t="s">
        <v>366</v>
      </c>
      <c r="QIZ324" s="26" t="s">
        <v>366</v>
      </c>
      <c r="QJA324" s="26" t="s">
        <v>366</v>
      </c>
      <c r="QJB324" s="26" t="s">
        <v>366</v>
      </c>
      <c r="QJC324" s="26" t="s">
        <v>366</v>
      </c>
      <c r="QJD324" s="26" t="s">
        <v>366</v>
      </c>
      <c r="QJE324" s="26" t="s">
        <v>366</v>
      </c>
      <c r="QJF324" s="26" t="s">
        <v>366</v>
      </c>
      <c r="QJG324" s="26" t="s">
        <v>366</v>
      </c>
      <c r="QJH324" s="26" t="s">
        <v>366</v>
      </c>
      <c r="QJI324" s="26" t="s">
        <v>366</v>
      </c>
      <c r="QJJ324" s="26" t="s">
        <v>366</v>
      </c>
      <c r="QJK324" s="26" t="s">
        <v>366</v>
      </c>
      <c r="QJL324" s="26" t="s">
        <v>366</v>
      </c>
      <c r="QJM324" s="26" t="s">
        <v>366</v>
      </c>
      <c r="QJN324" s="26" t="s">
        <v>366</v>
      </c>
      <c r="QJO324" s="26" t="s">
        <v>366</v>
      </c>
      <c r="QJP324" s="26" t="s">
        <v>366</v>
      </c>
      <c r="QJQ324" s="26" t="s">
        <v>366</v>
      </c>
      <c r="QJR324" s="26" t="s">
        <v>366</v>
      </c>
      <c r="QJS324" s="26" t="s">
        <v>366</v>
      </c>
      <c r="QJT324" s="26" t="s">
        <v>366</v>
      </c>
      <c r="QJU324" s="26" t="s">
        <v>366</v>
      </c>
      <c r="QJV324" s="26" t="s">
        <v>366</v>
      </c>
      <c r="QJW324" s="26" t="s">
        <v>366</v>
      </c>
      <c r="QJX324" s="26" t="s">
        <v>366</v>
      </c>
      <c r="QJY324" s="26" t="s">
        <v>366</v>
      </c>
      <c r="QJZ324" s="26" t="s">
        <v>366</v>
      </c>
      <c r="QKA324" s="26" t="s">
        <v>366</v>
      </c>
      <c r="QKB324" s="26" t="s">
        <v>366</v>
      </c>
      <c r="QKC324" s="26" t="s">
        <v>366</v>
      </c>
      <c r="QKD324" s="26" t="s">
        <v>366</v>
      </c>
      <c r="QKE324" s="26" t="s">
        <v>366</v>
      </c>
      <c r="QKF324" s="26" t="s">
        <v>366</v>
      </c>
      <c r="QKG324" s="26" t="s">
        <v>366</v>
      </c>
      <c r="QKH324" s="26" t="s">
        <v>366</v>
      </c>
      <c r="QKI324" s="26" t="s">
        <v>366</v>
      </c>
      <c r="QKJ324" s="26" t="s">
        <v>366</v>
      </c>
      <c r="QKK324" s="26" t="s">
        <v>366</v>
      </c>
      <c r="QKL324" s="26" t="s">
        <v>366</v>
      </c>
      <c r="QKM324" s="26" t="s">
        <v>366</v>
      </c>
      <c r="QKN324" s="26" t="s">
        <v>366</v>
      </c>
      <c r="QKO324" s="26" t="s">
        <v>366</v>
      </c>
      <c r="QKP324" s="26" t="s">
        <v>366</v>
      </c>
      <c r="QKQ324" s="26" t="s">
        <v>366</v>
      </c>
      <c r="QKR324" s="26" t="s">
        <v>366</v>
      </c>
      <c r="QKS324" s="26" t="s">
        <v>366</v>
      </c>
      <c r="QKT324" s="26" t="s">
        <v>366</v>
      </c>
      <c r="QKU324" s="26" t="s">
        <v>366</v>
      </c>
      <c r="QKV324" s="26" t="s">
        <v>366</v>
      </c>
      <c r="QKW324" s="26" t="s">
        <v>366</v>
      </c>
      <c r="QKX324" s="26" t="s">
        <v>366</v>
      </c>
      <c r="QKY324" s="26" t="s">
        <v>366</v>
      </c>
      <c r="QKZ324" s="26" t="s">
        <v>366</v>
      </c>
      <c r="QLA324" s="26" t="s">
        <v>366</v>
      </c>
      <c r="QLB324" s="26" t="s">
        <v>366</v>
      </c>
      <c r="QLC324" s="26" t="s">
        <v>366</v>
      </c>
      <c r="QLD324" s="26" t="s">
        <v>366</v>
      </c>
      <c r="QLE324" s="26" t="s">
        <v>366</v>
      </c>
      <c r="QLF324" s="26" t="s">
        <v>366</v>
      </c>
      <c r="QLG324" s="26" t="s">
        <v>366</v>
      </c>
      <c r="QLH324" s="26" t="s">
        <v>366</v>
      </c>
      <c r="QLI324" s="26" t="s">
        <v>366</v>
      </c>
      <c r="QLJ324" s="26" t="s">
        <v>366</v>
      </c>
      <c r="QLK324" s="26" t="s">
        <v>366</v>
      </c>
      <c r="QLL324" s="26" t="s">
        <v>366</v>
      </c>
      <c r="QLM324" s="26" t="s">
        <v>366</v>
      </c>
      <c r="QLN324" s="26" t="s">
        <v>366</v>
      </c>
      <c r="QLO324" s="26" t="s">
        <v>366</v>
      </c>
      <c r="QLP324" s="26" t="s">
        <v>366</v>
      </c>
      <c r="QLQ324" s="26" t="s">
        <v>366</v>
      </c>
      <c r="QLR324" s="26" t="s">
        <v>366</v>
      </c>
      <c r="QLS324" s="26" t="s">
        <v>366</v>
      </c>
      <c r="QLT324" s="26" t="s">
        <v>366</v>
      </c>
      <c r="QLU324" s="26" t="s">
        <v>366</v>
      </c>
      <c r="QLV324" s="26" t="s">
        <v>366</v>
      </c>
      <c r="QLW324" s="26" t="s">
        <v>366</v>
      </c>
      <c r="QLX324" s="26" t="s">
        <v>366</v>
      </c>
      <c r="QLY324" s="26" t="s">
        <v>366</v>
      </c>
      <c r="QLZ324" s="26" t="s">
        <v>366</v>
      </c>
      <c r="QMA324" s="26" t="s">
        <v>366</v>
      </c>
      <c r="QMB324" s="26" t="s">
        <v>366</v>
      </c>
      <c r="QMC324" s="26" t="s">
        <v>366</v>
      </c>
      <c r="QMD324" s="26" t="s">
        <v>366</v>
      </c>
      <c r="QME324" s="26" t="s">
        <v>366</v>
      </c>
      <c r="QMF324" s="26" t="s">
        <v>366</v>
      </c>
      <c r="QMG324" s="26" t="s">
        <v>366</v>
      </c>
      <c r="QMH324" s="26" t="s">
        <v>366</v>
      </c>
      <c r="QMI324" s="26" t="s">
        <v>366</v>
      </c>
      <c r="QMJ324" s="26" t="s">
        <v>366</v>
      </c>
      <c r="QMK324" s="26" t="s">
        <v>366</v>
      </c>
      <c r="QML324" s="26" t="s">
        <v>366</v>
      </c>
      <c r="QMM324" s="26" t="s">
        <v>366</v>
      </c>
      <c r="QMN324" s="26" t="s">
        <v>366</v>
      </c>
      <c r="QMO324" s="26" t="s">
        <v>366</v>
      </c>
      <c r="QMP324" s="26" t="s">
        <v>366</v>
      </c>
      <c r="QMQ324" s="26" t="s">
        <v>366</v>
      </c>
      <c r="QMR324" s="26" t="s">
        <v>366</v>
      </c>
      <c r="QMS324" s="26" t="s">
        <v>366</v>
      </c>
      <c r="QMT324" s="26" t="s">
        <v>366</v>
      </c>
      <c r="QMU324" s="26" t="s">
        <v>366</v>
      </c>
      <c r="QMV324" s="26" t="s">
        <v>366</v>
      </c>
      <c r="QMW324" s="26" t="s">
        <v>366</v>
      </c>
      <c r="QMX324" s="26" t="s">
        <v>366</v>
      </c>
      <c r="QMY324" s="26" t="s">
        <v>366</v>
      </c>
      <c r="QMZ324" s="26" t="s">
        <v>366</v>
      </c>
      <c r="QNA324" s="26" t="s">
        <v>366</v>
      </c>
      <c r="QNB324" s="26" t="s">
        <v>366</v>
      </c>
      <c r="QNC324" s="26" t="s">
        <v>366</v>
      </c>
      <c r="QND324" s="26" t="s">
        <v>366</v>
      </c>
      <c r="QNE324" s="26" t="s">
        <v>366</v>
      </c>
      <c r="QNF324" s="26" t="s">
        <v>366</v>
      </c>
      <c r="QNG324" s="26" t="s">
        <v>366</v>
      </c>
      <c r="QNH324" s="26" t="s">
        <v>366</v>
      </c>
      <c r="QNI324" s="26" t="s">
        <v>366</v>
      </c>
      <c r="QNJ324" s="26" t="s">
        <v>366</v>
      </c>
      <c r="QNK324" s="26" t="s">
        <v>366</v>
      </c>
      <c r="QNL324" s="26" t="s">
        <v>366</v>
      </c>
      <c r="QNM324" s="26" t="s">
        <v>366</v>
      </c>
      <c r="QNN324" s="26" t="s">
        <v>366</v>
      </c>
      <c r="QNO324" s="26" t="s">
        <v>366</v>
      </c>
      <c r="QNP324" s="26" t="s">
        <v>366</v>
      </c>
      <c r="QNQ324" s="26" t="s">
        <v>366</v>
      </c>
      <c r="QNR324" s="26" t="s">
        <v>366</v>
      </c>
      <c r="QNS324" s="26" t="s">
        <v>366</v>
      </c>
      <c r="QNT324" s="26" t="s">
        <v>366</v>
      </c>
      <c r="QNU324" s="26" t="s">
        <v>366</v>
      </c>
      <c r="QNV324" s="26" t="s">
        <v>366</v>
      </c>
      <c r="QNW324" s="26" t="s">
        <v>366</v>
      </c>
      <c r="QNX324" s="26" t="s">
        <v>366</v>
      </c>
      <c r="QNY324" s="26" t="s">
        <v>366</v>
      </c>
      <c r="QNZ324" s="26" t="s">
        <v>366</v>
      </c>
      <c r="QOA324" s="26" t="s">
        <v>366</v>
      </c>
      <c r="QOB324" s="26" t="s">
        <v>366</v>
      </c>
      <c r="QOC324" s="26" t="s">
        <v>366</v>
      </c>
      <c r="QOD324" s="26" t="s">
        <v>366</v>
      </c>
      <c r="QOE324" s="26" t="s">
        <v>366</v>
      </c>
      <c r="QOF324" s="26" t="s">
        <v>366</v>
      </c>
      <c r="QOG324" s="26" t="s">
        <v>366</v>
      </c>
      <c r="QOH324" s="26" t="s">
        <v>366</v>
      </c>
      <c r="QOI324" s="26" t="s">
        <v>366</v>
      </c>
      <c r="QOJ324" s="26" t="s">
        <v>366</v>
      </c>
      <c r="QOK324" s="26" t="s">
        <v>366</v>
      </c>
      <c r="QOL324" s="26" t="s">
        <v>366</v>
      </c>
      <c r="QOM324" s="26" t="s">
        <v>366</v>
      </c>
      <c r="QON324" s="26" t="s">
        <v>366</v>
      </c>
      <c r="QOO324" s="26" t="s">
        <v>366</v>
      </c>
      <c r="QOP324" s="26" t="s">
        <v>366</v>
      </c>
      <c r="QOQ324" s="26" t="s">
        <v>366</v>
      </c>
      <c r="QOR324" s="26" t="s">
        <v>366</v>
      </c>
      <c r="QOS324" s="26" t="s">
        <v>366</v>
      </c>
      <c r="QOT324" s="26" t="s">
        <v>366</v>
      </c>
      <c r="QOU324" s="26" t="s">
        <v>366</v>
      </c>
      <c r="QOV324" s="26" t="s">
        <v>366</v>
      </c>
      <c r="QOW324" s="26" t="s">
        <v>366</v>
      </c>
      <c r="QOX324" s="26" t="s">
        <v>366</v>
      </c>
      <c r="QOY324" s="26" t="s">
        <v>366</v>
      </c>
      <c r="QOZ324" s="26" t="s">
        <v>366</v>
      </c>
      <c r="QPA324" s="26" t="s">
        <v>366</v>
      </c>
      <c r="QPB324" s="26" t="s">
        <v>366</v>
      </c>
      <c r="QPC324" s="26" t="s">
        <v>366</v>
      </c>
      <c r="QPD324" s="26" t="s">
        <v>366</v>
      </c>
      <c r="QPE324" s="26" t="s">
        <v>366</v>
      </c>
      <c r="QPF324" s="26" t="s">
        <v>366</v>
      </c>
      <c r="QPG324" s="26" t="s">
        <v>366</v>
      </c>
      <c r="QPH324" s="26" t="s">
        <v>366</v>
      </c>
      <c r="QPI324" s="26" t="s">
        <v>366</v>
      </c>
      <c r="QPJ324" s="26" t="s">
        <v>366</v>
      </c>
      <c r="QPK324" s="26" t="s">
        <v>366</v>
      </c>
      <c r="QPL324" s="26" t="s">
        <v>366</v>
      </c>
      <c r="QPM324" s="26" t="s">
        <v>366</v>
      </c>
      <c r="QPN324" s="26" t="s">
        <v>366</v>
      </c>
      <c r="QPO324" s="26" t="s">
        <v>366</v>
      </c>
      <c r="QPP324" s="26" t="s">
        <v>366</v>
      </c>
      <c r="QPQ324" s="26" t="s">
        <v>366</v>
      </c>
      <c r="QPR324" s="26" t="s">
        <v>366</v>
      </c>
      <c r="QPS324" s="26" t="s">
        <v>366</v>
      </c>
      <c r="QPT324" s="26" t="s">
        <v>366</v>
      </c>
      <c r="QPU324" s="26" t="s">
        <v>366</v>
      </c>
      <c r="QPV324" s="26" t="s">
        <v>366</v>
      </c>
      <c r="QPW324" s="26" t="s">
        <v>366</v>
      </c>
      <c r="QPX324" s="26" t="s">
        <v>366</v>
      </c>
      <c r="QPY324" s="26" t="s">
        <v>366</v>
      </c>
      <c r="QPZ324" s="26" t="s">
        <v>366</v>
      </c>
      <c r="QQA324" s="26" t="s">
        <v>366</v>
      </c>
      <c r="QQB324" s="26" t="s">
        <v>366</v>
      </c>
      <c r="QQC324" s="26" t="s">
        <v>366</v>
      </c>
      <c r="QQD324" s="26" t="s">
        <v>366</v>
      </c>
      <c r="QQE324" s="26" t="s">
        <v>366</v>
      </c>
      <c r="QQF324" s="26" t="s">
        <v>366</v>
      </c>
      <c r="QQG324" s="26" t="s">
        <v>366</v>
      </c>
      <c r="QQH324" s="26" t="s">
        <v>366</v>
      </c>
      <c r="QQI324" s="26" t="s">
        <v>366</v>
      </c>
      <c r="QQJ324" s="26" t="s">
        <v>366</v>
      </c>
      <c r="QQK324" s="26" t="s">
        <v>366</v>
      </c>
      <c r="QQL324" s="26" t="s">
        <v>366</v>
      </c>
      <c r="QQM324" s="26" t="s">
        <v>366</v>
      </c>
      <c r="QQN324" s="26" t="s">
        <v>366</v>
      </c>
      <c r="QQO324" s="26" t="s">
        <v>366</v>
      </c>
      <c r="QQP324" s="26" t="s">
        <v>366</v>
      </c>
      <c r="QQQ324" s="26" t="s">
        <v>366</v>
      </c>
      <c r="QQR324" s="26" t="s">
        <v>366</v>
      </c>
      <c r="QQS324" s="26" t="s">
        <v>366</v>
      </c>
      <c r="QQT324" s="26" t="s">
        <v>366</v>
      </c>
      <c r="QQU324" s="26" t="s">
        <v>366</v>
      </c>
      <c r="QQV324" s="26" t="s">
        <v>366</v>
      </c>
      <c r="QQW324" s="26" t="s">
        <v>366</v>
      </c>
      <c r="QQX324" s="26" t="s">
        <v>366</v>
      </c>
      <c r="QQY324" s="26" t="s">
        <v>366</v>
      </c>
      <c r="QQZ324" s="26" t="s">
        <v>366</v>
      </c>
      <c r="QRA324" s="26" t="s">
        <v>366</v>
      </c>
      <c r="QRB324" s="26" t="s">
        <v>366</v>
      </c>
      <c r="QRC324" s="26" t="s">
        <v>366</v>
      </c>
      <c r="QRD324" s="26" t="s">
        <v>366</v>
      </c>
      <c r="QRE324" s="26" t="s">
        <v>366</v>
      </c>
      <c r="QRF324" s="26" t="s">
        <v>366</v>
      </c>
      <c r="QRG324" s="26" t="s">
        <v>366</v>
      </c>
      <c r="QRH324" s="26" t="s">
        <v>366</v>
      </c>
      <c r="QRI324" s="26" t="s">
        <v>366</v>
      </c>
      <c r="QRJ324" s="26" t="s">
        <v>366</v>
      </c>
      <c r="QRK324" s="26" t="s">
        <v>366</v>
      </c>
      <c r="QRL324" s="26" t="s">
        <v>366</v>
      </c>
      <c r="QRM324" s="26" t="s">
        <v>366</v>
      </c>
      <c r="QRN324" s="26" t="s">
        <v>366</v>
      </c>
      <c r="QRO324" s="26" t="s">
        <v>366</v>
      </c>
      <c r="QRP324" s="26" t="s">
        <v>366</v>
      </c>
      <c r="QRQ324" s="26" t="s">
        <v>366</v>
      </c>
      <c r="QRR324" s="26" t="s">
        <v>366</v>
      </c>
      <c r="QRS324" s="26" t="s">
        <v>366</v>
      </c>
      <c r="QRT324" s="26" t="s">
        <v>366</v>
      </c>
      <c r="QRU324" s="26" t="s">
        <v>366</v>
      </c>
      <c r="QRV324" s="26" t="s">
        <v>366</v>
      </c>
      <c r="QRW324" s="26" t="s">
        <v>366</v>
      </c>
      <c r="QRX324" s="26" t="s">
        <v>366</v>
      </c>
      <c r="QRY324" s="26" t="s">
        <v>366</v>
      </c>
      <c r="QRZ324" s="26" t="s">
        <v>366</v>
      </c>
      <c r="QSA324" s="26" t="s">
        <v>366</v>
      </c>
      <c r="QSB324" s="26" t="s">
        <v>366</v>
      </c>
      <c r="QSC324" s="26" t="s">
        <v>366</v>
      </c>
      <c r="QSD324" s="26" t="s">
        <v>366</v>
      </c>
      <c r="QSE324" s="26" t="s">
        <v>366</v>
      </c>
      <c r="QSF324" s="26" t="s">
        <v>366</v>
      </c>
      <c r="QSG324" s="26" t="s">
        <v>366</v>
      </c>
      <c r="QSH324" s="26" t="s">
        <v>366</v>
      </c>
      <c r="QSI324" s="26" t="s">
        <v>366</v>
      </c>
      <c r="QSJ324" s="26" t="s">
        <v>366</v>
      </c>
      <c r="QSK324" s="26" t="s">
        <v>366</v>
      </c>
      <c r="QSL324" s="26" t="s">
        <v>366</v>
      </c>
      <c r="QSM324" s="26" t="s">
        <v>366</v>
      </c>
      <c r="QSN324" s="26" t="s">
        <v>366</v>
      </c>
      <c r="QSO324" s="26" t="s">
        <v>366</v>
      </c>
      <c r="QSP324" s="26" t="s">
        <v>366</v>
      </c>
      <c r="QSQ324" s="26" t="s">
        <v>366</v>
      </c>
      <c r="QSR324" s="26" t="s">
        <v>366</v>
      </c>
      <c r="QSS324" s="26" t="s">
        <v>366</v>
      </c>
      <c r="QST324" s="26" t="s">
        <v>366</v>
      </c>
      <c r="QSU324" s="26" t="s">
        <v>366</v>
      </c>
      <c r="QSV324" s="26" t="s">
        <v>366</v>
      </c>
      <c r="QSW324" s="26" t="s">
        <v>366</v>
      </c>
      <c r="QSX324" s="26" t="s">
        <v>366</v>
      </c>
      <c r="QSY324" s="26" t="s">
        <v>366</v>
      </c>
      <c r="QSZ324" s="26" t="s">
        <v>366</v>
      </c>
      <c r="QTA324" s="26" t="s">
        <v>366</v>
      </c>
      <c r="QTB324" s="26" t="s">
        <v>366</v>
      </c>
      <c r="QTC324" s="26" t="s">
        <v>366</v>
      </c>
      <c r="QTD324" s="26" t="s">
        <v>366</v>
      </c>
      <c r="QTE324" s="26" t="s">
        <v>366</v>
      </c>
      <c r="QTF324" s="26" t="s">
        <v>366</v>
      </c>
      <c r="QTG324" s="26" t="s">
        <v>366</v>
      </c>
      <c r="QTH324" s="26" t="s">
        <v>366</v>
      </c>
      <c r="QTI324" s="26" t="s">
        <v>366</v>
      </c>
      <c r="QTJ324" s="26" t="s">
        <v>366</v>
      </c>
      <c r="QTK324" s="26" t="s">
        <v>366</v>
      </c>
      <c r="QTL324" s="26" t="s">
        <v>366</v>
      </c>
      <c r="QTM324" s="26" t="s">
        <v>366</v>
      </c>
      <c r="QTN324" s="26" t="s">
        <v>366</v>
      </c>
      <c r="QTO324" s="26" t="s">
        <v>366</v>
      </c>
      <c r="QTP324" s="26" t="s">
        <v>366</v>
      </c>
      <c r="QTQ324" s="26" t="s">
        <v>366</v>
      </c>
      <c r="QTR324" s="26" t="s">
        <v>366</v>
      </c>
      <c r="QTS324" s="26" t="s">
        <v>366</v>
      </c>
      <c r="QTT324" s="26" t="s">
        <v>366</v>
      </c>
      <c r="QTU324" s="26" t="s">
        <v>366</v>
      </c>
      <c r="QTV324" s="26" t="s">
        <v>366</v>
      </c>
      <c r="QTW324" s="26" t="s">
        <v>366</v>
      </c>
      <c r="QTX324" s="26" t="s">
        <v>366</v>
      </c>
      <c r="QTY324" s="26" t="s">
        <v>366</v>
      </c>
      <c r="QTZ324" s="26" t="s">
        <v>366</v>
      </c>
      <c r="QUA324" s="26" t="s">
        <v>366</v>
      </c>
      <c r="QUB324" s="26" t="s">
        <v>366</v>
      </c>
      <c r="QUC324" s="26" t="s">
        <v>366</v>
      </c>
      <c r="QUD324" s="26" t="s">
        <v>366</v>
      </c>
      <c r="QUE324" s="26" t="s">
        <v>366</v>
      </c>
      <c r="QUF324" s="26" t="s">
        <v>366</v>
      </c>
      <c r="QUG324" s="26" t="s">
        <v>366</v>
      </c>
      <c r="QUH324" s="26" t="s">
        <v>366</v>
      </c>
      <c r="QUI324" s="26" t="s">
        <v>366</v>
      </c>
      <c r="QUJ324" s="26" t="s">
        <v>366</v>
      </c>
      <c r="QUK324" s="26" t="s">
        <v>366</v>
      </c>
      <c r="QUL324" s="26" t="s">
        <v>366</v>
      </c>
      <c r="QUM324" s="26" t="s">
        <v>366</v>
      </c>
      <c r="QUN324" s="26" t="s">
        <v>366</v>
      </c>
      <c r="QUO324" s="26" t="s">
        <v>366</v>
      </c>
      <c r="QUP324" s="26" t="s">
        <v>366</v>
      </c>
      <c r="QUQ324" s="26" t="s">
        <v>366</v>
      </c>
      <c r="QUR324" s="26" t="s">
        <v>366</v>
      </c>
      <c r="QUS324" s="26" t="s">
        <v>366</v>
      </c>
      <c r="QUT324" s="26" t="s">
        <v>366</v>
      </c>
      <c r="QUU324" s="26" t="s">
        <v>366</v>
      </c>
      <c r="QUV324" s="26" t="s">
        <v>366</v>
      </c>
      <c r="QUW324" s="26" t="s">
        <v>366</v>
      </c>
      <c r="QUX324" s="26" t="s">
        <v>366</v>
      </c>
      <c r="QUY324" s="26" t="s">
        <v>366</v>
      </c>
      <c r="QUZ324" s="26" t="s">
        <v>366</v>
      </c>
      <c r="QVA324" s="26" t="s">
        <v>366</v>
      </c>
      <c r="QVB324" s="26" t="s">
        <v>366</v>
      </c>
      <c r="QVC324" s="26" t="s">
        <v>366</v>
      </c>
      <c r="QVD324" s="26" t="s">
        <v>366</v>
      </c>
      <c r="QVE324" s="26" t="s">
        <v>366</v>
      </c>
      <c r="QVF324" s="26" t="s">
        <v>366</v>
      </c>
      <c r="QVG324" s="26" t="s">
        <v>366</v>
      </c>
      <c r="QVH324" s="26" t="s">
        <v>366</v>
      </c>
      <c r="QVI324" s="26" t="s">
        <v>366</v>
      </c>
      <c r="QVJ324" s="26" t="s">
        <v>366</v>
      </c>
      <c r="QVK324" s="26" t="s">
        <v>366</v>
      </c>
      <c r="QVL324" s="26" t="s">
        <v>366</v>
      </c>
      <c r="QVM324" s="26" t="s">
        <v>366</v>
      </c>
      <c r="QVN324" s="26" t="s">
        <v>366</v>
      </c>
      <c r="QVO324" s="26" t="s">
        <v>366</v>
      </c>
      <c r="QVP324" s="26" t="s">
        <v>366</v>
      </c>
      <c r="QVQ324" s="26" t="s">
        <v>366</v>
      </c>
      <c r="QVR324" s="26" t="s">
        <v>366</v>
      </c>
      <c r="QVS324" s="26" t="s">
        <v>366</v>
      </c>
      <c r="QVT324" s="26" t="s">
        <v>366</v>
      </c>
      <c r="QVU324" s="26" t="s">
        <v>366</v>
      </c>
      <c r="QVV324" s="26" t="s">
        <v>366</v>
      </c>
      <c r="QVW324" s="26" t="s">
        <v>366</v>
      </c>
      <c r="QVX324" s="26" t="s">
        <v>366</v>
      </c>
      <c r="QVY324" s="26" t="s">
        <v>366</v>
      </c>
      <c r="QVZ324" s="26" t="s">
        <v>366</v>
      </c>
      <c r="QWA324" s="26" t="s">
        <v>366</v>
      </c>
      <c r="QWB324" s="26" t="s">
        <v>366</v>
      </c>
      <c r="QWC324" s="26" t="s">
        <v>366</v>
      </c>
      <c r="QWD324" s="26" t="s">
        <v>366</v>
      </c>
      <c r="QWE324" s="26" t="s">
        <v>366</v>
      </c>
      <c r="QWF324" s="26" t="s">
        <v>366</v>
      </c>
      <c r="QWG324" s="26" t="s">
        <v>366</v>
      </c>
      <c r="QWH324" s="26" t="s">
        <v>366</v>
      </c>
      <c r="QWI324" s="26" t="s">
        <v>366</v>
      </c>
      <c r="QWJ324" s="26" t="s">
        <v>366</v>
      </c>
      <c r="QWK324" s="26" t="s">
        <v>366</v>
      </c>
      <c r="QWL324" s="26" t="s">
        <v>366</v>
      </c>
      <c r="QWM324" s="26" t="s">
        <v>366</v>
      </c>
      <c r="QWN324" s="26" t="s">
        <v>366</v>
      </c>
      <c r="QWO324" s="26" t="s">
        <v>366</v>
      </c>
      <c r="QWP324" s="26" t="s">
        <v>366</v>
      </c>
      <c r="QWQ324" s="26" t="s">
        <v>366</v>
      </c>
      <c r="QWR324" s="26" t="s">
        <v>366</v>
      </c>
      <c r="QWS324" s="26" t="s">
        <v>366</v>
      </c>
      <c r="QWT324" s="26" t="s">
        <v>366</v>
      </c>
      <c r="QWU324" s="26" t="s">
        <v>366</v>
      </c>
      <c r="QWV324" s="26" t="s">
        <v>366</v>
      </c>
      <c r="QWW324" s="26" t="s">
        <v>366</v>
      </c>
      <c r="QWX324" s="26" t="s">
        <v>366</v>
      </c>
      <c r="QWY324" s="26" t="s">
        <v>366</v>
      </c>
      <c r="QWZ324" s="26" t="s">
        <v>366</v>
      </c>
      <c r="QXA324" s="26" t="s">
        <v>366</v>
      </c>
      <c r="QXB324" s="26" t="s">
        <v>366</v>
      </c>
      <c r="QXC324" s="26" t="s">
        <v>366</v>
      </c>
      <c r="QXD324" s="26" t="s">
        <v>366</v>
      </c>
      <c r="QXE324" s="26" t="s">
        <v>366</v>
      </c>
      <c r="QXF324" s="26" t="s">
        <v>366</v>
      </c>
      <c r="QXG324" s="26" t="s">
        <v>366</v>
      </c>
      <c r="QXH324" s="26" t="s">
        <v>366</v>
      </c>
      <c r="QXI324" s="26" t="s">
        <v>366</v>
      </c>
      <c r="QXJ324" s="26" t="s">
        <v>366</v>
      </c>
      <c r="QXK324" s="26" t="s">
        <v>366</v>
      </c>
      <c r="QXL324" s="26" t="s">
        <v>366</v>
      </c>
      <c r="QXM324" s="26" t="s">
        <v>366</v>
      </c>
      <c r="QXN324" s="26" t="s">
        <v>366</v>
      </c>
      <c r="QXO324" s="26" t="s">
        <v>366</v>
      </c>
      <c r="QXP324" s="26" t="s">
        <v>366</v>
      </c>
      <c r="QXQ324" s="26" t="s">
        <v>366</v>
      </c>
      <c r="QXR324" s="26" t="s">
        <v>366</v>
      </c>
      <c r="QXS324" s="26" t="s">
        <v>366</v>
      </c>
      <c r="QXT324" s="26" t="s">
        <v>366</v>
      </c>
      <c r="QXU324" s="26" t="s">
        <v>366</v>
      </c>
      <c r="QXV324" s="26" t="s">
        <v>366</v>
      </c>
      <c r="QXW324" s="26" t="s">
        <v>366</v>
      </c>
      <c r="QXX324" s="26" t="s">
        <v>366</v>
      </c>
      <c r="QXY324" s="26" t="s">
        <v>366</v>
      </c>
      <c r="QXZ324" s="26" t="s">
        <v>366</v>
      </c>
      <c r="QYA324" s="26" t="s">
        <v>366</v>
      </c>
      <c r="QYB324" s="26" t="s">
        <v>366</v>
      </c>
      <c r="QYC324" s="26" t="s">
        <v>366</v>
      </c>
      <c r="QYD324" s="26" t="s">
        <v>366</v>
      </c>
      <c r="QYE324" s="26" t="s">
        <v>366</v>
      </c>
      <c r="QYF324" s="26" t="s">
        <v>366</v>
      </c>
      <c r="QYG324" s="26" t="s">
        <v>366</v>
      </c>
      <c r="QYH324" s="26" t="s">
        <v>366</v>
      </c>
      <c r="QYI324" s="26" t="s">
        <v>366</v>
      </c>
      <c r="QYJ324" s="26" t="s">
        <v>366</v>
      </c>
      <c r="QYK324" s="26" t="s">
        <v>366</v>
      </c>
      <c r="QYL324" s="26" t="s">
        <v>366</v>
      </c>
      <c r="QYM324" s="26" t="s">
        <v>366</v>
      </c>
      <c r="QYN324" s="26" t="s">
        <v>366</v>
      </c>
      <c r="QYO324" s="26" t="s">
        <v>366</v>
      </c>
      <c r="QYP324" s="26" t="s">
        <v>366</v>
      </c>
      <c r="QYQ324" s="26" t="s">
        <v>366</v>
      </c>
      <c r="QYR324" s="26" t="s">
        <v>366</v>
      </c>
      <c r="QYS324" s="26" t="s">
        <v>366</v>
      </c>
      <c r="QYT324" s="26" t="s">
        <v>366</v>
      </c>
      <c r="QYU324" s="26" t="s">
        <v>366</v>
      </c>
      <c r="QYV324" s="26" t="s">
        <v>366</v>
      </c>
      <c r="QYW324" s="26" t="s">
        <v>366</v>
      </c>
      <c r="QYX324" s="26" t="s">
        <v>366</v>
      </c>
      <c r="QYY324" s="26" t="s">
        <v>366</v>
      </c>
      <c r="QYZ324" s="26" t="s">
        <v>366</v>
      </c>
      <c r="QZA324" s="26" t="s">
        <v>366</v>
      </c>
      <c r="QZB324" s="26" t="s">
        <v>366</v>
      </c>
      <c r="QZC324" s="26" t="s">
        <v>366</v>
      </c>
      <c r="QZD324" s="26" t="s">
        <v>366</v>
      </c>
      <c r="QZE324" s="26" t="s">
        <v>366</v>
      </c>
      <c r="QZF324" s="26" t="s">
        <v>366</v>
      </c>
      <c r="QZG324" s="26" t="s">
        <v>366</v>
      </c>
      <c r="QZH324" s="26" t="s">
        <v>366</v>
      </c>
      <c r="QZI324" s="26" t="s">
        <v>366</v>
      </c>
      <c r="QZJ324" s="26" t="s">
        <v>366</v>
      </c>
      <c r="QZK324" s="26" t="s">
        <v>366</v>
      </c>
      <c r="QZL324" s="26" t="s">
        <v>366</v>
      </c>
      <c r="QZM324" s="26" t="s">
        <v>366</v>
      </c>
      <c r="QZN324" s="26" t="s">
        <v>366</v>
      </c>
      <c r="QZO324" s="26" t="s">
        <v>366</v>
      </c>
      <c r="QZP324" s="26" t="s">
        <v>366</v>
      </c>
      <c r="QZQ324" s="26" t="s">
        <v>366</v>
      </c>
      <c r="QZR324" s="26" t="s">
        <v>366</v>
      </c>
      <c r="QZS324" s="26" t="s">
        <v>366</v>
      </c>
      <c r="QZT324" s="26" t="s">
        <v>366</v>
      </c>
      <c r="QZU324" s="26" t="s">
        <v>366</v>
      </c>
      <c r="QZV324" s="26" t="s">
        <v>366</v>
      </c>
      <c r="QZW324" s="26" t="s">
        <v>366</v>
      </c>
      <c r="QZX324" s="26" t="s">
        <v>366</v>
      </c>
      <c r="QZY324" s="26" t="s">
        <v>366</v>
      </c>
      <c r="QZZ324" s="26" t="s">
        <v>366</v>
      </c>
      <c r="RAA324" s="26" t="s">
        <v>366</v>
      </c>
      <c r="RAB324" s="26" t="s">
        <v>366</v>
      </c>
      <c r="RAC324" s="26" t="s">
        <v>366</v>
      </c>
      <c r="RAD324" s="26" t="s">
        <v>366</v>
      </c>
      <c r="RAE324" s="26" t="s">
        <v>366</v>
      </c>
      <c r="RAF324" s="26" t="s">
        <v>366</v>
      </c>
      <c r="RAG324" s="26" t="s">
        <v>366</v>
      </c>
      <c r="RAH324" s="26" t="s">
        <v>366</v>
      </c>
      <c r="RAI324" s="26" t="s">
        <v>366</v>
      </c>
      <c r="RAJ324" s="26" t="s">
        <v>366</v>
      </c>
      <c r="RAK324" s="26" t="s">
        <v>366</v>
      </c>
      <c r="RAL324" s="26" t="s">
        <v>366</v>
      </c>
      <c r="RAM324" s="26" t="s">
        <v>366</v>
      </c>
      <c r="RAN324" s="26" t="s">
        <v>366</v>
      </c>
      <c r="RAO324" s="26" t="s">
        <v>366</v>
      </c>
      <c r="RAP324" s="26" t="s">
        <v>366</v>
      </c>
      <c r="RAQ324" s="26" t="s">
        <v>366</v>
      </c>
      <c r="RAR324" s="26" t="s">
        <v>366</v>
      </c>
      <c r="RAS324" s="26" t="s">
        <v>366</v>
      </c>
      <c r="RAT324" s="26" t="s">
        <v>366</v>
      </c>
      <c r="RAU324" s="26" t="s">
        <v>366</v>
      </c>
      <c r="RAV324" s="26" t="s">
        <v>366</v>
      </c>
      <c r="RAW324" s="26" t="s">
        <v>366</v>
      </c>
      <c r="RAX324" s="26" t="s">
        <v>366</v>
      </c>
      <c r="RAY324" s="26" t="s">
        <v>366</v>
      </c>
      <c r="RAZ324" s="26" t="s">
        <v>366</v>
      </c>
      <c r="RBA324" s="26" t="s">
        <v>366</v>
      </c>
      <c r="RBB324" s="26" t="s">
        <v>366</v>
      </c>
      <c r="RBC324" s="26" t="s">
        <v>366</v>
      </c>
      <c r="RBD324" s="26" t="s">
        <v>366</v>
      </c>
      <c r="RBE324" s="26" t="s">
        <v>366</v>
      </c>
      <c r="RBF324" s="26" t="s">
        <v>366</v>
      </c>
      <c r="RBG324" s="26" t="s">
        <v>366</v>
      </c>
      <c r="RBH324" s="26" t="s">
        <v>366</v>
      </c>
      <c r="RBI324" s="26" t="s">
        <v>366</v>
      </c>
      <c r="RBJ324" s="26" t="s">
        <v>366</v>
      </c>
      <c r="RBK324" s="26" t="s">
        <v>366</v>
      </c>
      <c r="RBL324" s="26" t="s">
        <v>366</v>
      </c>
      <c r="RBM324" s="26" t="s">
        <v>366</v>
      </c>
      <c r="RBN324" s="26" t="s">
        <v>366</v>
      </c>
      <c r="RBO324" s="26" t="s">
        <v>366</v>
      </c>
      <c r="RBP324" s="26" t="s">
        <v>366</v>
      </c>
      <c r="RBQ324" s="26" t="s">
        <v>366</v>
      </c>
      <c r="RBR324" s="26" t="s">
        <v>366</v>
      </c>
      <c r="RBS324" s="26" t="s">
        <v>366</v>
      </c>
      <c r="RBT324" s="26" t="s">
        <v>366</v>
      </c>
      <c r="RBU324" s="26" t="s">
        <v>366</v>
      </c>
      <c r="RBV324" s="26" t="s">
        <v>366</v>
      </c>
      <c r="RBW324" s="26" t="s">
        <v>366</v>
      </c>
      <c r="RBX324" s="26" t="s">
        <v>366</v>
      </c>
      <c r="RBY324" s="26" t="s">
        <v>366</v>
      </c>
      <c r="RBZ324" s="26" t="s">
        <v>366</v>
      </c>
      <c r="RCA324" s="26" t="s">
        <v>366</v>
      </c>
      <c r="RCB324" s="26" t="s">
        <v>366</v>
      </c>
      <c r="RCC324" s="26" t="s">
        <v>366</v>
      </c>
      <c r="RCD324" s="26" t="s">
        <v>366</v>
      </c>
      <c r="RCE324" s="26" t="s">
        <v>366</v>
      </c>
      <c r="RCF324" s="26" t="s">
        <v>366</v>
      </c>
      <c r="RCG324" s="26" t="s">
        <v>366</v>
      </c>
      <c r="RCH324" s="26" t="s">
        <v>366</v>
      </c>
      <c r="RCI324" s="26" t="s">
        <v>366</v>
      </c>
      <c r="RCJ324" s="26" t="s">
        <v>366</v>
      </c>
      <c r="RCK324" s="26" t="s">
        <v>366</v>
      </c>
      <c r="RCL324" s="26" t="s">
        <v>366</v>
      </c>
      <c r="RCM324" s="26" t="s">
        <v>366</v>
      </c>
      <c r="RCN324" s="26" t="s">
        <v>366</v>
      </c>
      <c r="RCO324" s="26" t="s">
        <v>366</v>
      </c>
      <c r="RCP324" s="26" t="s">
        <v>366</v>
      </c>
      <c r="RCQ324" s="26" t="s">
        <v>366</v>
      </c>
      <c r="RCR324" s="26" t="s">
        <v>366</v>
      </c>
      <c r="RCS324" s="26" t="s">
        <v>366</v>
      </c>
      <c r="RCT324" s="26" t="s">
        <v>366</v>
      </c>
      <c r="RCU324" s="26" t="s">
        <v>366</v>
      </c>
      <c r="RCV324" s="26" t="s">
        <v>366</v>
      </c>
      <c r="RCW324" s="26" t="s">
        <v>366</v>
      </c>
      <c r="RCX324" s="26" t="s">
        <v>366</v>
      </c>
      <c r="RCY324" s="26" t="s">
        <v>366</v>
      </c>
      <c r="RCZ324" s="26" t="s">
        <v>366</v>
      </c>
      <c r="RDA324" s="26" t="s">
        <v>366</v>
      </c>
      <c r="RDB324" s="26" t="s">
        <v>366</v>
      </c>
      <c r="RDC324" s="26" t="s">
        <v>366</v>
      </c>
      <c r="RDD324" s="26" t="s">
        <v>366</v>
      </c>
      <c r="RDE324" s="26" t="s">
        <v>366</v>
      </c>
      <c r="RDF324" s="26" t="s">
        <v>366</v>
      </c>
      <c r="RDG324" s="26" t="s">
        <v>366</v>
      </c>
      <c r="RDH324" s="26" t="s">
        <v>366</v>
      </c>
      <c r="RDI324" s="26" t="s">
        <v>366</v>
      </c>
      <c r="RDJ324" s="26" t="s">
        <v>366</v>
      </c>
      <c r="RDK324" s="26" t="s">
        <v>366</v>
      </c>
      <c r="RDL324" s="26" t="s">
        <v>366</v>
      </c>
      <c r="RDM324" s="26" t="s">
        <v>366</v>
      </c>
      <c r="RDN324" s="26" t="s">
        <v>366</v>
      </c>
      <c r="RDO324" s="26" t="s">
        <v>366</v>
      </c>
      <c r="RDP324" s="26" t="s">
        <v>366</v>
      </c>
      <c r="RDQ324" s="26" t="s">
        <v>366</v>
      </c>
      <c r="RDR324" s="26" t="s">
        <v>366</v>
      </c>
      <c r="RDS324" s="26" t="s">
        <v>366</v>
      </c>
      <c r="RDT324" s="26" t="s">
        <v>366</v>
      </c>
      <c r="RDU324" s="26" t="s">
        <v>366</v>
      </c>
      <c r="RDV324" s="26" t="s">
        <v>366</v>
      </c>
      <c r="RDW324" s="26" t="s">
        <v>366</v>
      </c>
      <c r="RDX324" s="26" t="s">
        <v>366</v>
      </c>
      <c r="RDY324" s="26" t="s">
        <v>366</v>
      </c>
      <c r="RDZ324" s="26" t="s">
        <v>366</v>
      </c>
      <c r="REA324" s="26" t="s">
        <v>366</v>
      </c>
      <c r="REB324" s="26" t="s">
        <v>366</v>
      </c>
      <c r="REC324" s="26" t="s">
        <v>366</v>
      </c>
      <c r="RED324" s="26" t="s">
        <v>366</v>
      </c>
      <c r="REE324" s="26" t="s">
        <v>366</v>
      </c>
      <c r="REF324" s="26" t="s">
        <v>366</v>
      </c>
      <c r="REG324" s="26" t="s">
        <v>366</v>
      </c>
      <c r="REH324" s="26" t="s">
        <v>366</v>
      </c>
      <c r="REI324" s="26" t="s">
        <v>366</v>
      </c>
      <c r="REJ324" s="26" t="s">
        <v>366</v>
      </c>
      <c r="REK324" s="26" t="s">
        <v>366</v>
      </c>
      <c r="REL324" s="26" t="s">
        <v>366</v>
      </c>
      <c r="REM324" s="26" t="s">
        <v>366</v>
      </c>
      <c r="REN324" s="26" t="s">
        <v>366</v>
      </c>
      <c r="REO324" s="26" t="s">
        <v>366</v>
      </c>
      <c r="REP324" s="26" t="s">
        <v>366</v>
      </c>
      <c r="REQ324" s="26" t="s">
        <v>366</v>
      </c>
      <c r="RER324" s="26" t="s">
        <v>366</v>
      </c>
      <c r="RES324" s="26" t="s">
        <v>366</v>
      </c>
      <c r="RET324" s="26" t="s">
        <v>366</v>
      </c>
      <c r="REU324" s="26" t="s">
        <v>366</v>
      </c>
      <c r="REV324" s="26" t="s">
        <v>366</v>
      </c>
      <c r="REW324" s="26" t="s">
        <v>366</v>
      </c>
      <c r="REX324" s="26" t="s">
        <v>366</v>
      </c>
      <c r="REY324" s="26" t="s">
        <v>366</v>
      </c>
      <c r="REZ324" s="26" t="s">
        <v>366</v>
      </c>
      <c r="RFA324" s="26" t="s">
        <v>366</v>
      </c>
      <c r="RFB324" s="26" t="s">
        <v>366</v>
      </c>
      <c r="RFC324" s="26" t="s">
        <v>366</v>
      </c>
      <c r="RFD324" s="26" t="s">
        <v>366</v>
      </c>
      <c r="RFE324" s="26" t="s">
        <v>366</v>
      </c>
      <c r="RFF324" s="26" t="s">
        <v>366</v>
      </c>
      <c r="RFG324" s="26" t="s">
        <v>366</v>
      </c>
      <c r="RFH324" s="26" t="s">
        <v>366</v>
      </c>
      <c r="RFI324" s="26" t="s">
        <v>366</v>
      </c>
      <c r="RFJ324" s="26" t="s">
        <v>366</v>
      </c>
      <c r="RFK324" s="26" t="s">
        <v>366</v>
      </c>
      <c r="RFL324" s="26" t="s">
        <v>366</v>
      </c>
      <c r="RFM324" s="26" t="s">
        <v>366</v>
      </c>
      <c r="RFN324" s="26" t="s">
        <v>366</v>
      </c>
      <c r="RFO324" s="26" t="s">
        <v>366</v>
      </c>
      <c r="RFP324" s="26" t="s">
        <v>366</v>
      </c>
      <c r="RFQ324" s="26" t="s">
        <v>366</v>
      </c>
      <c r="RFR324" s="26" t="s">
        <v>366</v>
      </c>
      <c r="RFS324" s="26" t="s">
        <v>366</v>
      </c>
      <c r="RFT324" s="26" t="s">
        <v>366</v>
      </c>
      <c r="RFU324" s="26" t="s">
        <v>366</v>
      </c>
      <c r="RFV324" s="26" t="s">
        <v>366</v>
      </c>
      <c r="RFW324" s="26" t="s">
        <v>366</v>
      </c>
      <c r="RFX324" s="26" t="s">
        <v>366</v>
      </c>
      <c r="RFY324" s="26" t="s">
        <v>366</v>
      </c>
      <c r="RFZ324" s="26" t="s">
        <v>366</v>
      </c>
      <c r="RGA324" s="26" t="s">
        <v>366</v>
      </c>
      <c r="RGB324" s="26" t="s">
        <v>366</v>
      </c>
      <c r="RGC324" s="26" t="s">
        <v>366</v>
      </c>
      <c r="RGD324" s="26" t="s">
        <v>366</v>
      </c>
      <c r="RGE324" s="26" t="s">
        <v>366</v>
      </c>
      <c r="RGF324" s="26" t="s">
        <v>366</v>
      </c>
      <c r="RGG324" s="26" t="s">
        <v>366</v>
      </c>
      <c r="RGH324" s="26" t="s">
        <v>366</v>
      </c>
      <c r="RGI324" s="26" t="s">
        <v>366</v>
      </c>
      <c r="RGJ324" s="26" t="s">
        <v>366</v>
      </c>
      <c r="RGK324" s="26" t="s">
        <v>366</v>
      </c>
      <c r="RGL324" s="26" t="s">
        <v>366</v>
      </c>
      <c r="RGM324" s="26" t="s">
        <v>366</v>
      </c>
      <c r="RGN324" s="26" t="s">
        <v>366</v>
      </c>
      <c r="RGO324" s="26" t="s">
        <v>366</v>
      </c>
      <c r="RGP324" s="26" t="s">
        <v>366</v>
      </c>
      <c r="RGQ324" s="26" t="s">
        <v>366</v>
      </c>
      <c r="RGR324" s="26" t="s">
        <v>366</v>
      </c>
      <c r="RGS324" s="26" t="s">
        <v>366</v>
      </c>
      <c r="RGT324" s="26" t="s">
        <v>366</v>
      </c>
      <c r="RGU324" s="26" t="s">
        <v>366</v>
      </c>
      <c r="RGV324" s="26" t="s">
        <v>366</v>
      </c>
      <c r="RGW324" s="26" t="s">
        <v>366</v>
      </c>
      <c r="RGX324" s="26" t="s">
        <v>366</v>
      </c>
      <c r="RGY324" s="26" t="s">
        <v>366</v>
      </c>
      <c r="RGZ324" s="26" t="s">
        <v>366</v>
      </c>
      <c r="RHA324" s="26" t="s">
        <v>366</v>
      </c>
      <c r="RHB324" s="26" t="s">
        <v>366</v>
      </c>
      <c r="RHC324" s="26" t="s">
        <v>366</v>
      </c>
      <c r="RHD324" s="26" t="s">
        <v>366</v>
      </c>
      <c r="RHE324" s="26" t="s">
        <v>366</v>
      </c>
      <c r="RHF324" s="26" t="s">
        <v>366</v>
      </c>
      <c r="RHG324" s="26" t="s">
        <v>366</v>
      </c>
      <c r="RHH324" s="26" t="s">
        <v>366</v>
      </c>
      <c r="RHI324" s="26" t="s">
        <v>366</v>
      </c>
      <c r="RHJ324" s="26" t="s">
        <v>366</v>
      </c>
      <c r="RHK324" s="26" t="s">
        <v>366</v>
      </c>
      <c r="RHL324" s="26" t="s">
        <v>366</v>
      </c>
      <c r="RHM324" s="26" t="s">
        <v>366</v>
      </c>
      <c r="RHN324" s="26" t="s">
        <v>366</v>
      </c>
      <c r="RHO324" s="26" t="s">
        <v>366</v>
      </c>
      <c r="RHP324" s="26" t="s">
        <v>366</v>
      </c>
      <c r="RHQ324" s="26" t="s">
        <v>366</v>
      </c>
      <c r="RHR324" s="26" t="s">
        <v>366</v>
      </c>
      <c r="RHS324" s="26" t="s">
        <v>366</v>
      </c>
      <c r="RHT324" s="26" t="s">
        <v>366</v>
      </c>
      <c r="RHU324" s="26" t="s">
        <v>366</v>
      </c>
      <c r="RHV324" s="26" t="s">
        <v>366</v>
      </c>
      <c r="RHW324" s="26" t="s">
        <v>366</v>
      </c>
      <c r="RHX324" s="26" t="s">
        <v>366</v>
      </c>
      <c r="RHY324" s="26" t="s">
        <v>366</v>
      </c>
      <c r="RHZ324" s="26" t="s">
        <v>366</v>
      </c>
      <c r="RIA324" s="26" t="s">
        <v>366</v>
      </c>
      <c r="RIB324" s="26" t="s">
        <v>366</v>
      </c>
      <c r="RIC324" s="26" t="s">
        <v>366</v>
      </c>
      <c r="RID324" s="26" t="s">
        <v>366</v>
      </c>
      <c r="RIE324" s="26" t="s">
        <v>366</v>
      </c>
      <c r="RIF324" s="26" t="s">
        <v>366</v>
      </c>
      <c r="RIG324" s="26" t="s">
        <v>366</v>
      </c>
      <c r="RIH324" s="26" t="s">
        <v>366</v>
      </c>
      <c r="RII324" s="26" t="s">
        <v>366</v>
      </c>
      <c r="RIJ324" s="26" t="s">
        <v>366</v>
      </c>
      <c r="RIK324" s="26" t="s">
        <v>366</v>
      </c>
      <c r="RIL324" s="26" t="s">
        <v>366</v>
      </c>
      <c r="RIM324" s="26" t="s">
        <v>366</v>
      </c>
      <c r="RIN324" s="26" t="s">
        <v>366</v>
      </c>
      <c r="RIO324" s="26" t="s">
        <v>366</v>
      </c>
      <c r="RIP324" s="26" t="s">
        <v>366</v>
      </c>
      <c r="RIQ324" s="26" t="s">
        <v>366</v>
      </c>
      <c r="RIR324" s="26" t="s">
        <v>366</v>
      </c>
      <c r="RIS324" s="26" t="s">
        <v>366</v>
      </c>
      <c r="RIT324" s="26" t="s">
        <v>366</v>
      </c>
      <c r="RIU324" s="26" t="s">
        <v>366</v>
      </c>
      <c r="RIV324" s="26" t="s">
        <v>366</v>
      </c>
      <c r="RIW324" s="26" t="s">
        <v>366</v>
      </c>
      <c r="RIX324" s="26" t="s">
        <v>366</v>
      </c>
      <c r="RIY324" s="26" t="s">
        <v>366</v>
      </c>
      <c r="RIZ324" s="26" t="s">
        <v>366</v>
      </c>
      <c r="RJA324" s="26" t="s">
        <v>366</v>
      </c>
      <c r="RJB324" s="26" t="s">
        <v>366</v>
      </c>
      <c r="RJC324" s="26" t="s">
        <v>366</v>
      </c>
      <c r="RJD324" s="26" t="s">
        <v>366</v>
      </c>
      <c r="RJE324" s="26" t="s">
        <v>366</v>
      </c>
      <c r="RJF324" s="26" t="s">
        <v>366</v>
      </c>
      <c r="RJG324" s="26" t="s">
        <v>366</v>
      </c>
      <c r="RJH324" s="26" t="s">
        <v>366</v>
      </c>
      <c r="RJI324" s="26" t="s">
        <v>366</v>
      </c>
      <c r="RJJ324" s="26" t="s">
        <v>366</v>
      </c>
      <c r="RJK324" s="26" t="s">
        <v>366</v>
      </c>
      <c r="RJL324" s="26" t="s">
        <v>366</v>
      </c>
      <c r="RJM324" s="26" t="s">
        <v>366</v>
      </c>
      <c r="RJN324" s="26" t="s">
        <v>366</v>
      </c>
      <c r="RJO324" s="26" t="s">
        <v>366</v>
      </c>
      <c r="RJP324" s="26" t="s">
        <v>366</v>
      </c>
      <c r="RJQ324" s="26" t="s">
        <v>366</v>
      </c>
      <c r="RJR324" s="26" t="s">
        <v>366</v>
      </c>
      <c r="RJS324" s="26" t="s">
        <v>366</v>
      </c>
      <c r="RJT324" s="26" t="s">
        <v>366</v>
      </c>
      <c r="RJU324" s="26" t="s">
        <v>366</v>
      </c>
      <c r="RJV324" s="26" t="s">
        <v>366</v>
      </c>
      <c r="RJW324" s="26" t="s">
        <v>366</v>
      </c>
      <c r="RJX324" s="26" t="s">
        <v>366</v>
      </c>
      <c r="RJY324" s="26" t="s">
        <v>366</v>
      </c>
      <c r="RJZ324" s="26" t="s">
        <v>366</v>
      </c>
      <c r="RKA324" s="26" t="s">
        <v>366</v>
      </c>
      <c r="RKB324" s="26" t="s">
        <v>366</v>
      </c>
      <c r="RKC324" s="26" t="s">
        <v>366</v>
      </c>
      <c r="RKD324" s="26" t="s">
        <v>366</v>
      </c>
      <c r="RKE324" s="26" t="s">
        <v>366</v>
      </c>
      <c r="RKF324" s="26" t="s">
        <v>366</v>
      </c>
      <c r="RKG324" s="26" t="s">
        <v>366</v>
      </c>
      <c r="RKH324" s="26" t="s">
        <v>366</v>
      </c>
      <c r="RKI324" s="26" t="s">
        <v>366</v>
      </c>
      <c r="RKJ324" s="26" t="s">
        <v>366</v>
      </c>
      <c r="RKK324" s="26" t="s">
        <v>366</v>
      </c>
      <c r="RKL324" s="26" t="s">
        <v>366</v>
      </c>
      <c r="RKM324" s="26" t="s">
        <v>366</v>
      </c>
      <c r="RKN324" s="26" t="s">
        <v>366</v>
      </c>
      <c r="RKO324" s="26" t="s">
        <v>366</v>
      </c>
      <c r="RKP324" s="26" t="s">
        <v>366</v>
      </c>
      <c r="RKQ324" s="26" t="s">
        <v>366</v>
      </c>
      <c r="RKR324" s="26" t="s">
        <v>366</v>
      </c>
      <c r="RKS324" s="26" t="s">
        <v>366</v>
      </c>
      <c r="RKT324" s="26" t="s">
        <v>366</v>
      </c>
      <c r="RKU324" s="26" t="s">
        <v>366</v>
      </c>
      <c r="RKV324" s="26" t="s">
        <v>366</v>
      </c>
      <c r="RKW324" s="26" t="s">
        <v>366</v>
      </c>
      <c r="RKX324" s="26" t="s">
        <v>366</v>
      </c>
      <c r="RKY324" s="26" t="s">
        <v>366</v>
      </c>
      <c r="RKZ324" s="26" t="s">
        <v>366</v>
      </c>
      <c r="RLA324" s="26" t="s">
        <v>366</v>
      </c>
      <c r="RLB324" s="26" t="s">
        <v>366</v>
      </c>
      <c r="RLC324" s="26" t="s">
        <v>366</v>
      </c>
      <c r="RLD324" s="26" t="s">
        <v>366</v>
      </c>
      <c r="RLE324" s="26" t="s">
        <v>366</v>
      </c>
      <c r="RLF324" s="26" t="s">
        <v>366</v>
      </c>
      <c r="RLG324" s="26" t="s">
        <v>366</v>
      </c>
      <c r="RLH324" s="26" t="s">
        <v>366</v>
      </c>
      <c r="RLI324" s="26" t="s">
        <v>366</v>
      </c>
      <c r="RLJ324" s="26" t="s">
        <v>366</v>
      </c>
      <c r="RLK324" s="26" t="s">
        <v>366</v>
      </c>
      <c r="RLL324" s="26" t="s">
        <v>366</v>
      </c>
      <c r="RLM324" s="26" t="s">
        <v>366</v>
      </c>
      <c r="RLN324" s="26" t="s">
        <v>366</v>
      </c>
      <c r="RLO324" s="26" t="s">
        <v>366</v>
      </c>
      <c r="RLP324" s="26" t="s">
        <v>366</v>
      </c>
      <c r="RLQ324" s="26" t="s">
        <v>366</v>
      </c>
      <c r="RLR324" s="26" t="s">
        <v>366</v>
      </c>
      <c r="RLS324" s="26" t="s">
        <v>366</v>
      </c>
      <c r="RLT324" s="26" t="s">
        <v>366</v>
      </c>
      <c r="RLU324" s="26" t="s">
        <v>366</v>
      </c>
      <c r="RLV324" s="26" t="s">
        <v>366</v>
      </c>
      <c r="RLW324" s="26" t="s">
        <v>366</v>
      </c>
      <c r="RLX324" s="26" t="s">
        <v>366</v>
      </c>
      <c r="RLY324" s="26" t="s">
        <v>366</v>
      </c>
      <c r="RLZ324" s="26" t="s">
        <v>366</v>
      </c>
      <c r="RMA324" s="26" t="s">
        <v>366</v>
      </c>
      <c r="RMB324" s="26" t="s">
        <v>366</v>
      </c>
      <c r="RMC324" s="26" t="s">
        <v>366</v>
      </c>
      <c r="RMD324" s="26" t="s">
        <v>366</v>
      </c>
      <c r="RME324" s="26" t="s">
        <v>366</v>
      </c>
      <c r="RMF324" s="26" t="s">
        <v>366</v>
      </c>
      <c r="RMG324" s="26" t="s">
        <v>366</v>
      </c>
      <c r="RMH324" s="26" t="s">
        <v>366</v>
      </c>
      <c r="RMI324" s="26" t="s">
        <v>366</v>
      </c>
      <c r="RMJ324" s="26" t="s">
        <v>366</v>
      </c>
      <c r="RMK324" s="26" t="s">
        <v>366</v>
      </c>
      <c r="RML324" s="26" t="s">
        <v>366</v>
      </c>
      <c r="RMM324" s="26" t="s">
        <v>366</v>
      </c>
      <c r="RMN324" s="26" t="s">
        <v>366</v>
      </c>
      <c r="RMO324" s="26" t="s">
        <v>366</v>
      </c>
      <c r="RMP324" s="26" t="s">
        <v>366</v>
      </c>
      <c r="RMQ324" s="26" t="s">
        <v>366</v>
      </c>
      <c r="RMR324" s="26" t="s">
        <v>366</v>
      </c>
      <c r="RMS324" s="26" t="s">
        <v>366</v>
      </c>
      <c r="RMT324" s="26" t="s">
        <v>366</v>
      </c>
      <c r="RMU324" s="26" t="s">
        <v>366</v>
      </c>
      <c r="RMV324" s="26" t="s">
        <v>366</v>
      </c>
      <c r="RMW324" s="26" t="s">
        <v>366</v>
      </c>
      <c r="RMX324" s="26" t="s">
        <v>366</v>
      </c>
      <c r="RMY324" s="26" t="s">
        <v>366</v>
      </c>
      <c r="RMZ324" s="26" t="s">
        <v>366</v>
      </c>
      <c r="RNA324" s="26" t="s">
        <v>366</v>
      </c>
      <c r="RNB324" s="26" t="s">
        <v>366</v>
      </c>
      <c r="RNC324" s="26" t="s">
        <v>366</v>
      </c>
      <c r="RND324" s="26" t="s">
        <v>366</v>
      </c>
      <c r="RNE324" s="26" t="s">
        <v>366</v>
      </c>
      <c r="RNF324" s="26" t="s">
        <v>366</v>
      </c>
      <c r="RNG324" s="26" t="s">
        <v>366</v>
      </c>
      <c r="RNH324" s="26" t="s">
        <v>366</v>
      </c>
      <c r="RNI324" s="26" t="s">
        <v>366</v>
      </c>
      <c r="RNJ324" s="26" t="s">
        <v>366</v>
      </c>
      <c r="RNK324" s="26" t="s">
        <v>366</v>
      </c>
      <c r="RNL324" s="26" t="s">
        <v>366</v>
      </c>
      <c r="RNM324" s="26" t="s">
        <v>366</v>
      </c>
      <c r="RNN324" s="26" t="s">
        <v>366</v>
      </c>
      <c r="RNO324" s="26" t="s">
        <v>366</v>
      </c>
      <c r="RNP324" s="26" t="s">
        <v>366</v>
      </c>
      <c r="RNQ324" s="26" t="s">
        <v>366</v>
      </c>
      <c r="RNR324" s="26" t="s">
        <v>366</v>
      </c>
      <c r="RNS324" s="26" t="s">
        <v>366</v>
      </c>
      <c r="RNT324" s="26" t="s">
        <v>366</v>
      </c>
      <c r="RNU324" s="26" t="s">
        <v>366</v>
      </c>
      <c r="RNV324" s="26" t="s">
        <v>366</v>
      </c>
      <c r="RNW324" s="26" t="s">
        <v>366</v>
      </c>
      <c r="RNX324" s="26" t="s">
        <v>366</v>
      </c>
      <c r="RNY324" s="26" t="s">
        <v>366</v>
      </c>
      <c r="RNZ324" s="26" t="s">
        <v>366</v>
      </c>
      <c r="ROA324" s="26" t="s">
        <v>366</v>
      </c>
      <c r="ROB324" s="26" t="s">
        <v>366</v>
      </c>
      <c r="ROC324" s="26" t="s">
        <v>366</v>
      </c>
      <c r="ROD324" s="26" t="s">
        <v>366</v>
      </c>
      <c r="ROE324" s="26" t="s">
        <v>366</v>
      </c>
      <c r="ROF324" s="26" t="s">
        <v>366</v>
      </c>
      <c r="ROG324" s="26" t="s">
        <v>366</v>
      </c>
      <c r="ROH324" s="26" t="s">
        <v>366</v>
      </c>
      <c r="ROI324" s="26" t="s">
        <v>366</v>
      </c>
      <c r="ROJ324" s="26" t="s">
        <v>366</v>
      </c>
      <c r="ROK324" s="26" t="s">
        <v>366</v>
      </c>
      <c r="ROL324" s="26" t="s">
        <v>366</v>
      </c>
      <c r="ROM324" s="26" t="s">
        <v>366</v>
      </c>
      <c r="RON324" s="26" t="s">
        <v>366</v>
      </c>
      <c r="ROO324" s="26" t="s">
        <v>366</v>
      </c>
      <c r="ROP324" s="26" t="s">
        <v>366</v>
      </c>
      <c r="ROQ324" s="26" t="s">
        <v>366</v>
      </c>
      <c r="ROR324" s="26" t="s">
        <v>366</v>
      </c>
      <c r="ROS324" s="26" t="s">
        <v>366</v>
      </c>
      <c r="ROT324" s="26" t="s">
        <v>366</v>
      </c>
      <c r="ROU324" s="26" t="s">
        <v>366</v>
      </c>
      <c r="ROV324" s="26" t="s">
        <v>366</v>
      </c>
      <c r="ROW324" s="26" t="s">
        <v>366</v>
      </c>
      <c r="ROX324" s="26" t="s">
        <v>366</v>
      </c>
      <c r="ROY324" s="26" t="s">
        <v>366</v>
      </c>
      <c r="ROZ324" s="26" t="s">
        <v>366</v>
      </c>
      <c r="RPA324" s="26" t="s">
        <v>366</v>
      </c>
      <c r="RPB324" s="26" t="s">
        <v>366</v>
      </c>
      <c r="RPC324" s="26" t="s">
        <v>366</v>
      </c>
      <c r="RPD324" s="26" t="s">
        <v>366</v>
      </c>
      <c r="RPE324" s="26" t="s">
        <v>366</v>
      </c>
      <c r="RPF324" s="26" t="s">
        <v>366</v>
      </c>
      <c r="RPG324" s="26" t="s">
        <v>366</v>
      </c>
      <c r="RPH324" s="26" t="s">
        <v>366</v>
      </c>
      <c r="RPI324" s="26" t="s">
        <v>366</v>
      </c>
      <c r="RPJ324" s="26" t="s">
        <v>366</v>
      </c>
      <c r="RPK324" s="26" t="s">
        <v>366</v>
      </c>
      <c r="RPL324" s="26" t="s">
        <v>366</v>
      </c>
      <c r="RPM324" s="26" t="s">
        <v>366</v>
      </c>
      <c r="RPN324" s="26" t="s">
        <v>366</v>
      </c>
      <c r="RPO324" s="26" t="s">
        <v>366</v>
      </c>
      <c r="RPP324" s="26" t="s">
        <v>366</v>
      </c>
      <c r="RPQ324" s="26" t="s">
        <v>366</v>
      </c>
      <c r="RPR324" s="26" t="s">
        <v>366</v>
      </c>
      <c r="RPS324" s="26" t="s">
        <v>366</v>
      </c>
      <c r="RPT324" s="26" t="s">
        <v>366</v>
      </c>
      <c r="RPU324" s="26" t="s">
        <v>366</v>
      </c>
      <c r="RPV324" s="26" t="s">
        <v>366</v>
      </c>
      <c r="RPW324" s="26" t="s">
        <v>366</v>
      </c>
      <c r="RPX324" s="26" t="s">
        <v>366</v>
      </c>
      <c r="RPY324" s="26" t="s">
        <v>366</v>
      </c>
      <c r="RPZ324" s="26" t="s">
        <v>366</v>
      </c>
      <c r="RQA324" s="26" t="s">
        <v>366</v>
      </c>
      <c r="RQB324" s="26" t="s">
        <v>366</v>
      </c>
      <c r="RQC324" s="26" t="s">
        <v>366</v>
      </c>
      <c r="RQD324" s="26" t="s">
        <v>366</v>
      </c>
      <c r="RQE324" s="26" t="s">
        <v>366</v>
      </c>
      <c r="RQF324" s="26" t="s">
        <v>366</v>
      </c>
      <c r="RQG324" s="26" t="s">
        <v>366</v>
      </c>
      <c r="RQH324" s="26" t="s">
        <v>366</v>
      </c>
      <c r="RQI324" s="26" t="s">
        <v>366</v>
      </c>
      <c r="RQJ324" s="26" t="s">
        <v>366</v>
      </c>
      <c r="RQK324" s="26" t="s">
        <v>366</v>
      </c>
      <c r="RQL324" s="26" t="s">
        <v>366</v>
      </c>
      <c r="RQM324" s="26" t="s">
        <v>366</v>
      </c>
      <c r="RQN324" s="26" t="s">
        <v>366</v>
      </c>
      <c r="RQO324" s="26" t="s">
        <v>366</v>
      </c>
      <c r="RQP324" s="26" t="s">
        <v>366</v>
      </c>
      <c r="RQQ324" s="26" t="s">
        <v>366</v>
      </c>
      <c r="RQR324" s="26" t="s">
        <v>366</v>
      </c>
      <c r="RQS324" s="26" t="s">
        <v>366</v>
      </c>
      <c r="RQT324" s="26" t="s">
        <v>366</v>
      </c>
      <c r="RQU324" s="26" t="s">
        <v>366</v>
      </c>
      <c r="RQV324" s="26" t="s">
        <v>366</v>
      </c>
      <c r="RQW324" s="26" t="s">
        <v>366</v>
      </c>
      <c r="RQX324" s="26" t="s">
        <v>366</v>
      </c>
      <c r="RQY324" s="26" t="s">
        <v>366</v>
      </c>
      <c r="RQZ324" s="26" t="s">
        <v>366</v>
      </c>
      <c r="RRA324" s="26" t="s">
        <v>366</v>
      </c>
      <c r="RRB324" s="26" t="s">
        <v>366</v>
      </c>
      <c r="RRC324" s="26" t="s">
        <v>366</v>
      </c>
      <c r="RRD324" s="26" t="s">
        <v>366</v>
      </c>
      <c r="RRE324" s="26" t="s">
        <v>366</v>
      </c>
      <c r="RRF324" s="26" t="s">
        <v>366</v>
      </c>
      <c r="RRG324" s="26" t="s">
        <v>366</v>
      </c>
      <c r="RRH324" s="26" t="s">
        <v>366</v>
      </c>
      <c r="RRI324" s="26" t="s">
        <v>366</v>
      </c>
      <c r="RRJ324" s="26" t="s">
        <v>366</v>
      </c>
      <c r="RRK324" s="26" t="s">
        <v>366</v>
      </c>
      <c r="RRL324" s="26" t="s">
        <v>366</v>
      </c>
      <c r="RRM324" s="26" t="s">
        <v>366</v>
      </c>
      <c r="RRN324" s="26" t="s">
        <v>366</v>
      </c>
      <c r="RRO324" s="26" t="s">
        <v>366</v>
      </c>
      <c r="RRP324" s="26" t="s">
        <v>366</v>
      </c>
      <c r="RRQ324" s="26" t="s">
        <v>366</v>
      </c>
      <c r="RRR324" s="26" t="s">
        <v>366</v>
      </c>
      <c r="RRS324" s="26" t="s">
        <v>366</v>
      </c>
      <c r="RRT324" s="26" t="s">
        <v>366</v>
      </c>
      <c r="RRU324" s="26" t="s">
        <v>366</v>
      </c>
      <c r="RRV324" s="26" t="s">
        <v>366</v>
      </c>
      <c r="RRW324" s="26" t="s">
        <v>366</v>
      </c>
      <c r="RRX324" s="26" t="s">
        <v>366</v>
      </c>
      <c r="RRY324" s="26" t="s">
        <v>366</v>
      </c>
      <c r="RRZ324" s="26" t="s">
        <v>366</v>
      </c>
      <c r="RSA324" s="26" t="s">
        <v>366</v>
      </c>
      <c r="RSB324" s="26" t="s">
        <v>366</v>
      </c>
      <c r="RSC324" s="26" t="s">
        <v>366</v>
      </c>
      <c r="RSD324" s="26" t="s">
        <v>366</v>
      </c>
      <c r="RSE324" s="26" t="s">
        <v>366</v>
      </c>
      <c r="RSF324" s="26" t="s">
        <v>366</v>
      </c>
      <c r="RSG324" s="26" t="s">
        <v>366</v>
      </c>
      <c r="RSH324" s="26" t="s">
        <v>366</v>
      </c>
      <c r="RSI324" s="26" t="s">
        <v>366</v>
      </c>
      <c r="RSJ324" s="26" t="s">
        <v>366</v>
      </c>
      <c r="RSK324" s="26" t="s">
        <v>366</v>
      </c>
      <c r="RSL324" s="26" t="s">
        <v>366</v>
      </c>
      <c r="RSM324" s="26" t="s">
        <v>366</v>
      </c>
      <c r="RSN324" s="26" t="s">
        <v>366</v>
      </c>
      <c r="RSO324" s="26" t="s">
        <v>366</v>
      </c>
      <c r="RSP324" s="26" t="s">
        <v>366</v>
      </c>
      <c r="RSQ324" s="26" t="s">
        <v>366</v>
      </c>
      <c r="RSR324" s="26" t="s">
        <v>366</v>
      </c>
      <c r="RSS324" s="26" t="s">
        <v>366</v>
      </c>
      <c r="RST324" s="26" t="s">
        <v>366</v>
      </c>
      <c r="RSU324" s="26" t="s">
        <v>366</v>
      </c>
      <c r="RSV324" s="26" t="s">
        <v>366</v>
      </c>
      <c r="RSW324" s="26" t="s">
        <v>366</v>
      </c>
      <c r="RSX324" s="26" t="s">
        <v>366</v>
      </c>
      <c r="RSY324" s="26" t="s">
        <v>366</v>
      </c>
      <c r="RSZ324" s="26" t="s">
        <v>366</v>
      </c>
      <c r="RTA324" s="26" t="s">
        <v>366</v>
      </c>
      <c r="RTB324" s="26" t="s">
        <v>366</v>
      </c>
      <c r="RTC324" s="26" t="s">
        <v>366</v>
      </c>
      <c r="RTD324" s="26" t="s">
        <v>366</v>
      </c>
      <c r="RTE324" s="26" t="s">
        <v>366</v>
      </c>
      <c r="RTF324" s="26" t="s">
        <v>366</v>
      </c>
      <c r="RTG324" s="26" t="s">
        <v>366</v>
      </c>
      <c r="RTH324" s="26" t="s">
        <v>366</v>
      </c>
      <c r="RTI324" s="26" t="s">
        <v>366</v>
      </c>
      <c r="RTJ324" s="26" t="s">
        <v>366</v>
      </c>
      <c r="RTK324" s="26" t="s">
        <v>366</v>
      </c>
      <c r="RTL324" s="26" t="s">
        <v>366</v>
      </c>
      <c r="RTM324" s="26" t="s">
        <v>366</v>
      </c>
      <c r="RTN324" s="26" t="s">
        <v>366</v>
      </c>
      <c r="RTO324" s="26" t="s">
        <v>366</v>
      </c>
      <c r="RTP324" s="26" t="s">
        <v>366</v>
      </c>
      <c r="RTQ324" s="26" t="s">
        <v>366</v>
      </c>
      <c r="RTR324" s="26" t="s">
        <v>366</v>
      </c>
      <c r="RTS324" s="26" t="s">
        <v>366</v>
      </c>
      <c r="RTT324" s="26" t="s">
        <v>366</v>
      </c>
      <c r="RTU324" s="26" t="s">
        <v>366</v>
      </c>
      <c r="RTV324" s="26" t="s">
        <v>366</v>
      </c>
      <c r="RTW324" s="26" t="s">
        <v>366</v>
      </c>
      <c r="RTX324" s="26" t="s">
        <v>366</v>
      </c>
      <c r="RTY324" s="26" t="s">
        <v>366</v>
      </c>
      <c r="RTZ324" s="26" t="s">
        <v>366</v>
      </c>
      <c r="RUA324" s="26" t="s">
        <v>366</v>
      </c>
      <c r="RUB324" s="26" t="s">
        <v>366</v>
      </c>
      <c r="RUC324" s="26" t="s">
        <v>366</v>
      </c>
      <c r="RUD324" s="26" t="s">
        <v>366</v>
      </c>
      <c r="RUE324" s="26" t="s">
        <v>366</v>
      </c>
      <c r="RUF324" s="26" t="s">
        <v>366</v>
      </c>
      <c r="RUG324" s="26" t="s">
        <v>366</v>
      </c>
      <c r="RUH324" s="26" t="s">
        <v>366</v>
      </c>
      <c r="RUI324" s="26" t="s">
        <v>366</v>
      </c>
      <c r="RUJ324" s="26" t="s">
        <v>366</v>
      </c>
      <c r="RUK324" s="26" t="s">
        <v>366</v>
      </c>
      <c r="RUL324" s="26" t="s">
        <v>366</v>
      </c>
      <c r="RUM324" s="26" t="s">
        <v>366</v>
      </c>
      <c r="RUN324" s="26" t="s">
        <v>366</v>
      </c>
      <c r="RUO324" s="26" t="s">
        <v>366</v>
      </c>
      <c r="RUP324" s="26" t="s">
        <v>366</v>
      </c>
      <c r="RUQ324" s="26" t="s">
        <v>366</v>
      </c>
      <c r="RUR324" s="26" t="s">
        <v>366</v>
      </c>
      <c r="RUS324" s="26" t="s">
        <v>366</v>
      </c>
      <c r="RUT324" s="26" t="s">
        <v>366</v>
      </c>
      <c r="RUU324" s="26" t="s">
        <v>366</v>
      </c>
      <c r="RUV324" s="26" t="s">
        <v>366</v>
      </c>
      <c r="RUW324" s="26" t="s">
        <v>366</v>
      </c>
      <c r="RUX324" s="26" t="s">
        <v>366</v>
      </c>
      <c r="RUY324" s="26" t="s">
        <v>366</v>
      </c>
      <c r="RUZ324" s="26" t="s">
        <v>366</v>
      </c>
      <c r="RVA324" s="26" t="s">
        <v>366</v>
      </c>
      <c r="RVB324" s="26" t="s">
        <v>366</v>
      </c>
      <c r="RVC324" s="26" t="s">
        <v>366</v>
      </c>
      <c r="RVD324" s="26" t="s">
        <v>366</v>
      </c>
      <c r="RVE324" s="26" t="s">
        <v>366</v>
      </c>
      <c r="RVF324" s="26" t="s">
        <v>366</v>
      </c>
      <c r="RVG324" s="26" t="s">
        <v>366</v>
      </c>
      <c r="RVH324" s="26" t="s">
        <v>366</v>
      </c>
      <c r="RVI324" s="26" t="s">
        <v>366</v>
      </c>
      <c r="RVJ324" s="26" t="s">
        <v>366</v>
      </c>
      <c r="RVK324" s="26" t="s">
        <v>366</v>
      </c>
      <c r="RVL324" s="26" t="s">
        <v>366</v>
      </c>
      <c r="RVM324" s="26" t="s">
        <v>366</v>
      </c>
      <c r="RVN324" s="26" t="s">
        <v>366</v>
      </c>
      <c r="RVO324" s="26" t="s">
        <v>366</v>
      </c>
      <c r="RVP324" s="26" t="s">
        <v>366</v>
      </c>
      <c r="RVQ324" s="26" t="s">
        <v>366</v>
      </c>
      <c r="RVR324" s="26" t="s">
        <v>366</v>
      </c>
      <c r="RVS324" s="26" t="s">
        <v>366</v>
      </c>
      <c r="RVT324" s="26" t="s">
        <v>366</v>
      </c>
      <c r="RVU324" s="26" t="s">
        <v>366</v>
      </c>
      <c r="RVV324" s="26" t="s">
        <v>366</v>
      </c>
      <c r="RVW324" s="26" t="s">
        <v>366</v>
      </c>
      <c r="RVX324" s="26" t="s">
        <v>366</v>
      </c>
      <c r="RVY324" s="26" t="s">
        <v>366</v>
      </c>
      <c r="RVZ324" s="26" t="s">
        <v>366</v>
      </c>
      <c r="RWA324" s="26" t="s">
        <v>366</v>
      </c>
      <c r="RWB324" s="26" t="s">
        <v>366</v>
      </c>
      <c r="RWC324" s="26" t="s">
        <v>366</v>
      </c>
      <c r="RWD324" s="26" t="s">
        <v>366</v>
      </c>
      <c r="RWE324" s="26" t="s">
        <v>366</v>
      </c>
      <c r="RWF324" s="26" t="s">
        <v>366</v>
      </c>
      <c r="RWG324" s="26" t="s">
        <v>366</v>
      </c>
      <c r="RWH324" s="26" t="s">
        <v>366</v>
      </c>
      <c r="RWI324" s="26" t="s">
        <v>366</v>
      </c>
      <c r="RWJ324" s="26" t="s">
        <v>366</v>
      </c>
      <c r="RWK324" s="26" t="s">
        <v>366</v>
      </c>
      <c r="RWL324" s="26" t="s">
        <v>366</v>
      </c>
      <c r="RWM324" s="26" t="s">
        <v>366</v>
      </c>
      <c r="RWN324" s="26" t="s">
        <v>366</v>
      </c>
      <c r="RWO324" s="26" t="s">
        <v>366</v>
      </c>
      <c r="RWP324" s="26" t="s">
        <v>366</v>
      </c>
      <c r="RWQ324" s="26" t="s">
        <v>366</v>
      </c>
      <c r="RWR324" s="26" t="s">
        <v>366</v>
      </c>
      <c r="RWS324" s="26" t="s">
        <v>366</v>
      </c>
      <c r="RWT324" s="26" t="s">
        <v>366</v>
      </c>
      <c r="RWU324" s="26" t="s">
        <v>366</v>
      </c>
      <c r="RWV324" s="26" t="s">
        <v>366</v>
      </c>
      <c r="RWW324" s="26" t="s">
        <v>366</v>
      </c>
      <c r="RWX324" s="26" t="s">
        <v>366</v>
      </c>
      <c r="RWY324" s="26" t="s">
        <v>366</v>
      </c>
      <c r="RWZ324" s="26" t="s">
        <v>366</v>
      </c>
      <c r="RXA324" s="26" t="s">
        <v>366</v>
      </c>
      <c r="RXB324" s="26" t="s">
        <v>366</v>
      </c>
      <c r="RXC324" s="26" t="s">
        <v>366</v>
      </c>
      <c r="RXD324" s="26" t="s">
        <v>366</v>
      </c>
      <c r="RXE324" s="26" t="s">
        <v>366</v>
      </c>
      <c r="RXF324" s="26" t="s">
        <v>366</v>
      </c>
      <c r="RXG324" s="26" t="s">
        <v>366</v>
      </c>
      <c r="RXH324" s="26" t="s">
        <v>366</v>
      </c>
      <c r="RXI324" s="26" t="s">
        <v>366</v>
      </c>
      <c r="RXJ324" s="26" t="s">
        <v>366</v>
      </c>
      <c r="RXK324" s="26" t="s">
        <v>366</v>
      </c>
      <c r="RXL324" s="26" t="s">
        <v>366</v>
      </c>
      <c r="RXM324" s="26" t="s">
        <v>366</v>
      </c>
      <c r="RXN324" s="26" t="s">
        <v>366</v>
      </c>
      <c r="RXO324" s="26" t="s">
        <v>366</v>
      </c>
      <c r="RXP324" s="26" t="s">
        <v>366</v>
      </c>
      <c r="RXQ324" s="26" t="s">
        <v>366</v>
      </c>
      <c r="RXR324" s="26" t="s">
        <v>366</v>
      </c>
      <c r="RXS324" s="26" t="s">
        <v>366</v>
      </c>
      <c r="RXT324" s="26" t="s">
        <v>366</v>
      </c>
      <c r="RXU324" s="26" t="s">
        <v>366</v>
      </c>
      <c r="RXV324" s="26" t="s">
        <v>366</v>
      </c>
      <c r="RXW324" s="26" t="s">
        <v>366</v>
      </c>
      <c r="RXX324" s="26" t="s">
        <v>366</v>
      </c>
      <c r="RXY324" s="26" t="s">
        <v>366</v>
      </c>
      <c r="RXZ324" s="26" t="s">
        <v>366</v>
      </c>
      <c r="RYA324" s="26" t="s">
        <v>366</v>
      </c>
      <c r="RYB324" s="26" t="s">
        <v>366</v>
      </c>
      <c r="RYC324" s="26" t="s">
        <v>366</v>
      </c>
      <c r="RYD324" s="26" t="s">
        <v>366</v>
      </c>
      <c r="RYE324" s="26" t="s">
        <v>366</v>
      </c>
      <c r="RYF324" s="26" t="s">
        <v>366</v>
      </c>
      <c r="RYG324" s="26" t="s">
        <v>366</v>
      </c>
      <c r="RYH324" s="26" t="s">
        <v>366</v>
      </c>
      <c r="RYI324" s="26" t="s">
        <v>366</v>
      </c>
      <c r="RYJ324" s="26" t="s">
        <v>366</v>
      </c>
      <c r="RYK324" s="26" t="s">
        <v>366</v>
      </c>
      <c r="RYL324" s="26" t="s">
        <v>366</v>
      </c>
      <c r="RYM324" s="26" t="s">
        <v>366</v>
      </c>
      <c r="RYN324" s="26" t="s">
        <v>366</v>
      </c>
      <c r="RYO324" s="26" t="s">
        <v>366</v>
      </c>
      <c r="RYP324" s="26" t="s">
        <v>366</v>
      </c>
      <c r="RYQ324" s="26" t="s">
        <v>366</v>
      </c>
      <c r="RYR324" s="26" t="s">
        <v>366</v>
      </c>
      <c r="RYS324" s="26" t="s">
        <v>366</v>
      </c>
      <c r="RYT324" s="26" t="s">
        <v>366</v>
      </c>
      <c r="RYU324" s="26" t="s">
        <v>366</v>
      </c>
      <c r="RYV324" s="26" t="s">
        <v>366</v>
      </c>
      <c r="RYW324" s="26" t="s">
        <v>366</v>
      </c>
      <c r="RYX324" s="26" t="s">
        <v>366</v>
      </c>
      <c r="RYY324" s="26" t="s">
        <v>366</v>
      </c>
      <c r="RYZ324" s="26" t="s">
        <v>366</v>
      </c>
      <c r="RZA324" s="26" t="s">
        <v>366</v>
      </c>
      <c r="RZB324" s="26" t="s">
        <v>366</v>
      </c>
      <c r="RZC324" s="26" t="s">
        <v>366</v>
      </c>
      <c r="RZD324" s="26" t="s">
        <v>366</v>
      </c>
      <c r="RZE324" s="26" t="s">
        <v>366</v>
      </c>
      <c r="RZF324" s="26" t="s">
        <v>366</v>
      </c>
      <c r="RZG324" s="26" t="s">
        <v>366</v>
      </c>
      <c r="RZH324" s="26" t="s">
        <v>366</v>
      </c>
      <c r="RZI324" s="26" t="s">
        <v>366</v>
      </c>
      <c r="RZJ324" s="26" t="s">
        <v>366</v>
      </c>
      <c r="RZK324" s="26" t="s">
        <v>366</v>
      </c>
      <c r="RZL324" s="26" t="s">
        <v>366</v>
      </c>
      <c r="RZM324" s="26" t="s">
        <v>366</v>
      </c>
      <c r="RZN324" s="26" t="s">
        <v>366</v>
      </c>
      <c r="RZO324" s="26" t="s">
        <v>366</v>
      </c>
      <c r="RZP324" s="26" t="s">
        <v>366</v>
      </c>
      <c r="RZQ324" s="26" t="s">
        <v>366</v>
      </c>
      <c r="RZR324" s="26" t="s">
        <v>366</v>
      </c>
      <c r="RZS324" s="26" t="s">
        <v>366</v>
      </c>
      <c r="RZT324" s="26" t="s">
        <v>366</v>
      </c>
      <c r="RZU324" s="26" t="s">
        <v>366</v>
      </c>
      <c r="RZV324" s="26" t="s">
        <v>366</v>
      </c>
      <c r="RZW324" s="26" t="s">
        <v>366</v>
      </c>
      <c r="RZX324" s="26" t="s">
        <v>366</v>
      </c>
      <c r="RZY324" s="26" t="s">
        <v>366</v>
      </c>
      <c r="RZZ324" s="26" t="s">
        <v>366</v>
      </c>
      <c r="SAA324" s="26" t="s">
        <v>366</v>
      </c>
      <c r="SAB324" s="26" t="s">
        <v>366</v>
      </c>
      <c r="SAC324" s="26" t="s">
        <v>366</v>
      </c>
      <c r="SAD324" s="26" t="s">
        <v>366</v>
      </c>
      <c r="SAE324" s="26" t="s">
        <v>366</v>
      </c>
      <c r="SAF324" s="26" t="s">
        <v>366</v>
      </c>
      <c r="SAG324" s="26" t="s">
        <v>366</v>
      </c>
      <c r="SAH324" s="26" t="s">
        <v>366</v>
      </c>
      <c r="SAI324" s="26" t="s">
        <v>366</v>
      </c>
      <c r="SAJ324" s="26" t="s">
        <v>366</v>
      </c>
      <c r="SAK324" s="26" t="s">
        <v>366</v>
      </c>
      <c r="SAL324" s="26" t="s">
        <v>366</v>
      </c>
      <c r="SAM324" s="26" t="s">
        <v>366</v>
      </c>
      <c r="SAN324" s="26" t="s">
        <v>366</v>
      </c>
      <c r="SAO324" s="26" t="s">
        <v>366</v>
      </c>
      <c r="SAP324" s="26" t="s">
        <v>366</v>
      </c>
      <c r="SAQ324" s="26" t="s">
        <v>366</v>
      </c>
      <c r="SAR324" s="26" t="s">
        <v>366</v>
      </c>
      <c r="SAS324" s="26" t="s">
        <v>366</v>
      </c>
      <c r="SAT324" s="26" t="s">
        <v>366</v>
      </c>
      <c r="SAU324" s="26" t="s">
        <v>366</v>
      </c>
      <c r="SAV324" s="26" t="s">
        <v>366</v>
      </c>
      <c r="SAW324" s="26" t="s">
        <v>366</v>
      </c>
      <c r="SAX324" s="26" t="s">
        <v>366</v>
      </c>
      <c r="SAY324" s="26" t="s">
        <v>366</v>
      </c>
      <c r="SAZ324" s="26" t="s">
        <v>366</v>
      </c>
      <c r="SBA324" s="26" t="s">
        <v>366</v>
      </c>
      <c r="SBB324" s="26" t="s">
        <v>366</v>
      </c>
      <c r="SBC324" s="26" t="s">
        <v>366</v>
      </c>
      <c r="SBD324" s="26" t="s">
        <v>366</v>
      </c>
      <c r="SBE324" s="26" t="s">
        <v>366</v>
      </c>
      <c r="SBF324" s="26" t="s">
        <v>366</v>
      </c>
      <c r="SBG324" s="26" t="s">
        <v>366</v>
      </c>
      <c r="SBH324" s="26" t="s">
        <v>366</v>
      </c>
      <c r="SBI324" s="26" t="s">
        <v>366</v>
      </c>
      <c r="SBJ324" s="26" t="s">
        <v>366</v>
      </c>
      <c r="SBK324" s="26" t="s">
        <v>366</v>
      </c>
      <c r="SBL324" s="26" t="s">
        <v>366</v>
      </c>
      <c r="SBM324" s="26" t="s">
        <v>366</v>
      </c>
      <c r="SBN324" s="26" t="s">
        <v>366</v>
      </c>
      <c r="SBO324" s="26" t="s">
        <v>366</v>
      </c>
      <c r="SBP324" s="26" t="s">
        <v>366</v>
      </c>
      <c r="SBQ324" s="26" t="s">
        <v>366</v>
      </c>
      <c r="SBR324" s="26" t="s">
        <v>366</v>
      </c>
      <c r="SBS324" s="26" t="s">
        <v>366</v>
      </c>
      <c r="SBT324" s="26" t="s">
        <v>366</v>
      </c>
      <c r="SBU324" s="26" t="s">
        <v>366</v>
      </c>
      <c r="SBV324" s="26" t="s">
        <v>366</v>
      </c>
      <c r="SBW324" s="26" t="s">
        <v>366</v>
      </c>
      <c r="SBX324" s="26" t="s">
        <v>366</v>
      </c>
      <c r="SBY324" s="26" t="s">
        <v>366</v>
      </c>
      <c r="SBZ324" s="26" t="s">
        <v>366</v>
      </c>
      <c r="SCA324" s="26" t="s">
        <v>366</v>
      </c>
      <c r="SCB324" s="26" t="s">
        <v>366</v>
      </c>
      <c r="SCC324" s="26" t="s">
        <v>366</v>
      </c>
      <c r="SCD324" s="26" t="s">
        <v>366</v>
      </c>
      <c r="SCE324" s="26" t="s">
        <v>366</v>
      </c>
      <c r="SCF324" s="26" t="s">
        <v>366</v>
      </c>
      <c r="SCG324" s="26" t="s">
        <v>366</v>
      </c>
      <c r="SCH324" s="26" t="s">
        <v>366</v>
      </c>
      <c r="SCI324" s="26" t="s">
        <v>366</v>
      </c>
      <c r="SCJ324" s="26" t="s">
        <v>366</v>
      </c>
      <c r="SCK324" s="26" t="s">
        <v>366</v>
      </c>
      <c r="SCL324" s="26" t="s">
        <v>366</v>
      </c>
      <c r="SCM324" s="26" t="s">
        <v>366</v>
      </c>
      <c r="SCN324" s="26" t="s">
        <v>366</v>
      </c>
      <c r="SCO324" s="26" t="s">
        <v>366</v>
      </c>
      <c r="SCP324" s="26" t="s">
        <v>366</v>
      </c>
      <c r="SCQ324" s="26" t="s">
        <v>366</v>
      </c>
      <c r="SCR324" s="26" t="s">
        <v>366</v>
      </c>
      <c r="SCS324" s="26" t="s">
        <v>366</v>
      </c>
      <c r="SCT324" s="26" t="s">
        <v>366</v>
      </c>
      <c r="SCU324" s="26" t="s">
        <v>366</v>
      </c>
      <c r="SCV324" s="26" t="s">
        <v>366</v>
      </c>
      <c r="SCW324" s="26" t="s">
        <v>366</v>
      </c>
      <c r="SCX324" s="26" t="s">
        <v>366</v>
      </c>
      <c r="SCY324" s="26" t="s">
        <v>366</v>
      </c>
      <c r="SCZ324" s="26" t="s">
        <v>366</v>
      </c>
      <c r="SDA324" s="26" t="s">
        <v>366</v>
      </c>
      <c r="SDB324" s="26" t="s">
        <v>366</v>
      </c>
      <c r="SDC324" s="26" t="s">
        <v>366</v>
      </c>
      <c r="SDD324" s="26" t="s">
        <v>366</v>
      </c>
      <c r="SDE324" s="26" t="s">
        <v>366</v>
      </c>
      <c r="SDF324" s="26" t="s">
        <v>366</v>
      </c>
      <c r="SDG324" s="26" t="s">
        <v>366</v>
      </c>
      <c r="SDH324" s="26" t="s">
        <v>366</v>
      </c>
      <c r="SDI324" s="26" t="s">
        <v>366</v>
      </c>
      <c r="SDJ324" s="26" t="s">
        <v>366</v>
      </c>
      <c r="SDK324" s="26" t="s">
        <v>366</v>
      </c>
      <c r="SDL324" s="26" t="s">
        <v>366</v>
      </c>
      <c r="SDM324" s="26" t="s">
        <v>366</v>
      </c>
      <c r="SDN324" s="26" t="s">
        <v>366</v>
      </c>
      <c r="SDO324" s="26" t="s">
        <v>366</v>
      </c>
      <c r="SDP324" s="26" t="s">
        <v>366</v>
      </c>
      <c r="SDQ324" s="26" t="s">
        <v>366</v>
      </c>
      <c r="SDR324" s="26" t="s">
        <v>366</v>
      </c>
      <c r="SDS324" s="26" t="s">
        <v>366</v>
      </c>
      <c r="SDT324" s="26" t="s">
        <v>366</v>
      </c>
      <c r="SDU324" s="26" t="s">
        <v>366</v>
      </c>
      <c r="SDV324" s="26" t="s">
        <v>366</v>
      </c>
      <c r="SDW324" s="26" t="s">
        <v>366</v>
      </c>
      <c r="SDX324" s="26" t="s">
        <v>366</v>
      </c>
      <c r="SDY324" s="26" t="s">
        <v>366</v>
      </c>
      <c r="SDZ324" s="26" t="s">
        <v>366</v>
      </c>
      <c r="SEA324" s="26" t="s">
        <v>366</v>
      </c>
      <c r="SEB324" s="26" t="s">
        <v>366</v>
      </c>
      <c r="SEC324" s="26" t="s">
        <v>366</v>
      </c>
      <c r="SED324" s="26" t="s">
        <v>366</v>
      </c>
      <c r="SEE324" s="26" t="s">
        <v>366</v>
      </c>
      <c r="SEF324" s="26" t="s">
        <v>366</v>
      </c>
      <c r="SEG324" s="26" t="s">
        <v>366</v>
      </c>
      <c r="SEH324" s="26" t="s">
        <v>366</v>
      </c>
      <c r="SEI324" s="26" t="s">
        <v>366</v>
      </c>
      <c r="SEJ324" s="26" t="s">
        <v>366</v>
      </c>
      <c r="SEK324" s="26" t="s">
        <v>366</v>
      </c>
      <c r="SEL324" s="26" t="s">
        <v>366</v>
      </c>
      <c r="SEM324" s="26" t="s">
        <v>366</v>
      </c>
      <c r="SEN324" s="26" t="s">
        <v>366</v>
      </c>
      <c r="SEO324" s="26" t="s">
        <v>366</v>
      </c>
      <c r="SEP324" s="26" t="s">
        <v>366</v>
      </c>
      <c r="SEQ324" s="26" t="s">
        <v>366</v>
      </c>
      <c r="SER324" s="26" t="s">
        <v>366</v>
      </c>
      <c r="SES324" s="26" t="s">
        <v>366</v>
      </c>
      <c r="SET324" s="26" t="s">
        <v>366</v>
      </c>
      <c r="SEU324" s="26" t="s">
        <v>366</v>
      </c>
      <c r="SEV324" s="26" t="s">
        <v>366</v>
      </c>
      <c r="SEW324" s="26" t="s">
        <v>366</v>
      </c>
      <c r="SEX324" s="26" t="s">
        <v>366</v>
      </c>
      <c r="SEY324" s="26" t="s">
        <v>366</v>
      </c>
      <c r="SEZ324" s="26" t="s">
        <v>366</v>
      </c>
      <c r="SFA324" s="26" t="s">
        <v>366</v>
      </c>
      <c r="SFB324" s="26" t="s">
        <v>366</v>
      </c>
      <c r="SFC324" s="26" t="s">
        <v>366</v>
      </c>
      <c r="SFD324" s="26" t="s">
        <v>366</v>
      </c>
      <c r="SFE324" s="26" t="s">
        <v>366</v>
      </c>
      <c r="SFF324" s="26" t="s">
        <v>366</v>
      </c>
      <c r="SFG324" s="26" t="s">
        <v>366</v>
      </c>
      <c r="SFH324" s="26" t="s">
        <v>366</v>
      </c>
      <c r="SFI324" s="26" t="s">
        <v>366</v>
      </c>
      <c r="SFJ324" s="26" t="s">
        <v>366</v>
      </c>
      <c r="SFK324" s="26" t="s">
        <v>366</v>
      </c>
      <c r="SFL324" s="26" t="s">
        <v>366</v>
      </c>
      <c r="SFM324" s="26" t="s">
        <v>366</v>
      </c>
      <c r="SFN324" s="26" t="s">
        <v>366</v>
      </c>
      <c r="SFO324" s="26" t="s">
        <v>366</v>
      </c>
      <c r="SFP324" s="26" t="s">
        <v>366</v>
      </c>
      <c r="SFQ324" s="26" t="s">
        <v>366</v>
      </c>
      <c r="SFR324" s="26" t="s">
        <v>366</v>
      </c>
      <c r="SFS324" s="26" t="s">
        <v>366</v>
      </c>
      <c r="SFT324" s="26" t="s">
        <v>366</v>
      </c>
      <c r="SFU324" s="26" t="s">
        <v>366</v>
      </c>
      <c r="SFV324" s="26" t="s">
        <v>366</v>
      </c>
      <c r="SFW324" s="26" t="s">
        <v>366</v>
      </c>
      <c r="SFX324" s="26" t="s">
        <v>366</v>
      </c>
      <c r="SFY324" s="26" t="s">
        <v>366</v>
      </c>
      <c r="SFZ324" s="26" t="s">
        <v>366</v>
      </c>
      <c r="SGA324" s="26" t="s">
        <v>366</v>
      </c>
      <c r="SGB324" s="26" t="s">
        <v>366</v>
      </c>
      <c r="SGC324" s="26" t="s">
        <v>366</v>
      </c>
      <c r="SGD324" s="26" t="s">
        <v>366</v>
      </c>
      <c r="SGE324" s="26" t="s">
        <v>366</v>
      </c>
      <c r="SGF324" s="26" t="s">
        <v>366</v>
      </c>
      <c r="SGG324" s="26" t="s">
        <v>366</v>
      </c>
      <c r="SGH324" s="26" t="s">
        <v>366</v>
      </c>
      <c r="SGI324" s="26" t="s">
        <v>366</v>
      </c>
      <c r="SGJ324" s="26" t="s">
        <v>366</v>
      </c>
      <c r="SGK324" s="26" t="s">
        <v>366</v>
      </c>
      <c r="SGL324" s="26" t="s">
        <v>366</v>
      </c>
      <c r="SGM324" s="26" t="s">
        <v>366</v>
      </c>
      <c r="SGN324" s="26" t="s">
        <v>366</v>
      </c>
      <c r="SGO324" s="26" t="s">
        <v>366</v>
      </c>
      <c r="SGP324" s="26" t="s">
        <v>366</v>
      </c>
      <c r="SGQ324" s="26" t="s">
        <v>366</v>
      </c>
      <c r="SGR324" s="26" t="s">
        <v>366</v>
      </c>
      <c r="SGS324" s="26" t="s">
        <v>366</v>
      </c>
      <c r="SGT324" s="26" t="s">
        <v>366</v>
      </c>
      <c r="SGU324" s="26" t="s">
        <v>366</v>
      </c>
      <c r="SGV324" s="26" t="s">
        <v>366</v>
      </c>
      <c r="SGW324" s="26" t="s">
        <v>366</v>
      </c>
      <c r="SGX324" s="26" t="s">
        <v>366</v>
      </c>
      <c r="SGY324" s="26" t="s">
        <v>366</v>
      </c>
      <c r="SGZ324" s="26" t="s">
        <v>366</v>
      </c>
      <c r="SHA324" s="26" t="s">
        <v>366</v>
      </c>
      <c r="SHB324" s="26" t="s">
        <v>366</v>
      </c>
      <c r="SHC324" s="26" t="s">
        <v>366</v>
      </c>
      <c r="SHD324" s="26" t="s">
        <v>366</v>
      </c>
      <c r="SHE324" s="26" t="s">
        <v>366</v>
      </c>
      <c r="SHF324" s="26" t="s">
        <v>366</v>
      </c>
      <c r="SHG324" s="26" t="s">
        <v>366</v>
      </c>
      <c r="SHH324" s="26" t="s">
        <v>366</v>
      </c>
      <c r="SHI324" s="26" t="s">
        <v>366</v>
      </c>
      <c r="SHJ324" s="26" t="s">
        <v>366</v>
      </c>
      <c r="SHK324" s="26" t="s">
        <v>366</v>
      </c>
      <c r="SHL324" s="26" t="s">
        <v>366</v>
      </c>
      <c r="SHM324" s="26" t="s">
        <v>366</v>
      </c>
      <c r="SHN324" s="26" t="s">
        <v>366</v>
      </c>
      <c r="SHO324" s="26" t="s">
        <v>366</v>
      </c>
      <c r="SHP324" s="26" t="s">
        <v>366</v>
      </c>
      <c r="SHQ324" s="26" t="s">
        <v>366</v>
      </c>
      <c r="SHR324" s="26" t="s">
        <v>366</v>
      </c>
      <c r="SHS324" s="26" t="s">
        <v>366</v>
      </c>
      <c r="SHT324" s="26" t="s">
        <v>366</v>
      </c>
      <c r="SHU324" s="26" t="s">
        <v>366</v>
      </c>
      <c r="SHV324" s="26" t="s">
        <v>366</v>
      </c>
      <c r="SHW324" s="26" t="s">
        <v>366</v>
      </c>
      <c r="SHX324" s="26" t="s">
        <v>366</v>
      </c>
      <c r="SHY324" s="26" t="s">
        <v>366</v>
      </c>
      <c r="SHZ324" s="26" t="s">
        <v>366</v>
      </c>
      <c r="SIA324" s="26" t="s">
        <v>366</v>
      </c>
      <c r="SIB324" s="26" t="s">
        <v>366</v>
      </c>
      <c r="SIC324" s="26" t="s">
        <v>366</v>
      </c>
      <c r="SID324" s="26" t="s">
        <v>366</v>
      </c>
      <c r="SIE324" s="26" t="s">
        <v>366</v>
      </c>
      <c r="SIF324" s="26" t="s">
        <v>366</v>
      </c>
      <c r="SIG324" s="26" t="s">
        <v>366</v>
      </c>
      <c r="SIH324" s="26" t="s">
        <v>366</v>
      </c>
      <c r="SII324" s="26" t="s">
        <v>366</v>
      </c>
      <c r="SIJ324" s="26" t="s">
        <v>366</v>
      </c>
      <c r="SIK324" s="26" t="s">
        <v>366</v>
      </c>
      <c r="SIL324" s="26" t="s">
        <v>366</v>
      </c>
      <c r="SIM324" s="26" t="s">
        <v>366</v>
      </c>
      <c r="SIN324" s="26" t="s">
        <v>366</v>
      </c>
      <c r="SIO324" s="26" t="s">
        <v>366</v>
      </c>
      <c r="SIP324" s="26" t="s">
        <v>366</v>
      </c>
      <c r="SIQ324" s="26" t="s">
        <v>366</v>
      </c>
      <c r="SIR324" s="26" t="s">
        <v>366</v>
      </c>
      <c r="SIS324" s="26" t="s">
        <v>366</v>
      </c>
      <c r="SIT324" s="26" t="s">
        <v>366</v>
      </c>
      <c r="SIU324" s="26" t="s">
        <v>366</v>
      </c>
      <c r="SIV324" s="26" t="s">
        <v>366</v>
      </c>
      <c r="SIW324" s="26" t="s">
        <v>366</v>
      </c>
      <c r="SIX324" s="26" t="s">
        <v>366</v>
      </c>
      <c r="SIY324" s="26" t="s">
        <v>366</v>
      </c>
      <c r="SIZ324" s="26" t="s">
        <v>366</v>
      </c>
      <c r="SJA324" s="26" t="s">
        <v>366</v>
      </c>
      <c r="SJB324" s="26" t="s">
        <v>366</v>
      </c>
      <c r="SJC324" s="26" t="s">
        <v>366</v>
      </c>
      <c r="SJD324" s="26" t="s">
        <v>366</v>
      </c>
      <c r="SJE324" s="26" t="s">
        <v>366</v>
      </c>
      <c r="SJF324" s="26" t="s">
        <v>366</v>
      </c>
      <c r="SJG324" s="26" t="s">
        <v>366</v>
      </c>
      <c r="SJH324" s="26" t="s">
        <v>366</v>
      </c>
      <c r="SJI324" s="26" t="s">
        <v>366</v>
      </c>
      <c r="SJJ324" s="26" t="s">
        <v>366</v>
      </c>
      <c r="SJK324" s="26" t="s">
        <v>366</v>
      </c>
      <c r="SJL324" s="26" t="s">
        <v>366</v>
      </c>
      <c r="SJM324" s="26" t="s">
        <v>366</v>
      </c>
      <c r="SJN324" s="26" t="s">
        <v>366</v>
      </c>
      <c r="SJO324" s="26" t="s">
        <v>366</v>
      </c>
      <c r="SJP324" s="26" t="s">
        <v>366</v>
      </c>
      <c r="SJQ324" s="26" t="s">
        <v>366</v>
      </c>
      <c r="SJR324" s="26" t="s">
        <v>366</v>
      </c>
      <c r="SJS324" s="26" t="s">
        <v>366</v>
      </c>
      <c r="SJT324" s="26" t="s">
        <v>366</v>
      </c>
      <c r="SJU324" s="26" t="s">
        <v>366</v>
      </c>
      <c r="SJV324" s="26" t="s">
        <v>366</v>
      </c>
      <c r="SJW324" s="26" t="s">
        <v>366</v>
      </c>
      <c r="SJX324" s="26" t="s">
        <v>366</v>
      </c>
      <c r="SJY324" s="26" t="s">
        <v>366</v>
      </c>
      <c r="SJZ324" s="26" t="s">
        <v>366</v>
      </c>
      <c r="SKA324" s="26" t="s">
        <v>366</v>
      </c>
      <c r="SKB324" s="26" t="s">
        <v>366</v>
      </c>
      <c r="SKC324" s="26" t="s">
        <v>366</v>
      </c>
      <c r="SKD324" s="26" t="s">
        <v>366</v>
      </c>
      <c r="SKE324" s="26" t="s">
        <v>366</v>
      </c>
      <c r="SKF324" s="26" t="s">
        <v>366</v>
      </c>
      <c r="SKG324" s="26" t="s">
        <v>366</v>
      </c>
      <c r="SKH324" s="26" t="s">
        <v>366</v>
      </c>
      <c r="SKI324" s="26" t="s">
        <v>366</v>
      </c>
      <c r="SKJ324" s="26" t="s">
        <v>366</v>
      </c>
      <c r="SKK324" s="26" t="s">
        <v>366</v>
      </c>
      <c r="SKL324" s="26" t="s">
        <v>366</v>
      </c>
      <c r="SKM324" s="26" t="s">
        <v>366</v>
      </c>
      <c r="SKN324" s="26" t="s">
        <v>366</v>
      </c>
      <c r="SKO324" s="26" t="s">
        <v>366</v>
      </c>
      <c r="SKP324" s="26" t="s">
        <v>366</v>
      </c>
      <c r="SKQ324" s="26" t="s">
        <v>366</v>
      </c>
      <c r="SKR324" s="26" t="s">
        <v>366</v>
      </c>
      <c r="SKS324" s="26" t="s">
        <v>366</v>
      </c>
      <c r="SKT324" s="26" t="s">
        <v>366</v>
      </c>
      <c r="SKU324" s="26" t="s">
        <v>366</v>
      </c>
      <c r="SKV324" s="26" t="s">
        <v>366</v>
      </c>
      <c r="SKW324" s="26" t="s">
        <v>366</v>
      </c>
      <c r="SKX324" s="26" t="s">
        <v>366</v>
      </c>
      <c r="SKY324" s="26" t="s">
        <v>366</v>
      </c>
      <c r="SKZ324" s="26" t="s">
        <v>366</v>
      </c>
      <c r="SLA324" s="26" t="s">
        <v>366</v>
      </c>
      <c r="SLB324" s="26" t="s">
        <v>366</v>
      </c>
      <c r="SLC324" s="26" t="s">
        <v>366</v>
      </c>
      <c r="SLD324" s="26" t="s">
        <v>366</v>
      </c>
      <c r="SLE324" s="26" t="s">
        <v>366</v>
      </c>
      <c r="SLF324" s="26" t="s">
        <v>366</v>
      </c>
      <c r="SLG324" s="26" t="s">
        <v>366</v>
      </c>
      <c r="SLH324" s="26" t="s">
        <v>366</v>
      </c>
      <c r="SLI324" s="26" t="s">
        <v>366</v>
      </c>
      <c r="SLJ324" s="26" t="s">
        <v>366</v>
      </c>
      <c r="SLK324" s="26" t="s">
        <v>366</v>
      </c>
      <c r="SLL324" s="26" t="s">
        <v>366</v>
      </c>
      <c r="SLM324" s="26" t="s">
        <v>366</v>
      </c>
      <c r="SLN324" s="26" t="s">
        <v>366</v>
      </c>
      <c r="SLO324" s="26" t="s">
        <v>366</v>
      </c>
      <c r="SLP324" s="26" t="s">
        <v>366</v>
      </c>
      <c r="SLQ324" s="26" t="s">
        <v>366</v>
      </c>
      <c r="SLR324" s="26" t="s">
        <v>366</v>
      </c>
      <c r="SLS324" s="26" t="s">
        <v>366</v>
      </c>
      <c r="SLT324" s="26" t="s">
        <v>366</v>
      </c>
      <c r="SLU324" s="26" t="s">
        <v>366</v>
      </c>
      <c r="SLV324" s="26" t="s">
        <v>366</v>
      </c>
      <c r="SLW324" s="26" t="s">
        <v>366</v>
      </c>
      <c r="SLX324" s="26" t="s">
        <v>366</v>
      </c>
      <c r="SLY324" s="26" t="s">
        <v>366</v>
      </c>
      <c r="SLZ324" s="26" t="s">
        <v>366</v>
      </c>
      <c r="SMA324" s="26" t="s">
        <v>366</v>
      </c>
      <c r="SMB324" s="26" t="s">
        <v>366</v>
      </c>
      <c r="SMC324" s="26" t="s">
        <v>366</v>
      </c>
      <c r="SMD324" s="26" t="s">
        <v>366</v>
      </c>
      <c r="SME324" s="26" t="s">
        <v>366</v>
      </c>
      <c r="SMF324" s="26" t="s">
        <v>366</v>
      </c>
      <c r="SMG324" s="26" t="s">
        <v>366</v>
      </c>
      <c r="SMH324" s="26" t="s">
        <v>366</v>
      </c>
      <c r="SMI324" s="26" t="s">
        <v>366</v>
      </c>
      <c r="SMJ324" s="26" t="s">
        <v>366</v>
      </c>
      <c r="SMK324" s="26" t="s">
        <v>366</v>
      </c>
      <c r="SML324" s="26" t="s">
        <v>366</v>
      </c>
      <c r="SMM324" s="26" t="s">
        <v>366</v>
      </c>
      <c r="SMN324" s="26" t="s">
        <v>366</v>
      </c>
      <c r="SMO324" s="26" t="s">
        <v>366</v>
      </c>
      <c r="SMP324" s="26" t="s">
        <v>366</v>
      </c>
      <c r="SMQ324" s="26" t="s">
        <v>366</v>
      </c>
      <c r="SMR324" s="26" t="s">
        <v>366</v>
      </c>
      <c r="SMS324" s="26" t="s">
        <v>366</v>
      </c>
      <c r="SMT324" s="26" t="s">
        <v>366</v>
      </c>
      <c r="SMU324" s="26" t="s">
        <v>366</v>
      </c>
      <c r="SMV324" s="26" t="s">
        <v>366</v>
      </c>
      <c r="SMW324" s="26" t="s">
        <v>366</v>
      </c>
      <c r="SMX324" s="26" t="s">
        <v>366</v>
      </c>
      <c r="SMY324" s="26" t="s">
        <v>366</v>
      </c>
      <c r="SMZ324" s="26" t="s">
        <v>366</v>
      </c>
      <c r="SNA324" s="26" t="s">
        <v>366</v>
      </c>
      <c r="SNB324" s="26" t="s">
        <v>366</v>
      </c>
      <c r="SNC324" s="26" t="s">
        <v>366</v>
      </c>
      <c r="SND324" s="26" t="s">
        <v>366</v>
      </c>
      <c r="SNE324" s="26" t="s">
        <v>366</v>
      </c>
      <c r="SNF324" s="26" t="s">
        <v>366</v>
      </c>
      <c r="SNG324" s="26" t="s">
        <v>366</v>
      </c>
      <c r="SNH324" s="26" t="s">
        <v>366</v>
      </c>
      <c r="SNI324" s="26" t="s">
        <v>366</v>
      </c>
      <c r="SNJ324" s="26" t="s">
        <v>366</v>
      </c>
      <c r="SNK324" s="26" t="s">
        <v>366</v>
      </c>
      <c r="SNL324" s="26" t="s">
        <v>366</v>
      </c>
      <c r="SNM324" s="26" t="s">
        <v>366</v>
      </c>
      <c r="SNN324" s="26" t="s">
        <v>366</v>
      </c>
      <c r="SNO324" s="26" t="s">
        <v>366</v>
      </c>
      <c r="SNP324" s="26" t="s">
        <v>366</v>
      </c>
      <c r="SNQ324" s="26" t="s">
        <v>366</v>
      </c>
      <c r="SNR324" s="26" t="s">
        <v>366</v>
      </c>
      <c r="SNS324" s="26" t="s">
        <v>366</v>
      </c>
      <c r="SNT324" s="26" t="s">
        <v>366</v>
      </c>
      <c r="SNU324" s="26" t="s">
        <v>366</v>
      </c>
      <c r="SNV324" s="26" t="s">
        <v>366</v>
      </c>
      <c r="SNW324" s="26" t="s">
        <v>366</v>
      </c>
      <c r="SNX324" s="26" t="s">
        <v>366</v>
      </c>
      <c r="SNY324" s="26" t="s">
        <v>366</v>
      </c>
      <c r="SNZ324" s="26" t="s">
        <v>366</v>
      </c>
      <c r="SOA324" s="26" t="s">
        <v>366</v>
      </c>
      <c r="SOB324" s="26" t="s">
        <v>366</v>
      </c>
      <c r="SOC324" s="26" t="s">
        <v>366</v>
      </c>
      <c r="SOD324" s="26" t="s">
        <v>366</v>
      </c>
      <c r="SOE324" s="26" t="s">
        <v>366</v>
      </c>
      <c r="SOF324" s="26" t="s">
        <v>366</v>
      </c>
      <c r="SOG324" s="26" t="s">
        <v>366</v>
      </c>
      <c r="SOH324" s="26" t="s">
        <v>366</v>
      </c>
      <c r="SOI324" s="26" t="s">
        <v>366</v>
      </c>
      <c r="SOJ324" s="26" t="s">
        <v>366</v>
      </c>
      <c r="SOK324" s="26" t="s">
        <v>366</v>
      </c>
      <c r="SOL324" s="26" t="s">
        <v>366</v>
      </c>
      <c r="SOM324" s="26" t="s">
        <v>366</v>
      </c>
      <c r="SON324" s="26" t="s">
        <v>366</v>
      </c>
      <c r="SOO324" s="26" t="s">
        <v>366</v>
      </c>
      <c r="SOP324" s="26" t="s">
        <v>366</v>
      </c>
      <c r="SOQ324" s="26" t="s">
        <v>366</v>
      </c>
      <c r="SOR324" s="26" t="s">
        <v>366</v>
      </c>
      <c r="SOS324" s="26" t="s">
        <v>366</v>
      </c>
      <c r="SOT324" s="26" t="s">
        <v>366</v>
      </c>
      <c r="SOU324" s="26" t="s">
        <v>366</v>
      </c>
      <c r="SOV324" s="26" t="s">
        <v>366</v>
      </c>
      <c r="SOW324" s="26" t="s">
        <v>366</v>
      </c>
      <c r="SOX324" s="26" t="s">
        <v>366</v>
      </c>
      <c r="SOY324" s="26" t="s">
        <v>366</v>
      </c>
      <c r="SOZ324" s="26" t="s">
        <v>366</v>
      </c>
      <c r="SPA324" s="26" t="s">
        <v>366</v>
      </c>
      <c r="SPB324" s="26" t="s">
        <v>366</v>
      </c>
      <c r="SPC324" s="26" t="s">
        <v>366</v>
      </c>
      <c r="SPD324" s="26" t="s">
        <v>366</v>
      </c>
      <c r="SPE324" s="26" t="s">
        <v>366</v>
      </c>
      <c r="SPF324" s="26" t="s">
        <v>366</v>
      </c>
      <c r="SPG324" s="26" t="s">
        <v>366</v>
      </c>
      <c r="SPH324" s="26" t="s">
        <v>366</v>
      </c>
      <c r="SPI324" s="26" t="s">
        <v>366</v>
      </c>
      <c r="SPJ324" s="26" t="s">
        <v>366</v>
      </c>
      <c r="SPK324" s="26" t="s">
        <v>366</v>
      </c>
      <c r="SPL324" s="26" t="s">
        <v>366</v>
      </c>
      <c r="SPM324" s="26" t="s">
        <v>366</v>
      </c>
      <c r="SPN324" s="26" t="s">
        <v>366</v>
      </c>
      <c r="SPO324" s="26" t="s">
        <v>366</v>
      </c>
      <c r="SPP324" s="26" t="s">
        <v>366</v>
      </c>
      <c r="SPQ324" s="26" t="s">
        <v>366</v>
      </c>
      <c r="SPR324" s="26" t="s">
        <v>366</v>
      </c>
      <c r="SPS324" s="26" t="s">
        <v>366</v>
      </c>
      <c r="SPT324" s="26" t="s">
        <v>366</v>
      </c>
      <c r="SPU324" s="26" t="s">
        <v>366</v>
      </c>
      <c r="SPV324" s="26" t="s">
        <v>366</v>
      </c>
      <c r="SPW324" s="26" t="s">
        <v>366</v>
      </c>
      <c r="SPX324" s="26" t="s">
        <v>366</v>
      </c>
      <c r="SPY324" s="26" t="s">
        <v>366</v>
      </c>
      <c r="SPZ324" s="26" t="s">
        <v>366</v>
      </c>
      <c r="SQA324" s="26" t="s">
        <v>366</v>
      </c>
      <c r="SQB324" s="26" t="s">
        <v>366</v>
      </c>
      <c r="SQC324" s="26" t="s">
        <v>366</v>
      </c>
      <c r="SQD324" s="26" t="s">
        <v>366</v>
      </c>
      <c r="SQE324" s="26" t="s">
        <v>366</v>
      </c>
      <c r="SQF324" s="26" t="s">
        <v>366</v>
      </c>
      <c r="SQG324" s="26" t="s">
        <v>366</v>
      </c>
      <c r="SQH324" s="26" t="s">
        <v>366</v>
      </c>
      <c r="SQI324" s="26" t="s">
        <v>366</v>
      </c>
      <c r="SQJ324" s="26" t="s">
        <v>366</v>
      </c>
      <c r="SQK324" s="26" t="s">
        <v>366</v>
      </c>
      <c r="SQL324" s="26" t="s">
        <v>366</v>
      </c>
      <c r="SQM324" s="26" t="s">
        <v>366</v>
      </c>
      <c r="SQN324" s="26" t="s">
        <v>366</v>
      </c>
      <c r="SQO324" s="26" t="s">
        <v>366</v>
      </c>
      <c r="SQP324" s="26" t="s">
        <v>366</v>
      </c>
      <c r="SQQ324" s="26" t="s">
        <v>366</v>
      </c>
      <c r="SQR324" s="26" t="s">
        <v>366</v>
      </c>
      <c r="SQS324" s="26" t="s">
        <v>366</v>
      </c>
      <c r="SQT324" s="26" t="s">
        <v>366</v>
      </c>
      <c r="SQU324" s="26" t="s">
        <v>366</v>
      </c>
      <c r="SQV324" s="26" t="s">
        <v>366</v>
      </c>
      <c r="SQW324" s="26" t="s">
        <v>366</v>
      </c>
      <c r="SQX324" s="26" t="s">
        <v>366</v>
      </c>
      <c r="SQY324" s="26" t="s">
        <v>366</v>
      </c>
      <c r="SQZ324" s="26" t="s">
        <v>366</v>
      </c>
      <c r="SRA324" s="26" t="s">
        <v>366</v>
      </c>
      <c r="SRB324" s="26" t="s">
        <v>366</v>
      </c>
      <c r="SRC324" s="26" t="s">
        <v>366</v>
      </c>
      <c r="SRD324" s="26" t="s">
        <v>366</v>
      </c>
      <c r="SRE324" s="26" t="s">
        <v>366</v>
      </c>
      <c r="SRF324" s="26" t="s">
        <v>366</v>
      </c>
      <c r="SRG324" s="26" t="s">
        <v>366</v>
      </c>
      <c r="SRH324" s="26" t="s">
        <v>366</v>
      </c>
      <c r="SRI324" s="26" t="s">
        <v>366</v>
      </c>
      <c r="SRJ324" s="26" t="s">
        <v>366</v>
      </c>
      <c r="SRK324" s="26" t="s">
        <v>366</v>
      </c>
      <c r="SRL324" s="26" t="s">
        <v>366</v>
      </c>
      <c r="SRM324" s="26" t="s">
        <v>366</v>
      </c>
      <c r="SRN324" s="26" t="s">
        <v>366</v>
      </c>
      <c r="SRO324" s="26" t="s">
        <v>366</v>
      </c>
      <c r="SRP324" s="26" t="s">
        <v>366</v>
      </c>
      <c r="SRQ324" s="26" t="s">
        <v>366</v>
      </c>
      <c r="SRR324" s="26" t="s">
        <v>366</v>
      </c>
      <c r="SRS324" s="26" t="s">
        <v>366</v>
      </c>
      <c r="SRT324" s="26" t="s">
        <v>366</v>
      </c>
      <c r="SRU324" s="26" t="s">
        <v>366</v>
      </c>
      <c r="SRV324" s="26" t="s">
        <v>366</v>
      </c>
      <c r="SRW324" s="26" t="s">
        <v>366</v>
      </c>
      <c r="SRX324" s="26" t="s">
        <v>366</v>
      </c>
      <c r="SRY324" s="26" t="s">
        <v>366</v>
      </c>
      <c r="SRZ324" s="26" t="s">
        <v>366</v>
      </c>
      <c r="SSA324" s="26" t="s">
        <v>366</v>
      </c>
      <c r="SSB324" s="26" t="s">
        <v>366</v>
      </c>
      <c r="SSC324" s="26" t="s">
        <v>366</v>
      </c>
      <c r="SSD324" s="26" t="s">
        <v>366</v>
      </c>
      <c r="SSE324" s="26" t="s">
        <v>366</v>
      </c>
      <c r="SSF324" s="26" t="s">
        <v>366</v>
      </c>
      <c r="SSG324" s="26" t="s">
        <v>366</v>
      </c>
      <c r="SSH324" s="26" t="s">
        <v>366</v>
      </c>
      <c r="SSI324" s="26" t="s">
        <v>366</v>
      </c>
      <c r="SSJ324" s="26" t="s">
        <v>366</v>
      </c>
      <c r="SSK324" s="26" t="s">
        <v>366</v>
      </c>
      <c r="SSL324" s="26" t="s">
        <v>366</v>
      </c>
      <c r="SSM324" s="26" t="s">
        <v>366</v>
      </c>
      <c r="SSN324" s="26" t="s">
        <v>366</v>
      </c>
      <c r="SSO324" s="26" t="s">
        <v>366</v>
      </c>
      <c r="SSP324" s="26" t="s">
        <v>366</v>
      </c>
      <c r="SSQ324" s="26" t="s">
        <v>366</v>
      </c>
      <c r="SSR324" s="26" t="s">
        <v>366</v>
      </c>
      <c r="SSS324" s="26" t="s">
        <v>366</v>
      </c>
      <c r="SST324" s="26" t="s">
        <v>366</v>
      </c>
      <c r="SSU324" s="26" t="s">
        <v>366</v>
      </c>
      <c r="SSV324" s="26" t="s">
        <v>366</v>
      </c>
      <c r="SSW324" s="26" t="s">
        <v>366</v>
      </c>
      <c r="SSX324" s="26" t="s">
        <v>366</v>
      </c>
      <c r="SSY324" s="26" t="s">
        <v>366</v>
      </c>
      <c r="SSZ324" s="26" t="s">
        <v>366</v>
      </c>
      <c r="STA324" s="26" t="s">
        <v>366</v>
      </c>
      <c r="STB324" s="26" t="s">
        <v>366</v>
      </c>
      <c r="STC324" s="26" t="s">
        <v>366</v>
      </c>
      <c r="STD324" s="26" t="s">
        <v>366</v>
      </c>
      <c r="STE324" s="26" t="s">
        <v>366</v>
      </c>
      <c r="STF324" s="26" t="s">
        <v>366</v>
      </c>
      <c r="STG324" s="26" t="s">
        <v>366</v>
      </c>
      <c r="STH324" s="26" t="s">
        <v>366</v>
      </c>
      <c r="STI324" s="26" t="s">
        <v>366</v>
      </c>
      <c r="STJ324" s="26" t="s">
        <v>366</v>
      </c>
      <c r="STK324" s="26" t="s">
        <v>366</v>
      </c>
      <c r="STL324" s="26" t="s">
        <v>366</v>
      </c>
      <c r="STM324" s="26" t="s">
        <v>366</v>
      </c>
      <c r="STN324" s="26" t="s">
        <v>366</v>
      </c>
      <c r="STO324" s="26" t="s">
        <v>366</v>
      </c>
      <c r="STP324" s="26" t="s">
        <v>366</v>
      </c>
      <c r="STQ324" s="26" t="s">
        <v>366</v>
      </c>
      <c r="STR324" s="26" t="s">
        <v>366</v>
      </c>
      <c r="STS324" s="26" t="s">
        <v>366</v>
      </c>
      <c r="STT324" s="26" t="s">
        <v>366</v>
      </c>
      <c r="STU324" s="26" t="s">
        <v>366</v>
      </c>
      <c r="STV324" s="26" t="s">
        <v>366</v>
      </c>
      <c r="STW324" s="26" t="s">
        <v>366</v>
      </c>
      <c r="STX324" s="26" t="s">
        <v>366</v>
      </c>
      <c r="STY324" s="26" t="s">
        <v>366</v>
      </c>
      <c r="STZ324" s="26" t="s">
        <v>366</v>
      </c>
      <c r="SUA324" s="26" t="s">
        <v>366</v>
      </c>
      <c r="SUB324" s="26" t="s">
        <v>366</v>
      </c>
      <c r="SUC324" s="26" t="s">
        <v>366</v>
      </c>
      <c r="SUD324" s="26" t="s">
        <v>366</v>
      </c>
      <c r="SUE324" s="26" t="s">
        <v>366</v>
      </c>
      <c r="SUF324" s="26" t="s">
        <v>366</v>
      </c>
      <c r="SUG324" s="26" t="s">
        <v>366</v>
      </c>
      <c r="SUH324" s="26" t="s">
        <v>366</v>
      </c>
      <c r="SUI324" s="26" t="s">
        <v>366</v>
      </c>
      <c r="SUJ324" s="26" t="s">
        <v>366</v>
      </c>
      <c r="SUK324" s="26" t="s">
        <v>366</v>
      </c>
      <c r="SUL324" s="26" t="s">
        <v>366</v>
      </c>
      <c r="SUM324" s="26" t="s">
        <v>366</v>
      </c>
      <c r="SUN324" s="26" t="s">
        <v>366</v>
      </c>
      <c r="SUO324" s="26" t="s">
        <v>366</v>
      </c>
      <c r="SUP324" s="26" t="s">
        <v>366</v>
      </c>
      <c r="SUQ324" s="26" t="s">
        <v>366</v>
      </c>
      <c r="SUR324" s="26" t="s">
        <v>366</v>
      </c>
      <c r="SUS324" s="26" t="s">
        <v>366</v>
      </c>
      <c r="SUT324" s="26" t="s">
        <v>366</v>
      </c>
      <c r="SUU324" s="26" t="s">
        <v>366</v>
      </c>
      <c r="SUV324" s="26" t="s">
        <v>366</v>
      </c>
      <c r="SUW324" s="26" t="s">
        <v>366</v>
      </c>
      <c r="SUX324" s="26" t="s">
        <v>366</v>
      </c>
      <c r="SUY324" s="26" t="s">
        <v>366</v>
      </c>
      <c r="SUZ324" s="26" t="s">
        <v>366</v>
      </c>
      <c r="SVA324" s="26" t="s">
        <v>366</v>
      </c>
      <c r="SVB324" s="26" t="s">
        <v>366</v>
      </c>
      <c r="SVC324" s="26" t="s">
        <v>366</v>
      </c>
      <c r="SVD324" s="26" t="s">
        <v>366</v>
      </c>
      <c r="SVE324" s="26" t="s">
        <v>366</v>
      </c>
      <c r="SVF324" s="26" t="s">
        <v>366</v>
      </c>
      <c r="SVG324" s="26" t="s">
        <v>366</v>
      </c>
      <c r="SVH324" s="26" t="s">
        <v>366</v>
      </c>
      <c r="SVI324" s="26" t="s">
        <v>366</v>
      </c>
      <c r="SVJ324" s="26" t="s">
        <v>366</v>
      </c>
      <c r="SVK324" s="26" t="s">
        <v>366</v>
      </c>
      <c r="SVL324" s="26" t="s">
        <v>366</v>
      </c>
      <c r="SVM324" s="26" t="s">
        <v>366</v>
      </c>
      <c r="SVN324" s="26" t="s">
        <v>366</v>
      </c>
      <c r="SVO324" s="26" t="s">
        <v>366</v>
      </c>
      <c r="SVP324" s="26" t="s">
        <v>366</v>
      </c>
      <c r="SVQ324" s="26" t="s">
        <v>366</v>
      </c>
      <c r="SVR324" s="26" t="s">
        <v>366</v>
      </c>
      <c r="SVS324" s="26" t="s">
        <v>366</v>
      </c>
      <c r="SVT324" s="26" t="s">
        <v>366</v>
      </c>
      <c r="SVU324" s="26" t="s">
        <v>366</v>
      </c>
      <c r="SVV324" s="26" t="s">
        <v>366</v>
      </c>
      <c r="SVW324" s="26" t="s">
        <v>366</v>
      </c>
      <c r="SVX324" s="26" t="s">
        <v>366</v>
      </c>
      <c r="SVY324" s="26" t="s">
        <v>366</v>
      </c>
      <c r="SVZ324" s="26" t="s">
        <v>366</v>
      </c>
      <c r="SWA324" s="26" t="s">
        <v>366</v>
      </c>
      <c r="SWB324" s="26" t="s">
        <v>366</v>
      </c>
      <c r="SWC324" s="26" t="s">
        <v>366</v>
      </c>
      <c r="SWD324" s="26" t="s">
        <v>366</v>
      </c>
      <c r="SWE324" s="26" t="s">
        <v>366</v>
      </c>
      <c r="SWF324" s="26" t="s">
        <v>366</v>
      </c>
      <c r="SWG324" s="26" t="s">
        <v>366</v>
      </c>
      <c r="SWH324" s="26" t="s">
        <v>366</v>
      </c>
      <c r="SWI324" s="26" t="s">
        <v>366</v>
      </c>
      <c r="SWJ324" s="26" t="s">
        <v>366</v>
      </c>
      <c r="SWK324" s="26" t="s">
        <v>366</v>
      </c>
      <c r="SWL324" s="26" t="s">
        <v>366</v>
      </c>
      <c r="SWM324" s="26" t="s">
        <v>366</v>
      </c>
      <c r="SWN324" s="26" t="s">
        <v>366</v>
      </c>
      <c r="SWO324" s="26" t="s">
        <v>366</v>
      </c>
      <c r="SWP324" s="26" t="s">
        <v>366</v>
      </c>
      <c r="SWQ324" s="26" t="s">
        <v>366</v>
      </c>
      <c r="SWR324" s="26" t="s">
        <v>366</v>
      </c>
      <c r="SWS324" s="26" t="s">
        <v>366</v>
      </c>
      <c r="SWT324" s="26" t="s">
        <v>366</v>
      </c>
      <c r="SWU324" s="26" t="s">
        <v>366</v>
      </c>
      <c r="SWV324" s="26" t="s">
        <v>366</v>
      </c>
      <c r="SWW324" s="26" t="s">
        <v>366</v>
      </c>
      <c r="SWX324" s="26" t="s">
        <v>366</v>
      </c>
      <c r="SWY324" s="26" t="s">
        <v>366</v>
      </c>
      <c r="SWZ324" s="26" t="s">
        <v>366</v>
      </c>
      <c r="SXA324" s="26" t="s">
        <v>366</v>
      </c>
      <c r="SXB324" s="26" t="s">
        <v>366</v>
      </c>
      <c r="SXC324" s="26" t="s">
        <v>366</v>
      </c>
      <c r="SXD324" s="26" t="s">
        <v>366</v>
      </c>
      <c r="SXE324" s="26" t="s">
        <v>366</v>
      </c>
      <c r="SXF324" s="26" t="s">
        <v>366</v>
      </c>
      <c r="SXG324" s="26" t="s">
        <v>366</v>
      </c>
      <c r="SXH324" s="26" t="s">
        <v>366</v>
      </c>
      <c r="SXI324" s="26" t="s">
        <v>366</v>
      </c>
      <c r="SXJ324" s="26" t="s">
        <v>366</v>
      </c>
      <c r="SXK324" s="26" t="s">
        <v>366</v>
      </c>
      <c r="SXL324" s="26" t="s">
        <v>366</v>
      </c>
      <c r="SXM324" s="26" t="s">
        <v>366</v>
      </c>
      <c r="SXN324" s="26" t="s">
        <v>366</v>
      </c>
      <c r="SXO324" s="26" t="s">
        <v>366</v>
      </c>
      <c r="SXP324" s="26" t="s">
        <v>366</v>
      </c>
      <c r="SXQ324" s="26" t="s">
        <v>366</v>
      </c>
      <c r="SXR324" s="26" t="s">
        <v>366</v>
      </c>
      <c r="SXS324" s="26" t="s">
        <v>366</v>
      </c>
      <c r="SXT324" s="26" t="s">
        <v>366</v>
      </c>
      <c r="SXU324" s="26" t="s">
        <v>366</v>
      </c>
      <c r="SXV324" s="26" t="s">
        <v>366</v>
      </c>
      <c r="SXW324" s="26" t="s">
        <v>366</v>
      </c>
      <c r="SXX324" s="26" t="s">
        <v>366</v>
      </c>
      <c r="SXY324" s="26" t="s">
        <v>366</v>
      </c>
      <c r="SXZ324" s="26" t="s">
        <v>366</v>
      </c>
      <c r="SYA324" s="26" t="s">
        <v>366</v>
      </c>
      <c r="SYB324" s="26" t="s">
        <v>366</v>
      </c>
      <c r="SYC324" s="26" t="s">
        <v>366</v>
      </c>
      <c r="SYD324" s="26" t="s">
        <v>366</v>
      </c>
      <c r="SYE324" s="26" t="s">
        <v>366</v>
      </c>
      <c r="SYF324" s="26" t="s">
        <v>366</v>
      </c>
      <c r="SYG324" s="26" t="s">
        <v>366</v>
      </c>
      <c r="SYH324" s="26" t="s">
        <v>366</v>
      </c>
      <c r="SYI324" s="26" t="s">
        <v>366</v>
      </c>
      <c r="SYJ324" s="26" t="s">
        <v>366</v>
      </c>
      <c r="SYK324" s="26" t="s">
        <v>366</v>
      </c>
      <c r="SYL324" s="26" t="s">
        <v>366</v>
      </c>
      <c r="SYM324" s="26" t="s">
        <v>366</v>
      </c>
      <c r="SYN324" s="26" t="s">
        <v>366</v>
      </c>
      <c r="SYO324" s="26" t="s">
        <v>366</v>
      </c>
      <c r="SYP324" s="26" t="s">
        <v>366</v>
      </c>
      <c r="SYQ324" s="26" t="s">
        <v>366</v>
      </c>
      <c r="SYR324" s="26" t="s">
        <v>366</v>
      </c>
      <c r="SYS324" s="26" t="s">
        <v>366</v>
      </c>
      <c r="SYT324" s="26" t="s">
        <v>366</v>
      </c>
      <c r="SYU324" s="26" t="s">
        <v>366</v>
      </c>
      <c r="SYV324" s="26" t="s">
        <v>366</v>
      </c>
      <c r="SYW324" s="26" t="s">
        <v>366</v>
      </c>
      <c r="SYX324" s="26" t="s">
        <v>366</v>
      </c>
      <c r="SYY324" s="26" t="s">
        <v>366</v>
      </c>
      <c r="SYZ324" s="26" t="s">
        <v>366</v>
      </c>
      <c r="SZA324" s="26" t="s">
        <v>366</v>
      </c>
      <c r="SZB324" s="26" t="s">
        <v>366</v>
      </c>
      <c r="SZC324" s="26" t="s">
        <v>366</v>
      </c>
      <c r="SZD324" s="26" t="s">
        <v>366</v>
      </c>
      <c r="SZE324" s="26" t="s">
        <v>366</v>
      </c>
      <c r="SZF324" s="26" t="s">
        <v>366</v>
      </c>
      <c r="SZG324" s="26" t="s">
        <v>366</v>
      </c>
      <c r="SZH324" s="26" t="s">
        <v>366</v>
      </c>
      <c r="SZI324" s="26" t="s">
        <v>366</v>
      </c>
      <c r="SZJ324" s="26" t="s">
        <v>366</v>
      </c>
      <c r="SZK324" s="26" t="s">
        <v>366</v>
      </c>
      <c r="SZL324" s="26" t="s">
        <v>366</v>
      </c>
      <c r="SZM324" s="26" t="s">
        <v>366</v>
      </c>
      <c r="SZN324" s="26" t="s">
        <v>366</v>
      </c>
      <c r="SZO324" s="26" t="s">
        <v>366</v>
      </c>
      <c r="SZP324" s="26" t="s">
        <v>366</v>
      </c>
      <c r="SZQ324" s="26" t="s">
        <v>366</v>
      </c>
      <c r="SZR324" s="26" t="s">
        <v>366</v>
      </c>
      <c r="SZS324" s="26" t="s">
        <v>366</v>
      </c>
      <c r="SZT324" s="26" t="s">
        <v>366</v>
      </c>
      <c r="SZU324" s="26" t="s">
        <v>366</v>
      </c>
      <c r="SZV324" s="26" t="s">
        <v>366</v>
      </c>
      <c r="SZW324" s="26" t="s">
        <v>366</v>
      </c>
      <c r="SZX324" s="26" t="s">
        <v>366</v>
      </c>
      <c r="SZY324" s="26" t="s">
        <v>366</v>
      </c>
      <c r="SZZ324" s="26" t="s">
        <v>366</v>
      </c>
      <c r="TAA324" s="26" t="s">
        <v>366</v>
      </c>
      <c r="TAB324" s="26" t="s">
        <v>366</v>
      </c>
      <c r="TAC324" s="26" t="s">
        <v>366</v>
      </c>
      <c r="TAD324" s="26" t="s">
        <v>366</v>
      </c>
      <c r="TAE324" s="26" t="s">
        <v>366</v>
      </c>
      <c r="TAF324" s="26" t="s">
        <v>366</v>
      </c>
      <c r="TAG324" s="26" t="s">
        <v>366</v>
      </c>
      <c r="TAH324" s="26" t="s">
        <v>366</v>
      </c>
      <c r="TAI324" s="26" t="s">
        <v>366</v>
      </c>
      <c r="TAJ324" s="26" t="s">
        <v>366</v>
      </c>
      <c r="TAK324" s="26" t="s">
        <v>366</v>
      </c>
      <c r="TAL324" s="26" t="s">
        <v>366</v>
      </c>
      <c r="TAM324" s="26" t="s">
        <v>366</v>
      </c>
      <c r="TAN324" s="26" t="s">
        <v>366</v>
      </c>
      <c r="TAO324" s="26" t="s">
        <v>366</v>
      </c>
      <c r="TAP324" s="26" t="s">
        <v>366</v>
      </c>
      <c r="TAQ324" s="26" t="s">
        <v>366</v>
      </c>
      <c r="TAR324" s="26" t="s">
        <v>366</v>
      </c>
      <c r="TAS324" s="26" t="s">
        <v>366</v>
      </c>
      <c r="TAT324" s="26" t="s">
        <v>366</v>
      </c>
      <c r="TAU324" s="26" t="s">
        <v>366</v>
      </c>
      <c r="TAV324" s="26" t="s">
        <v>366</v>
      </c>
      <c r="TAW324" s="26" t="s">
        <v>366</v>
      </c>
      <c r="TAX324" s="26" t="s">
        <v>366</v>
      </c>
      <c r="TAY324" s="26" t="s">
        <v>366</v>
      </c>
      <c r="TAZ324" s="26" t="s">
        <v>366</v>
      </c>
      <c r="TBA324" s="26" t="s">
        <v>366</v>
      </c>
      <c r="TBB324" s="26" t="s">
        <v>366</v>
      </c>
      <c r="TBC324" s="26" t="s">
        <v>366</v>
      </c>
      <c r="TBD324" s="26" t="s">
        <v>366</v>
      </c>
      <c r="TBE324" s="26" t="s">
        <v>366</v>
      </c>
      <c r="TBF324" s="26" t="s">
        <v>366</v>
      </c>
      <c r="TBG324" s="26" t="s">
        <v>366</v>
      </c>
      <c r="TBH324" s="26" t="s">
        <v>366</v>
      </c>
      <c r="TBI324" s="26" t="s">
        <v>366</v>
      </c>
      <c r="TBJ324" s="26" t="s">
        <v>366</v>
      </c>
      <c r="TBK324" s="26" t="s">
        <v>366</v>
      </c>
      <c r="TBL324" s="26" t="s">
        <v>366</v>
      </c>
      <c r="TBM324" s="26" t="s">
        <v>366</v>
      </c>
      <c r="TBN324" s="26" t="s">
        <v>366</v>
      </c>
      <c r="TBO324" s="26" t="s">
        <v>366</v>
      </c>
      <c r="TBP324" s="26" t="s">
        <v>366</v>
      </c>
      <c r="TBQ324" s="26" t="s">
        <v>366</v>
      </c>
      <c r="TBR324" s="26" t="s">
        <v>366</v>
      </c>
      <c r="TBS324" s="26" t="s">
        <v>366</v>
      </c>
      <c r="TBT324" s="26" t="s">
        <v>366</v>
      </c>
      <c r="TBU324" s="26" t="s">
        <v>366</v>
      </c>
      <c r="TBV324" s="26" t="s">
        <v>366</v>
      </c>
      <c r="TBW324" s="26" t="s">
        <v>366</v>
      </c>
      <c r="TBX324" s="26" t="s">
        <v>366</v>
      </c>
      <c r="TBY324" s="26" t="s">
        <v>366</v>
      </c>
      <c r="TBZ324" s="26" t="s">
        <v>366</v>
      </c>
      <c r="TCA324" s="26" t="s">
        <v>366</v>
      </c>
      <c r="TCB324" s="26" t="s">
        <v>366</v>
      </c>
      <c r="TCC324" s="26" t="s">
        <v>366</v>
      </c>
      <c r="TCD324" s="26" t="s">
        <v>366</v>
      </c>
      <c r="TCE324" s="26" t="s">
        <v>366</v>
      </c>
      <c r="TCF324" s="26" t="s">
        <v>366</v>
      </c>
      <c r="TCG324" s="26" t="s">
        <v>366</v>
      </c>
      <c r="TCH324" s="26" t="s">
        <v>366</v>
      </c>
      <c r="TCI324" s="26" t="s">
        <v>366</v>
      </c>
      <c r="TCJ324" s="26" t="s">
        <v>366</v>
      </c>
      <c r="TCK324" s="26" t="s">
        <v>366</v>
      </c>
      <c r="TCL324" s="26" t="s">
        <v>366</v>
      </c>
      <c r="TCM324" s="26" t="s">
        <v>366</v>
      </c>
      <c r="TCN324" s="26" t="s">
        <v>366</v>
      </c>
      <c r="TCO324" s="26" t="s">
        <v>366</v>
      </c>
      <c r="TCP324" s="26" t="s">
        <v>366</v>
      </c>
      <c r="TCQ324" s="26" t="s">
        <v>366</v>
      </c>
      <c r="TCR324" s="26" t="s">
        <v>366</v>
      </c>
      <c r="TCS324" s="26" t="s">
        <v>366</v>
      </c>
      <c r="TCT324" s="26" t="s">
        <v>366</v>
      </c>
      <c r="TCU324" s="26" t="s">
        <v>366</v>
      </c>
      <c r="TCV324" s="26" t="s">
        <v>366</v>
      </c>
      <c r="TCW324" s="26" t="s">
        <v>366</v>
      </c>
      <c r="TCX324" s="26" t="s">
        <v>366</v>
      </c>
      <c r="TCY324" s="26" t="s">
        <v>366</v>
      </c>
      <c r="TCZ324" s="26" t="s">
        <v>366</v>
      </c>
      <c r="TDA324" s="26" t="s">
        <v>366</v>
      </c>
      <c r="TDB324" s="26" t="s">
        <v>366</v>
      </c>
      <c r="TDC324" s="26" t="s">
        <v>366</v>
      </c>
      <c r="TDD324" s="26" t="s">
        <v>366</v>
      </c>
      <c r="TDE324" s="26" t="s">
        <v>366</v>
      </c>
      <c r="TDF324" s="26" t="s">
        <v>366</v>
      </c>
      <c r="TDG324" s="26" t="s">
        <v>366</v>
      </c>
      <c r="TDH324" s="26" t="s">
        <v>366</v>
      </c>
      <c r="TDI324" s="26" t="s">
        <v>366</v>
      </c>
      <c r="TDJ324" s="26" t="s">
        <v>366</v>
      </c>
      <c r="TDK324" s="26" t="s">
        <v>366</v>
      </c>
      <c r="TDL324" s="26" t="s">
        <v>366</v>
      </c>
      <c r="TDM324" s="26" t="s">
        <v>366</v>
      </c>
      <c r="TDN324" s="26" t="s">
        <v>366</v>
      </c>
      <c r="TDO324" s="26" t="s">
        <v>366</v>
      </c>
      <c r="TDP324" s="26" t="s">
        <v>366</v>
      </c>
      <c r="TDQ324" s="26" t="s">
        <v>366</v>
      </c>
      <c r="TDR324" s="26" t="s">
        <v>366</v>
      </c>
      <c r="TDS324" s="26" t="s">
        <v>366</v>
      </c>
      <c r="TDT324" s="26" t="s">
        <v>366</v>
      </c>
      <c r="TDU324" s="26" t="s">
        <v>366</v>
      </c>
      <c r="TDV324" s="26" t="s">
        <v>366</v>
      </c>
      <c r="TDW324" s="26" t="s">
        <v>366</v>
      </c>
      <c r="TDX324" s="26" t="s">
        <v>366</v>
      </c>
      <c r="TDY324" s="26" t="s">
        <v>366</v>
      </c>
      <c r="TDZ324" s="26" t="s">
        <v>366</v>
      </c>
      <c r="TEA324" s="26" t="s">
        <v>366</v>
      </c>
      <c r="TEB324" s="26" t="s">
        <v>366</v>
      </c>
      <c r="TEC324" s="26" t="s">
        <v>366</v>
      </c>
      <c r="TED324" s="26" t="s">
        <v>366</v>
      </c>
      <c r="TEE324" s="26" t="s">
        <v>366</v>
      </c>
      <c r="TEF324" s="26" t="s">
        <v>366</v>
      </c>
      <c r="TEG324" s="26" t="s">
        <v>366</v>
      </c>
      <c r="TEH324" s="26" t="s">
        <v>366</v>
      </c>
      <c r="TEI324" s="26" t="s">
        <v>366</v>
      </c>
      <c r="TEJ324" s="26" t="s">
        <v>366</v>
      </c>
      <c r="TEK324" s="26" t="s">
        <v>366</v>
      </c>
      <c r="TEL324" s="26" t="s">
        <v>366</v>
      </c>
      <c r="TEM324" s="26" t="s">
        <v>366</v>
      </c>
      <c r="TEN324" s="26" t="s">
        <v>366</v>
      </c>
      <c r="TEO324" s="26" t="s">
        <v>366</v>
      </c>
      <c r="TEP324" s="26" t="s">
        <v>366</v>
      </c>
      <c r="TEQ324" s="26" t="s">
        <v>366</v>
      </c>
      <c r="TER324" s="26" t="s">
        <v>366</v>
      </c>
      <c r="TES324" s="26" t="s">
        <v>366</v>
      </c>
      <c r="TET324" s="26" t="s">
        <v>366</v>
      </c>
      <c r="TEU324" s="26" t="s">
        <v>366</v>
      </c>
      <c r="TEV324" s="26" t="s">
        <v>366</v>
      </c>
      <c r="TEW324" s="26" t="s">
        <v>366</v>
      </c>
      <c r="TEX324" s="26" t="s">
        <v>366</v>
      </c>
      <c r="TEY324" s="26" t="s">
        <v>366</v>
      </c>
      <c r="TEZ324" s="26" t="s">
        <v>366</v>
      </c>
      <c r="TFA324" s="26" t="s">
        <v>366</v>
      </c>
      <c r="TFB324" s="26" t="s">
        <v>366</v>
      </c>
      <c r="TFC324" s="26" t="s">
        <v>366</v>
      </c>
      <c r="TFD324" s="26" t="s">
        <v>366</v>
      </c>
      <c r="TFE324" s="26" t="s">
        <v>366</v>
      </c>
      <c r="TFF324" s="26" t="s">
        <v>366</v>
      </c>
      <c r="TFG324" s="26" t="s">
        <v>366</v>
      </c>
      <c r="TFH324" s="26" t="s">
        <v>366</v>
      </c>
      <c r="TFI324" s="26" t="s">
        <v>366</v>
      </c>
      <c r="TFJ324" s="26" t="s">
        <v>366</v>
      </c>
      <c r="TFK324" s="26" t="s">
        <v>366</v>
      </c>
      <c r="TFL324" s="26" t="s">
        <v>366</v>
      </c>
      <c r="TFM324" s="26" t="s">
        <v>366</v>
      </c>
      <c r="TFN324" s="26" t="s">
        <v>366</v>
      </c>
      <c r="TFO324" s="26" t="s">
        <v>366</v>
      </c>
      <c r="TFP324" s="26" t="s">
        <v>366</v>
      </c>
      <c r="TFQ324" s="26" t="s">
        <v>366</v>
      </c>
      <c r="TFR324" s="26" t="s">
        <v>366</v>
      </c>
      <c r="TFS324" s="26" t="s">
        <v>366</v>
      </c>
      <c r="TFT324" s="26" t="s">
        <v>366</v>
      </c>
      <c r="TFU324" s="26" t="s">
        <v>366</v>
      </c>
      <c r="TFV324" s="26" t="s">
        <v>366</v>
      </c>
      <c r="TFW324" s="26" t="s">
        <v>366</v>
      </c>
      <c r="TFX324" s="26" t="s">
        <v>366</v>
      </c>
      <c r="TFY324" s="26" t="s">
        <v>366</v>
      </c>
      <c r="TFZ324" s="26" t="s">
        <v>366</v>
      </c>
      <c r="TGA324" s="26" t="s">
        <v>366</v>
      </c>
      <c r="TGB324" s="26" t="s">
        <v>366</v>
      </c>
      <c r="TGC324" s="26" t="s">
        <v>366</v>
      </c>
      <c r="TGD324" s="26" t="s">
        <v>366</v>
      </c>
      <c r="TGE324" s="26" t="s">
        <v>366</v>
      </c>
      <c r="TGF324" s="26" t="s">
        <v>366</v>
      </c>
      <c r="TGG324" s="26" t="s">
        <v>366</v>
      </c>
      <c r="TGH324" s="26" t="s">
        <v>366</v>
      </c>
      <c r="TGI324" s="26" t="s">
        <v>366</v>
      </c>
      <c r="TGJ324" s="26" t="s">
        <v>366</v>
      </c>
      <c r="TGK324" s="26" t="s">
        <v>366</v>
      </c>
      <c r="TGL324" s="26" t="s">
        <v>366</v>
      </c>
      <c r="TGM324" s="26" t="s">
        <v>366</v>
      </c>
      <c r="TGN324" s="26" t="s">
        <v>366</v>
      </c>
      <c r="TGO324" s="26" t="s">
        <v>366</v>
      </c>
      <c r="TGP324" s="26" t="s">
        <v>366</v>
      </c>
      <c r="TGQ324" s="26" t="s">
        <v>366</v>
      </c>
      <c r="TGR324" s="26" t="s">
        <v>366</v>
      </c>
      <c r="TGS324" s="26" t="s">
        <v>366</v>
      </c>
      <c r="TGT324" s="26" t="s">
        <v>366</v>
      </c>
      <c r="TGU324" s="26" t="s">
        <v>366</v>
      </c>
      <c r="TGV324" s="26" t="s">
        <v>366</v>
      </c>
      <c r="TGW324" s="26" t="s">
        <v>366</v>
      </c>
      <c r="TGX324" s="26" t="s">
        <v>366</v>
      </c>
      <c r="TGY324" s="26" t="s">
        <v>366</v>
      </c>
      <c r="TGZ324" s="26" t="s">
        <v>366</v>
      </c>
      <c r="THA324" s="26" t="s">
        <v>366</v>
      </c>
      <c r="THB324" s="26" t="s">
        <v>366</v>
      </c>
      <c r="THC324" s="26" t="s">
        <v>366</v>
      </c>
      <c r="THD324" s="26" t="s">
        <v>366</v>
      </c>
      <c r="THE324" s="26" t="s">
        <v>366</v>
      </c>
      <c r="THF324" s="26" t="s">
        <v>366</v>
      </c>
      <c r="THG324" s="26" t="s">
        <v>366</v>
      </c>
      <c r="THH324" s="26" t="s">
        <v>366</v>
      </c>
      <c r="THI324" s="26" t="s">
        <v>366</v>
      </c>
      <c r="THJ324" s="26" t="s">
        <v>366</v>
      </c>
      <c r="THK324" s="26" t="s">
        <v>366</v>
      </c>
      <c r="THL324" s="26" t="s">
        <v>366</v>
      </c>
      <c r="THM324" s="26" t="s">
        <v>366</v>
      </c>
      <c r="THN324" s="26" t="s">
        <v>366</v>
      </c>
      <c r="THO324" s="26" t="s">
        <v>366</v>
      </c>
      <c r="THP324" s="26" t="s">
        <v>366</v>
      </c>
      <c r="THQ324" s="26" t="s">
        <v>366</v>
      </c>
      <c r="THR324" s="26" t="s">
        <v>366</v>
      </c>
      <c r="THS324" s="26" t="s">
        <v>366</v>
      </c>
      <c r="THT324" s="26" t="s">
        <v>366</v>
      </c>
      <c r="THU324" s="26" t="s">
        <v>366</v>
      </c>
      <c r="THV324" s="26" t="s">
        <v>366</v>
      </c>
      <c r="THW324" s="26" t="s">
        <v>366</v>
      </c>
      <c r="THX324" s="26" t="s">
        <v>366</v>
      </c>
      <c r="THY324" s="26" t="s">
        <v>366</v>
      </c>
      <c r="THZ324" s="26" t="s">
        <v>366</v>
      </c>
      <c r="TIA324" s="26" t="s">
        <v>366</v>
      </c>
      <c r="TIB324" s="26" t="s">
        <v>366</v>
      </c>
      <c r="TIC324" s="26" t="s">
        <v>366</v>
      </c>
      <c r="TID324" s="26" t="s">
        <v>366</v>
      </c>
      <c r="TIE324" s="26" t="s">
        <v>366</v>
      </c>
      <c r="TIF324" s="26" t="s">
        <v>366</v>
      </c>
      <c r="TIG324" s="26" t="s">
        <v>366</v>
      </c>
      <c r="TIH324" s="26" t="s">
        <v>366</v>
      </c>
      <c r="TII324" s="26" t="s">
        <v>366</v>
      </c>
      <c r="TIJ324" s="26" t="s">
        <v>366</v>
      </c>
      <c r="TIK324" s="26" t="s">
        <v>366</v>
      </c>
      <c r="TIL324" s="26" t="s">
        <v>366</v>
      </c>
      <c r="TIM324" s="26" t="s">
        <v>366</v>
      </c>
      <c r="TIN324" s="26" t="s">
        <v>366</v>
      </c>
      <c r="TIO324" s="26" t="s">
        <v>366</v>
      </c>
      <c r="TIP324" s="26" t="s">
        <v>366</v>
      </c>
      <c r="TIQ324" s="26" t="s">
        <v>366</v>
      </c>
      <c r="TIR324" s="26" t="s">
        <v>366</v>
      </c>
      <c r="TIS324" s="26" t="s">
        <v>366</v>
      </c>
      <c r="TIT324" s="26" t="s">
        <v>366</v>
      </c>
      <c r="TIU324" s="26" t="s">
        <v>366</v>
      </c>
      <c r="TIV324" s="26" t="s">
        <v>366</v>
      </c>
      <c r="TIW324" s="26" t="s">
        <v>366</v>
      </c>
      <c r="TIX324" s="26" t="s">
        <v>366</v>
      </c>
      <c r="TIY324" s="26" t="s">
        <v>366</v>
      </c>
      <c r="TIZ324" s="26" t="s">
        <v>366</v>
      </c>
      <c r="TJA324" s="26" t="s">
        <v>366</v>
      </c>
      <c r="TJB324" s="26" t="s">
        <v>366</v>
      </c>
      <c r="TJC324" s="26" t="s">
        <v>366</v>
      </c>
      <c r="TJD324" s="26" t="s">
        <v>366</v>
      </c>
      <c r="TJE324" s="26" t="s">
        <v>366</v>
      </c>
      <c r="TJF324" s="26" t="s">
        <v>366</v>
      </c>
      <c r="TJG324" s="26" t="s">
        <v>366</v>
      </c>
      <c r="TJH324" s="26" t="s">
        <v>366</v>
      </c>
      <c r="TJI324" s="26" t="s">
        <v>366</v>
      </c>
      <c r="TJJ324" s="26" t="s">
        <v>366</v>
      </c>
      <c r="TJK324" s="26" t="s">
        <v>366</v>
      </c>
      <c r="TJL324" s="26" t="s">
        <v>366</v>
      </c>
      <c r="TJM324" s="26" t="s">
        <v>366</v>
      </c>
      <c r="TJN324" s="26" t="s">
        <v>366</v>
      </c>
      <c r="TJO324" s="26" t="s">
        <v>366</v>
      </c>
      <c r="TJP324" s="26" t="s">
        <v>366</v>
      </c>
      <c r="TJQ324" s="26" t="s">
        <v>366</v>
      </c>
      <c r="TJR324" s="26" t="s">
        <v>366</v>
      </c>
      <c r="TJS324" s="26" t="s">
        <v>366</v>
      </c>
      <c r="TJT324" s="26" t="s">
        <v>366</v>
      </c>
      <c r="TJU324" s="26" t="s">
        <v>366</v>
      </c>
      <c r="TJV324" s="26" t="s">
        <v>366</v>
      </c>
      <c r="TJW324" s="26" t="s">
        <v>366</v>
      </c>
      <c r="TJX324" s="26" t="s">
        <v>366</v>
      </c>
      <c r="TJY324" s="26" t="s">
        <v>366</v>
      </c>
      <c r="TJZ324" s="26" t="s">
        <v>366</v>
      </c>
      <c r="TKA324" s="26" t="s">
        <v>366</v>
      </c>
      <c r="TKB324" s="26" t="s">
        <v>366</v>
      </c>
      <c r="TKC324" s="26" t="s">
        <v>366</v>
      </c>
      <c r="TKD324" s="26" t="s">
        <v>366</v>
      </c>
      <c r="TKE324" s="26" t="s">
        <v>366</v>
      </c>
      <c r="TKF324" s="26" t="s">
        <v>366</v>
      </c>
      <c r="TKG324" s="26" t="s">
        <v>366</v>
      </c>
      <c r="TKH324" s="26" t="s">
        <v>366</v>
      </c>
      <c r="TKI324" s="26" t="s">
        <v>366</v>
      </c>
      <c r="TKJ324" s="26" t="s">
        <v>366</v>
      </c>
      <c r="TKK324" s="26" t="s">
        <v>366</v>
      </c>
      <c r="TKL324" s="26" t="s">
        <v>366</v>
      </c>
      <c r="TKM324" s="26" t="s">
        <v>366</v>
      </c>
      <c r="TKN324" s="26" t="s">
        <v>366</v>
      </c>
      <c r="TKO324" s="26" t="s">
        <v>366</v>
      </c>
      <c r="TKP324" s="26" t="s">
        <v>366</v>
      </c>
      <c r="TKQ324" s="26" t="s">
        <v>366</v>
      </c>
      <c r="TKR324" s="26" t="s">
        <v>366</v>
      </c>
      <c r="TKS324" s="26" t="s">
        <v>366</v>
      </c>
      <c r="TKT324" s="26" t="s">
        <v>366</v>
      </c>
      <c r="TKU324" s="26" t="s">
        <v>366</v>
      </c>
      <c r="TKV324" s="26" t="s">
        <v>366</v>
      </c>
      <c r="TKW324" s="26" t="s">
        <v>366</v>
      </c>
      <c r="TKX324" s="26" t="s">
        <v>366</v>
      </c>
      <c r="TKY324" s="26" t="s">
        <v>366</v>
      </c>
      <c r="TKZ324" s="26" t="s">
        <v>366</v>
      </c>
      <c r="TLA324" s="26" t="s">
        <v>366</v>
      </c>
      <c r="TLB324" s="26" t="s">
        <v>366</v>
      </c>
      <c r="TLC324" s="26" t="s">
        <v>366</v>
      </c>
      <c r="TLD324" s="26" t="s">
        <v>366</v>
      </c>
      <c r="TLE324" s="26" t="s">
        <v>366</v>
      </c>
      <c r="TLF324" s="26" t="s">
        <v>366</v>
      </c>
      <c r="TLG324" s="26" t="s">
        <v>366</v>
      </c>
      <c r="TLH324" s="26" t="s">
        <v>366</v>
      </c>
      <c r="TLI324" s="26" t="s">
        <v>366</v>
      </c>
      <c r="TLJ324" s="26" t="s">
        <v>366</v>
      </c>
      <c r="TLK324" s="26" t="s">
        <v>366</v>
      </c>
      <c r="TLL324" s="26" t="s">
        <v>366</v>
      </c>
      <c r="TLM324" s="26" t="s">
        <v>366</v>
      </c>
      <c r="TLN324" s="26" t="s">
        <v>366</v>
      </c>
      <c r="TLO324" s="26" t="s">
        <v>366</v>
      </c>
      <c r="TLP324" s="26" t="s">
        <v>366</v>
      </c>
      <c r="TLQ324" s="26" t="s">
        <v>366</v>
      </c>
      <c r="TLR324" s="26" t="s">
        <v>366</v>
      </c>
      <c r="TLS324" s="26" t="s">
        <v>366</v>
      </c>
      <c r="TLT324" s="26" t="s">
        <v>366</v>
      </c>
      <c r="TLU324" s="26" t="s">
        <v>366</v>
      </c>
      <c r="TLV324" s="26" t="s">
        <v>366</v>
      </c>
      <c r="TLW324" s="26" t="s">
        <v>366</v>
      </c>
      <c r="TLX324" s="26" t="s">
        <v>366</v>
      </c>
      <c r="TLY324" s="26" t="s">
        <v>366</v>
      </c>
      <c r="TLZ324" s="26" t="s">
        <v>366</v>
      </c>
      <c r="TMA324" s="26" t="s">
        <v>366</v>
      </c>
      <c r="TMB324" s="26" t="s">
        <v>366</v>
      </c>
      <c r="TMC324" s="26" t="s">
        <v>366</v>
      </c>
      <c r="TMD324" s="26" t="s">
        <v>366</v>
      </c>
      <c r="TME324" s="26" t="s">
        <v>366</v>
      </c>
      <c r="TMF324" s="26" t="s">
        <v>366</v>
      </c>
      <c r="TMG324" s="26" t="s">
        <v>366</v>
      </c>
      <c r="TMH324" s="26" t="s">
        <v>366</v>
      </c>
      <c r="TMI324" s="26" t="s">
        <v>366</v>
      </c>
      <c r="TMJ324" s="26" t="s">
        <v>366</v>
      </c>
      <c r="TMK324" s="26" t="s">
        <v>366</v>
      </c>
      <c r="TML324" s="26" t="s">
        <v>366</v>
      </c>
      <c r="TMM324" s="26" t="s">
        <v>366</v>
      </c>
      <c r="TMN324" s="26" t="s">
        <v>366</v>
      </c>
      <c r="TMO324" s="26" t="s">
        <v>366</v>
      </c>
      <c r="TMP324" s="26" t="s">
        <v>366</v>
      </c>
      <c r="TMQ324" s="26" t="s">
        <v>366</v>
      </c>
      <c r="TMR324" s="26" t="s">
        <v>366</v>
      </c>
      <c r="TMS324" s="26" t="s">
        <v>366</v>
      </c>
      <c r="TMT324" s="26" t="s">
        <v>366</v>
      </c>
      <c r="TMU324" s="26" t="s">
        <v>366</v>
      </c>
      <c r="TMV324" s="26" t="s">
        <v>366</v>
      </c>
      <c r="TMW324" s="26" t="s">
        <v>366</v>
      </c>
      <c r="TMX324" s="26" t="s">
        <v>366</v>
      </c>
      <c r="TMY324" s="26" t="s">
        <v>366</v>
      </c>
      <c r="TMZ324" s="26" t="s">
        <v>366</v>
      </c>
      <c r="TNA324" s="26" t="s">
        <v>366</v>
      </c>
      <c r="TNB324" s="26" t="s">
        <v>366</v>
      </c>
      <c r="TNC324" s="26" t="s">
        <v>366</v>
      </c>
      <c r="TND324" s="26" t="s">
        <v>366</v>
      </c>
      <c r="TNE324" s="26" t="s">
        <v>366</v>
      </c>
      <c r="TNF324" s="26" t="s">
        <v>366</v>
      </c>
      <c r="TNG324" s="26" t="s">
        <v>366</v>
      </c>
      <c r="TNH324" s="26" t="s">
        <v>366</v>
      </c>
      <c r="TNI324" s="26" t="s">
        <v>366</v>
      </c>
      <c r="TNJ324" s="26" t="s">
        <v>366</v>
      </c>
      <c r="TNK324" s="26" t="s">
        <v>366</v>
      </c>
      <c r="TNL324" s="26" t="s">
        <v>366</v>
      </c>
      <c r="TNM324" s="26" t="s">
        <v>366</v>
      </c>
      <c r="TNN324" s="26" t="s">
        <v>366</v>
      </c>
      <c r="TNO324" s="26" t="s">
        <v>366</v>
      </c>
      <c r="TNP324" s="26" t="s">
        <v>366</v>
      </c>
      <c r="TNQ324" s="26" t="s">
        <v>366</v>
      </c>
      <c r="TNR324" s="26" t="s">
        <v>366</v>
      </c>
      <c r="TNS324" s="26" t="s">
        <v>366</v>
      </c>
      <c r="TNT324" s="26" t="s">
        <v>366</v>
      </c>
      <c r="TNU324" s="26" t="s">
        <v>366</v>
      </c>
      <c r="TNV324" s="26" t="s">
        <v>366</v>
      </c>
      <c r="TNW324" s="26" t="s">
        <v>366</v>
      </c>
      <c r="TNX324" s="26" t="s">
        <v>366</v>
      </c>
      <c r="TNY324" s="26" t="s">
        <v>366</v>
      </c>
      <c r="TNZ324" s="26" t="s">
        <v>366</v>
      </c>
      <c r="TOA324" s="26" t="s">
        <v>366</v>
      </c>
      <c r="TOB324" s="26" t="s">
        <v>366</v>
      </c>
      <c r="TOC324" s="26" t="s">
        <v>366</v>
      </c>
      <c r="TOD324" s="26" t="s">
        <v>366</v>
      </c>
      <c r="TOE324" s="26" t="s">
        <v>366</v>
      </c>
      <c r="TOF324" s="26" t="s">
        <v>366</v>
      </c>
      <c r="TOG324" s="26" t="s">
        <v>366</v>
      </c>
      <c r="TOH324" s="26" t="s">
        <v>366</v>
      </c>
      <c r="TOI324" s="26" t="s">
        <v>366</v>
      </c>
      <c r="TOJ324" s="26" t="s">
        <v>366</v>
      </c>
      <c r="TOK324" s="26" t="s">
        <v>366</v>
      </c>
      <c r="TOL324" s="26" t="s">
        <v>366</v>
      </c>
      <c r="TOM324" s="26" t="s">
        <v>366</v>
      </c>
      <c r="TON324" s="26" t="s">
        <v>366</v>
      </c>
      <c r="TOO324" s="26" t="s">
        <v>366</v>
      </c>
      <c r="TOP324" s="26" t="s">
        <v>366</v>
      </c>
      <c r="TOQ324" s="26" t="s">
        <v>366</v>
      </c>
      <c r="TOR324" s="26" t="s">
        <v>366</v>
      </c>
      <c r="TOS324" s="26" t="s">
        <v>366</v>
      </c>
      <c r="TOT324" s="26" t="s">
        <v>366</v>
      </c>
      <c r="TOU324" s="26" t="s">
        <v>366</v>
      </c>
      <c r="TOV324" s="26" t="s">
        <v>366</v>
      </c>
      <c r="TOW324" s="26" t="s">
        <v>366</v>
      </c>
      <c r="TOX324" s="26" t="s">
        <v>366</v>
      </c>
      <c r="TOY324" s="26" t="s">
        <v>366</v>
      </c>
      <c r="TOZ324" s="26" t="s">
        <v>366</v>
      </c>
      <c r="TPA324" s="26" t="s">
        <v>366</v>
      </c>
      <c r="TPB324" s="26" t="s">
        <v>366</v>
      </c>
      <c r="TPC324" s="26" t="s">
        <v>366</v>
      </c>
      <c r="TPD324" s="26" t="s">
        <v>366</v>
      </c>
      <c r="TPE324" s="26" t="s">
        <v>366</v>
      </c>
      <c r="TPF324" s="26" t="s">
        <v>366</v>
      </c>
      <c r="TPG324" s="26" t="s">
        <v>366</v>
      </c>
      <c r="TPH324" s="26" t="s">
        <v>366</v>
      </c>
      <c r="TPI324" s="26" t="s">
        <v>366</v>
      </c>
      <c r="TPJ324" s="26" t="s">
        <v>366</v>
      </c>
      <c r="TPK324" s="26" t="s">
        <v>366</v>
      </c>
      <c r="TPL324" s="26" t="s">
        <v>366</v>
      </c>
      <c r="TPM324" s="26" t="s">
        <v>366</v>
      </c>
      <c r="TPN324" s="26" t="s">
        <v>366</v>
      </c>
      <c r="TPO324" s="26" t="s">
        <v>366</v>
      </c>
      <c r="TPP324" s="26" t="s">
        <v>366</v>
      </c>
      <c r="TPQ324" s="26" t="s">
        <v>366</v>
      </c>
      <c r="TPR324" s="26" t="s">
        <v>366</v>
      </c>
      <c r="TPS324" s="26" t="s">
        <v>366</v>
      </c>
      <c r="TPT324" s="26" t="s">
        <v>366</v>
      </c>
      <c r="TPU324" s="26" t="s">
        <v>366</v>
      </c>
      <c r="TPV324" s="26" t="s">
        <v>366</v>
      </c>
      <c r="TPW324" s="26" t="s">
        <v>366</v>
      </c>
      <c r="TPX324" s="26" t="s">
        <v>366</v>
      </c>
      <c r="TPY324" s="26" t="s">
        <v>366</v>
      </c>
      <c r="TPZ324" s="26" t="s">
        <v>366</v>
      </c>
      <c r="TQA324" s="26" t="s">
        <v>366</v>
      </c>
      <c r="TQB324" s="26" t="s">
        <v>366</v>
      </c>
      <c r="TQC324" s="26" t="s">
        <v>366</v>
      </c>
      <c r="TQD324" s="26" t="s">
        <v>366</v>
      </c>
      <c r="TQE324" s="26" t="s">
        <v>366</v>
      </c>
      <c r="TQF324" s="26" t="s">
        <v>366</v>
      </c>
      <c r="TQG324" s="26" t="s">
        <v>366</v>
      </c>
      <c r="TQH324" s="26" t="s">
        <v>366</v>
      </c>
      <c r="TQI324" s="26" t="s">
        <v>366</v>
      </c>
      <c r="TQJ324" s="26" t="s">
        <v>366</v>
      </c>
      <c r="TQK324" s="26" t="s">
        <v>366</v>
      </c>
      <c r="TQL324" s="26" t="s">
        <v>366</v>
      </c>
      <c r="TQM324" s="26" t="s">
        <v>366</v>
      </c>
      <c r="TQN324" s="26" t="s">
        <v>366</v>
      </c>
      <c r="TQO324" s="26" t="s">
        <v>366</v>
      </c>
      <c r="TQP324" s="26" t="s">
        <v>366</v>
      </c>
      <c r="TQQ324" s="26" t="s">
        <v>366</v>
      </c>
      <c r="TQR324" s="26" t="s">
        <v>366</v>
      </c>
      <c r="TQS324" s="26" t="s">
        <v>366</v>
      </c>
      <c r="TQT324" s="26" t="s">
        <v>366</v>
      </c>
      <c r="TQU324" s="26" t="s">
        <v>366</v>
      </c>
      <c r="TQV324" s="26" t="s">
        <v>366</v>
      </c>
      <c r="TQW324" s="26" t="s">
        <v>366</v>
      </c>
      <c r="TQX324" s="26" t="s">
        <v>366</v>
      </c>
      <c r="TQY324" s="26" t="s">
        <v>366</v>
      </c>
      <c r="TQZ324" s="26" t="s">
        <v>366</v>
      </c>
      <c r="TRA324" s="26" t="s">
        <v>366</v>
      </c>
      <c r="TRB324" s="26" t="s">
        <v>366</v>
      </c>
      <c r="TRC324" s="26" t="s">
        <v>366</v>
      </c>
      <c r="TRD324" s="26" t="s">
        <v>366</v>
      </c>
      <c r="TRE324" s="26" t="s">
        <v>366</v>
      </c>
      <c r="TRF324" s="26" t="s">
        <v>366</v>
      </c>
      <c r="TRG324" s="26" t="s">
        <v>366</v>
      </c>
      <c r="TRH324" s="26" t="s">
        <v>366</v>
      </c>
      <c r="TRI324" s="26" t="s">
        <v>366</v>
      </c>
      <c r="TRJ324" s="26" t="s">
        <v>366</v>
      </c>
      <c r="TRK324" s="26" t="s">
        <v>366</v>
      </c>
      <c r="TRL324" s="26" t="s">
        <v>366</v>
      </c>
      <c r="TRM324" s="26" t="s">
        <v>366</v>
      </c>
      <c r="TRN324" s="26" t="s">
        <v>366</v>
      </c>
      <c r="TRO324" s="26" t="s">
        <v>366</v>
      </c>
      <c r="TRP324" s="26" t="s">
        <v>366</v>
      </c>
      <c r="TRQ324" s="26" t="s">
        <v>366</v>
      </c>
      <c r="TRR324" s="26" t="s">
        <v>366</v>
      </c>
      <c r="TRS324" s="26" t="s">
        <v>366</v>
      </c>
      <c r="TRT324" s="26" t="s">
        <v>366</v>
      </c>
      <c r="TRU324" s="26" t="s">
        <v>366</v>
      </c>
      <c r="TRV324" s="26" t="s">
        <v>366</v>
      </c>
      <c r="TRW324" s="26" t="s">
        <v>366</v>
      </c>
      <c r="TRX324" s="26" t="s">
        <v>366</v>
      </c>
      <c r="TRY324" s="26" t="s">
        <v>366</v>
      </c>
      <c r="TRZ324" s="26" t="s">
        <v>366</v>
      </c>
      <c r="TSA324" s="26" t="s">
        <v>366</v>
      </c>
      <c r="TSB324" s="26" t="s">
        <v>366</v>
      </c>
      <c r="TSC324" s="26" t="s">
        <v>366</v>
      </c>
      <c r="TSD324" s="26" t="s">
        <v>366</v>
      </c>
      <c r="TSE324" s="26" t="s">
        <v>366</v>
      </c>
      <c r="TSF324" s="26" t="s">
        <v>366</v>
      </c>
      <c r="TSG324" s="26" t="s">
        <v>366</v>
      </c>
      <c r="TSH324" s="26" t="s">
        <v>366</v>
      </c>
      <c r="TSI324" s="26" t="s">
        <v>366</v>
      </c>
      <c r="TSJ324" s="26" t="s">
        <v>366</v>
      </c>
      <c r="TSK324" s="26" t="s">
        <v>366</v>
      </c>
      <c r="TSL324" s="26" t="s">
        <v>366</v>
      </c>
      <c r="TSM324" s="26" t="s">
        <v>366</v>
      </c>
      <c r="TSN324" s="26" t="s">
        <v>366</v>
      </c>
      <c r="TSO324" s="26" t="s">
        <v>366</v>
      </c>
      <c r="TSP324" s="26" t="s">
        <v>366</v>
      </c>
      <c r="TSQ324" s="26" t="s">
        <v>366</v>
      </c>
      <c r="TSR324" s="26" t="s">
        <v>366</v>
      </c>
      <c r="TSS324" s="26" t="s">
        <v>366</v>
      </c>
      <c r="TST324" s="26" t="s">
        <v>366</v>
      </c>
      <c r="TSU324" s="26" t="s">
        <v>366</v>
      </c>
      <c r="TSV324" s="26" t="s">
        <v>366</v>
      </c>
      <c r="TSW324" s="26" t="s">
        <v>366</v>
      </c>
      <c r="TSX324" s="26" t="s">
        <v>366</v>
      </c>
      <c r="TSY324" s="26" t="s">
        <v>366</v>
      </c>
      <c r="TSZ324" s="26" t="s">
        <v>366</v>
      </c>
      <c r="TTA324" s="26" t="s">
        <v>366</v>
      </c>
      <c r="TTB324" s="26" t="s">
        <v>366</v>
      </c>
      <c r="TTC324" s="26" t="s">
        <v>366</v>
      </c>
      <c r="TTD324" s="26" t="s">
        <v>366</v>
      </c>
      <c r="TTE324" s="26" t="s">
        <v>366</v>
      </c>
      <c r="TTF324" s="26" t="s">
        <v>366</v>
      </c>
      <c r="TTG324" s="26" t="s">
        <v>366</v>
      </c>
      <c r="TTH324" s="26" t="s">
        <v>366</v>
      </c>
      <c r="TTI324" s="26" t="s">
        <v>366</v>
      </c>
      <c r="TTJ324" s="26" t="s">
        <v>366</v>
      </c>
      <c r="TTK324" s="26" t="s">
        <v>366</v>
      </c>
      <c r="TTL324" s="26" t="s">
        <v>366</v>
      </c>
      <c r="TTM324" s="26" t="s">
        <v>366</v>
      </c>
      <c r="TTN324" s="26" t="s">
        <v>366</v>
      </c>
      <c r="TTO324" s="26" t="s">
        <v>366</v>
      </c>
      <c r="TTP324" s="26" t="s">
        <v>366</v>
      </c>
      <c r="TTQ324" s="26" t="s">
        <v>366</v>
      </c>
      <c r="TTR324" s="26" t="s">
        <v>366</v>
      </c>
      <c r="TTS324" s="26" t="s">
        <v>366</v>
      </c>
      <c r="TTT324" s="26" t="s">
        <v>366</v>
      </c>
      <c r="TTU324" s="26" t="s">
        <v>366</v>
      </c>
      <c r="TTV324" s="26" t="s">
        <v>366</v>
      </c>
      <c r="TTW324" s="26" t="s">
        <v>366</v>
      </c>
      <c r="TTX324" s="26" t="s">
        <v>366</v>
      </c>
      <c r="TTY324" s="26" t="s">
        <v>366</v>
      </c>
      <c r="TTZ324" s="26" t="s">
        <v>366</v>
      </c>
      <c r="TUA324" s="26" t="s">
        <v>366</v>
      </c>
      <c r="TUB324" s="26" t="s">
        <v>366</v>
      </c>
      <c r="TUC324" s="26" t="s">
        <v>366</v>
      </c>
      <c r="TUD324" s="26" t="s">
        <v>366</v>
      </c>
      <c r="TUE324" s="26" t="s">
        <v>366</v>
      </c>
      <c r="TUF324" s="26" t="s">
        <v>366</v>
      </c>
      <c r="TUG324" s="26" t="s">
        <v>366</v>
      </c>
      <c r="TUH324" s="26" t="s">
        <v>366</v>
      </c>
      <c r="TUI324" s="26" t="s">
        <v>366</v>
      </c>
      <c r="TUJ324" s="26" t="s">
        <v>366</v>
      </c>
      <c r="TUK324" s="26" t="s">
        <v>366</v>
      </c>
      <c r="TUL324" s="26" t="s">
        <v>366</v>
      </c>
      <c r="TUM324" s="26" t="s">
        <v>366</v>
      </c>
      <c r="TUN324" s="26" t="s">
        <v>366</v>
      </c>
      <c r="TUO324" s="26" t="s">
        <v>366</v>
      </c>
      <c r="TUP324" s="26" t="s">
        <v>366</v>
      </c>
      <c r="TUQ324" s="26" t="s">
        <v>366</v>
      </c>
      <c r="TUR324" s="26" t="s">
        <v>366</v>
      </c>
      <c r="TUS324" s="26" t="s">
        <v>366</v>
      </c>
      <c r="TUT324" s="26" t="s">
        <v>366</v>
      </c>
      <c r="TUU324" s="26" t="s">
        <v>366</v>
      </c>
      <c r="TUV324" s="26" t="s">
        <v>366</v>
      </c>
      <c r="TUW324" s="26" t="s">
        <v>366</v>
      </c>
      <c r="TUX324" s="26" t="s">
        <v>366</v>
      </c>
      <c r="TUY324" s="26" t="s">
        <v>366</v>
      </c>
      <c r="TUZ324" s="26" t="s">
        <v>366</v>
      </c>
      <c r="TVA324" s="26" t="s">
        <v>366</v>
      </c>
      <c r="TVB324" s="26" t="s">
        <v>366</v>
      </c>
      <c r="TVC324" s="26" t="s">
        <v>366</v>
      </c>
      <c r="TVD324" s="26" t="s">
        <v>366</v>
      </c>
      <c r="TVE324" s="26" t="s">
        <v>366</v>
      </c>
      <c r="TVF324" s="26" t="s">
        <v>366</v>
      </c>
      <c r="TVG324" s="26" t="s">
        <v>366</v>
      </c>
      <c r="TVH324" s="26" t="s">
        <v>366</v>
      </c>
      <c r="TVI324" s="26" t="s">
        <v>366</v>
      </c>
      <c r="TVJ324" s="26" t="s">
        <v>366</v>
      </c>
      <c r="TVK324" s="26" t="s">
        <v>366</v>
      </c>
      <c r="TVL324" s="26" t="s">
        <v>366</v>
      </c>
      <c r="TVM324" s="26" t="s">
        <v>366</v>
      </c>
      <c r="TVN324" s="26" t="s">
        <v>366</v>
      </c>
      <c r="TVO324" s="26" t="s">
        <v>366</v>
      </c>
      <c r="TVP324" s="26" t="s">
        <v>366</v>
      </c>
      <c r="TVQ324" s="26" t="s">
        <v>366</v>
      </c>
      <c r="TVR324" s="26" t="s">
        <v>366</v>
      </c>
      <c r="TVS324" s="26" t="s">
        <v>366</v>
      </c>
      <c r="TVT324" s="26" t="s">
        <v>366</v>
      </c>
      <c r="TVU324" s="26" t="s">
        <v>366</v>
      </c>
      <c r="TVV324" s="26" t="s">
        <v>366</v>
      </c>
      <c r="TVW324" s="26" t="s">
        <v>366</v>
      </c>
      <c r="TVX324" s="26" t="s">
        <v>366</v>
      </c>
      <c r="TVY324" s="26" t="s">
        <v>366</v>
      </c>
      <c r="TVZ324" s="26" t="s">
        <v>366</v>
      </c>
      <c r="TWA324" s="26" t="s">
        <v>366</v>
      </c>
      <c r="TWB324" s="26" t="s">
        <v>366</v>
      </c>
      <c r="TWC324" s="26" t="s">
        <v>366</v>
      </c>
      <c r="TWD324" s="26" t="s">
        <v>366</v>
      </c>
      <c r="TWE324" s="26" t="s">
        <v>366</v>
      </c>
      <c r="TWF324" s="26" t="s">
        <v>366</v>
      </c>
      <c r="TWG324" s="26" t="s">
        <v>366</v>
      </c>
      <c r="TWH324" s="26" t="s">
        <v>366</v>
      </c>
      <c r="TWI324" s="26" t="s">
        <v>366</v>
      </c>
      <c r="TWJ324" s="26" t="s">
        <v>366</v>
      </c>
      <c r="TWK324" s="26" t="s">
        <v>366</v>
      </c>
      <c r="TWL324" s="26" t="s">
        <v>366</v>
      </c>
      <c r="TWM324" s="26" t="s">
        <v>366</v>
      </c>
      <c r="TWN324" s="26" t="s">
        <v>366</v>
      </c>
      <c r="TWO324" s="26" t="s">
        <v>366</v>
      </c>
      <c r="TWP324" s="26" t="s">
        <v>366</v>
      </c>
      <c r="TWQ324" s="26" t="s">
        <v>366</v>
      </c>
      <c r="TWR324" s="26" t="s">
        <v>366</v>
      </c>
      <c r="TWS324" s="26" t="s">
        <v>366</v>
      </c>
      <c r="TWT324" s="26" t="s">
        <v>366</v>
      </c>
      <c r="TWU324" s="26" t="s">
        <v>366</v>
      </c>
      <c r="TWV324" s="26" t="s">
        <v>366</v>
      </c>
      <c r="TWW324" s="26" t="s">
        <v>366</v>
      </c>
      <c r="TWX324" s="26" t="s">
        <v>366</v>
      </c>
      <c r="TWY324" s="26" t="s">
        <v>366</v>
      </c>
      <c r="TWZ324" s="26" t="s">
        <v>366</v>
      </c>
      <c r="TXA324" s="26" t="s">
        <v>366</v>
      </c>
      <c r="TXB324" s="26" t="s">
        <v>366</v>
      </c>
      <c r="TXC324" s="26" t="s">
        <v>366</v>
      </c>
      <c r="TXD324" s="26" t="s">
        <v>366</v>
      </c>
      <c r="TXE324" s="26" t="s">
        <v>366</v>
      </c>
      <c r="TXF324" s="26" t="s">
        <v>366</v>
      </c>
      <c r="TXG324" s="26" t="s">
        <v>366</v>
      </c>
      <c r="TXH324" s="26" t="s">
        <v>366</v>
      </c>
      <c r="TXI324" s="26" t="s">
        <v>366</v>
      </c>
      <c r="TXJ324" s="26" t="s">
        <v>366</v>
      </c>
      <c r="TXK324" s="26" t="s">
        <v>366</v>
      </c>
      <c r="TXL324" s="26" t="s">
        <v>366</v>
      </c>
      <c r="TXM324" s="26" t="s">
        <v>366</v>
      </c>
      <c r="TXN324" s="26" t="s">
        <v>366</v>
      </c>
      <c r="TXO324" s="26" t="s">
        <v>366</v>
      </c>
      <c r="TXP324" s="26" t="s">
        <v>366</v>
      </c>
      <c r="TXQ324" s="26" t="s">
        <v>366</v>
      </c>
      <c r="TXR324" s="26" t="s">
        <v>366</v>
      </c>
      <c r="TXS324" s="26" t="s">
        <v>366</v>
      </c>
      <c r="TXT324" s="26" t="s">
        <v>366</v>
      </c>
      <c r="TXU324" s="26" t="s">
        <v>366</v>
      </c>
      <c r="TXV324" s="26" t="s">
        <v>366</v>
      </c>
      <c r="TXW324" s="26" t="s">
        <v>366</v>
      </c>
      <c r="TXX324" s="26" t="s">
        <v>366</v>
      </c>
      <c r="TXY324" s="26" t="s">
        <v>366</v>
      </c>
      <c r="TXZ324" s="26" t="s">
        <v>366</v>
      </c>
      <c r="TYA324" s="26" t="s">
        <v>366</v>
      </c>
      <c r="TYB324" s="26" t="s">
        <v>366</v>
      </c>
      <c r="TYC324" s="26" t="s">
        <v>366</v>
      </c>
      <c r="TYD324" s="26" t="s">
        <v>366</v>
      </c>
      <c r="TYE324" s="26" t="s">
        <v>366</v>
      </c>
      <c r="TYF324" s="26" t="s">
        <v>366</v>
      </c>
      <c r="TYG324" s="26" t="s">
        <v>366</v>
      </c>
      <c r="TYH324" s="26" t="s">
        <v>366</v>
      </c>
      <c r="TYI324" s="26" t="s">
        <v>366</v>
      </c>
      <c r="TYJ324" s="26" t="s">
        <v>366</v>
      </c>
      <c r="TYK324" s="26" t="s">
        <v>366</v>
      </c>
      <c r="TYL324" s="26" t="s">
        <v>366</v>
      </c>
      <c r="TYM324" s="26" t="s">
        <v>366</v>
      </c>
      <c r="TYN324" s="26" t="s">
        <v>366</v>
      </c>
      <c r="TYO324" s="26" t="s">
        <v>366</v>
      </c>
      <c r="TYP324" s="26" t="s">
        <v>366</v>
      </c>
      <c r="TYQ324" s="26" t="s">
        <v>366</v>
      </c>
      <c r="TYR324" s="26" t="s">
        <v>366</v>
      </c>
      <c r="TYS324" s="26" t="s">
        <v>366</v>
      </c>
      <c r="TYT324" s="26" t="s">
        <v>366</v>
      </c>
      <c r="TYU324" s="26" t="s">
        <v>366</v>
      </c>
      <c r="TYV324" s="26" t="s">
        <v>366</v>
      </c>
      <c r="TYW324" s="26" t="s">
        <v>366</v>
      </c>
      <c r="TYX324" s="26" t="s">
        <v>366</v>
      </c>
      <c r="TYY324" s="26" t="s">
        <v>366</v>
      </c>
      <c r="TYZ324" s="26" t="s">
        <v>366</v>
      </c>
      <c r="TZA324" s="26" t="s">
        <v>366</v>
      </c>
      <c r="TZB324" s="26" t="s">
        <v>366</v>
      </c>
      <c r="TZC324" s="26" t="s">
        <v>366</v>
      </c>
      <c r="TZD324" s="26" t="s">
        <v>366</v>
      </c>
      <c r="TZE324" s="26" t="s">
        <v>366</v>
      </c>
      <c r="TZF324" s="26" t="s">
        <v>366</v>
      </c>
      <c r="TZG324" s="26" t="s">
        <v>366</v>
      </c>
      <c r="TZH324" s="26" t="s">
        <v>366</v>
      </c>
      <c r="TZI324" s="26" t="s">
        <v>366</v>
      </c>
      <c r="TZJ324" s="26" t="s">
        <v>366</v>
      </c>
      <c r="TZK324" s="26" t="s">
        <v>366</v>
      </c>
      <c r="TZL324" s="26" t="s">
        <v>366</v>
      </c>
      <c r="TZM324" s="26" t="s">
        <v>366</v>
      </c>
      <c r="TZN324" s="26" t="s">
        <v>366</v>
      </c>
      <c r="TZO324" s="26" t="s">
        <v>366</v>
      </c>
      <c r="TZP324" s="26" t="s">
        <v>366</v>
      </c>
      <c r="TZQ324" s="26" t="s">
        <v>366</v>
      </c>
      <c r="TZR324" s="26" t="s">
        <v>366</v>
      </c>
      <c r="TZS324" s="26" t="s">
        <v>366</v>
      </c>
      <c r="TZT324" s="26" t="s">
        <v>366</v>
      </c>
      <c r="TZU324" s="26" t="s">
        <v>366</v>
      </c>
      <c r="TZV324" s="26" t="s">
        <v>366</v>
      </c>
      <c r="TZW324" s="26" t="s">
        <v>366</v>
      </c>
      <c r="TZX324" s="26" t="s">
        <v>366</v>
      </c>
      <c r="TZY324" s="26" t="s">
        <v>366</v>
      </c>
      <c r="TZZ324" s="26" t="s">
        <v>366</v>
      </c>
      <c r="UAA324" s="26" t="s">
        <v>366</v>
      </c>
      <c r="UAB324" s="26" t="s">
        <v>366</v>
      </c>
      <c r="UAC324" s="26" t="s">
        <v>366</v>
      </c>
      <c r="UAD324" s="26" t="s">
        <v>366</v>
      </c>
      <c r="UAE324" s="26" t="s">
        <v>366</v>
      </c>
      <c r="UAF324" s="26" t="s">
        <v>366</v>
      </c>
      <c r="UAG324" s="26" t="s">
        <v>366</v>
      </c>
      <c r="UAH324" s="26" t="s">
        <v>366</v>
      </c>
      <c r="UAI324" s="26" t="s">
        <v>366</v>
      </c>
      <c r="UAJ324" s="26" t="s">
        <v>366</v>
      </c>
      <c r="UAK324" s="26" t="s">
        <v>366</v>
      </c>
      <c r="UAL324" s="26" t="s">
        <v>366</v>
      </c>
      <c r="UAM324" s="26" t="s">
        <v>366</v>
      </c>
      <c r="UAN324" s="26" t="s">
        <v>366</v>
      </c>
      <c r="UAO324" s="26" t="s">
        <v>366</v>
      </c>
      <c r="UAP324" s="26" t="s">
        <v>366</v>
      </c>
      <c r="UAQ324" s="26" t="s">
        <v>366</v>
      </c>
      <c r="UAR324" s="26" t="s">
        <v>366</v>
      </c>
      <c r="UAS324" s="26" t="s">
        <v>366</v>
      </c>
      <c r="UAT324" s="26" t="s">
        <v>366</v>
      </c>
      <c r="UAU324" s="26" t="s">
        <v>366</v>
      </c>
      <c r="UAV324" s="26" t="s">
        <v>366</v>
      </c>
      <c r="UAW324" s="26" t="s">
        <v>366</v>
      </c>
      <c r="UAX324" s="26" t="s">
        <v>366</v>
      </c>
      <c r="UAY324" s="26" t="s">
        <v>366</v>
      </c>
      <c r="UAZ324" s="26" t="s">
        <v>366</v>
      </c>
      <c r="UBA324" s="26" t="s">
        <v>366</v>
      </c>
      <c r="UBB324" s="26" t="s">
        <v>366</v>
      </c>
      <c r="UBC324" s="26" t="s">
        <v>366</v>
      </c>
      <c r="UBD324" s="26" t="s">
        <v>366</v>
      </c>
      <c r="UBE324" s="26" t="s">
        <v>366</v>
      </c>
      <c r="UBF324" s="26" t="s">
        <v>366</v>
      </c>
      <c r="UBG324" s="26" t="s">
        <v>366</v>
      </c>
      <c r="UBH324" s="26" t="s">
        <v>366</v>
      </c>
      <c r="UBI324" s="26" t="s">
        <v>366</v>
      </c>
      <c r="UBJ324" s="26" t="s">
        <v>366</v>
      </c>
      <c r="UBK324" s="26" t="s">
        <v>366</v>
      </c>
      <c r="UBL324" s="26" t="s">
        <v>366</v>
      </c>
      <c r="UBM324" s="26" t="s">
        <v>366</v>
      </c>
      <c r="UBN324" s="26" t="s">
        <v>366</v>
      </c>
      <c r="UBO324" s="26" t="s">
        <v>366</v>
      </c>
      <c r="UBP324" s="26" t="s">
        <v>366</v>
      </c>
      <c r="UBQ324" s="26" t="s">
        <v>366</v>
      </c>
      <c r="UBR324" s="26" t="s">
        <v>366</v>
      </c>
      <c r="UBS324" s="26" t="s">
        <v>366</v>
      </c>
      <c r="UBT324" s="26" t="s">
        <v>366</v>
      </c>
      <c r="UBU324" s="26" t="s">
        <v>366</v>
      </c>
      <c r="UBV324" s="26" t="s">
        <v>366</v>
      </c>
      <c r="UBW324" s="26" t="s">
        <v>366</v>
      </c>
      <c r="UBX324" s="26" t="s">
        <v>366</v>
      </c>
      <c r="UBY324" s="26" t="s">
        <v>366</v>
      </c>
      <c r="UBZ324" s="26" t="s">
        <v>366</v>
      </c>
      <c r="UCA324" s="26" t="s">
        <v>366</v>
      </c>
      <c r="UCB324" s="26" t="s">
        <v>366</v>
      </c>
      <c r="UCC324" s="26" t="s">
        <v>366</v>
      </c>
      <c r="UCD324" s="26" t="s">
        <v>366</v>
      </c>
      <c r="UCE324" s="26" t="s">
        <v>366</v>
      </c>
      <c r="UCF324" s="26" t="s">
        <v>366</v>
      </c>
      <c r="UCG324" s="26" t="s">
        <v>366</v>
      </c>
      <c r="UCH324" s="26" t="s">
        <v>366</v>
      </c>
      <c r="UCI324" s="26" t="s">
        <v>366</v>
      </c>
      <c r="UCJ324" s="26" t="s">
        <v>366</v>
      </c>
      <c r="UCK324" s="26" t="s">
        <v>366</v>
      </c>
      <c r="UCL324" s="26" t="s">
        <v>366</v>
      </c>
      <c r="UCM324" s="26" t="s">
        <v>366</v>
      </c>
      <c r="UCN324" s="26" t="s">
        <v>366</v>
      </c>
      <c r="UCO324" s="26" t="s">
        <v>366</v>
      </c>
      <c r="UCP324" s="26" t="s">
        <v>366</v>
      </c>
      <c r="UCQ324" s="26" t="s">
        <v>366</v>
      </c>
      <c r="UCR324" s="26" t="s">
        <v>366</v>
      </c>
      <c r="UCS324" s="26" t="s">
        <v>366</v>
      </c>
      <c r="UCT324" s="26" t="s">
        <v>366</v>
      </c>
      <c r="UCU324" s="26" t="s">
        <v>366</v>
      </c>
      <c r="UCV324" s="26" t="s">
        <v>366</v>
      </c>
      <c r="UCW324" s="26" t="s">
        <v>366</v>
      </c>
      <c r="UCX324" s="26" t="s">
        <v>366</v>
      </c>
      <c r="UCY324" s="26" t="s">
        <v>366</v>
      </c>
      <c r="UCZ324" s="26" t="s">
        <v>366</v>
      </c>
      <c r="UDA324" s="26" t="s">
        <v>366</v>
      </c>
      <c r="UDB324" s="26" t="s">
        <v>366</v>
      </c>
      <c r="UDC324" s="26" t="s">
        <v>366</v>
      </c>
      <c r="UDD324" s="26" t="s">
        <v>366</v>
      </c>
      <c r="UDE324" s="26" t="s">
        <v>366</v>
      </c>
      <c r="UDF324" s="26" t="s">
        <v>366</v>
      </c>
      <c r="UDG324" s="26" t="s">
        <v>366</v>
      </c>
      <c r="UDH324" s="26" t="s">
        <v>366</v>
      </c>
      <c r="UDI324" s="26" t="s">
        <v>366</v>
      </c>
      <c r="UDJ324" s="26" t="s">
        <v>366</v>
      </c>
      <c r="UDK324" s="26" t="s">
        <v>366</v>
      </c>
      <c r="UDL324" s="26" t="s">
        <v>366</v>
      </c>
      <c r="UDM324" s="26" t="s">
        <v>366</v>
      </c>
      <c r="UDN324" s="26" t="s">
        <v>366</v>
      </c>
      <c r="UDO324" s="26" t="s">
        <v>366</v>
      </c>
      <c r="UDP324" s="26" t="s">
        <v>366</v>
      </c>
      <c r="UDQ324" s="26" t="s">
        <v>366</v>
      </c>
      <c r="UDR324" s="26" t="s">
        <v>366</v>
      </c>
      <c r="UDS324" s="26" t="s">
        <v>366</v>
      </c>
      <c r="UDT324" s="26" t="s">
        <v>366</v>
      </c>
      <c r="UDU324" s="26" t="s">
        <v>366</v>
      </c>
      <c r="UDV324" s="26" t="s">
        <v>366</v>
      </c>
      <c r="UDW324" s="26" t="s">
        <v>366</v>
      </c>
      <c r="UDX324" s="26" t="s">
        <v>366</v>
      </c>
      <c r="UDY324" s="26" t="s">
        <v>366</v>
      </c>
      <c r="UDZ324" s="26" t="s">
        <v>366</v>
      </c>
      <c r="UEA324" s="26" t="s">
        <v>366</v>
      </c>
      <c r="UEB324" s="26" t="s">
        <v>366</v>
      </c>
      <c r="UEC324" s="26" t="s">
        <v>366</v>
      </c>
      <c r="UED324" s="26" t="s">
        <v>366</v>
      </c>
      <c r="UEE324" s="26" t="s">
        <v>366</v>
      </c>
      <c r="UEF324" s="26" t="s">
        <v>366</v>
      </c>
      <c r="UEG324" s="26" t="s">
        <v>366</v>
      </c>
      <c r="UEH324" s="26" t="s">
        <v>366</v>
      </c>
      <c r="UEI324" s="26" t="s">
        <v>366</v>
      </c>
      <c r="UEJ324" s="26" t="s">
        <v>366</v>
      </c>
      <c r="UEK324" s="26" t="s">
        <v>366</v>
      </c>
      <c r="UEL324" s="26" t="s">
        <v>366</v>
      </c>
      <c r="UEM324" s="26" t="s">
        <v>366</v>
      </c>
      <c r="UEN324" s="26" t="s">
        <v>366</v>
      </c>
      <c r="UEO324" s="26" t="s">
        <v>366</v>
      </c>
      <c r="UEP324" s="26" t="s">
        <v>366</v>
      </c>
      <c r="UEQ324" s="26" t="s">
        <v>366</v>
      </c>
      <c r="UER324" s="26" t="s">
        <v>366</v>
      </c>
      <c r="UES324" s="26" t="s">
        <v>366</v>
      </c>
      <c r="UET324" s="26" t="s">
        <v>366</v>
      </c>
      <c r="UEU324" s="26" t="s">
        <v>366</v>
      </c>
      <c r="UEV324" s="26" t="s">
        <v>366</v>
      </c>
      <c r="UEW324" s="26" t="s">
        <v>366</v>
      </c>
      <c r="UEX324" s="26" t="s">
        <v>366</v>
      </c>
      <c r="UEY324" s="26" t="s">
        <v>366</v>
      </c>
      <c r="UEZ324" s="26" t="s">
        <v>366</v>
      </c>
      <c r="UFA324" s="26" t="s">
        <v>366</v>
      </c>
      <c r="UFB324" s="26" t="s">
        <v>366</v>
      </c>
      <c r="UFC324" s="26" t="s">
        <v>366</v>
      </c>
      <c r="UFD324" s="26" t="s">
        <v>366</v>
      </c>
      <c r="UFE324" s="26" t="s">
        <v>366</v>
      </c>
      <c r="UFF324" s="26" t="s">
        <v>366</v>
      </c>
      <c r="UFG324" s="26" t="s">
        <v>366</v>
      </c>
      <c r="UFH324" s="26" t="s">
        <v>366</v>
      </c>
      <c r="UFI324" s="26" t="s">
        <v>366</v>
      </c>
      <c r="UFJ324" s="26" t="s">
        <v>366</v>
      </c>
      <c r="UFK324" s="26" t="s">
        <v>366</v>
      </c>
      <c r="UFL324" s="26" t="s">
        <v>366</v>
      </c>
      <c r="UFM324" s="26" t="s">
        <v>366</v>
      </c>
      <c r="UFN324" s="26" t="s">
        <v>366</v>
      </c>
      <c r="UFO324" s="26" t="s">
        <v>366</v>
      </c>
      <c r="UFP324" s="26" t="s">
        <v>366</v>
      </c>
      <c r="UFQ324" s="26" t="s">
        <v>366</v>
      </c>
      <c r="UFR324" s="26" t="s">
        <v>366</v>
      </c>
      <c r="UFS324" s="26" t="s">
        <v>366</v>
      </c>
      <c r="UFT324" s="26" t="s">
        <v>366</v>
      </c>
      <c r="UFU324" s="26" t="s">
        <v>366</v>
      </c>
      <c r="UFV324" s="26" t="s">
        <v>366</v>
      </c>
      <c r="UFW324" s="26" t="s">
        <v>366</v>
      </c>
      <c r="UFX324" s="26" t="s">
        <v>366</v>
      </c>
      <c r="UFY324" s="26" t="s">
        <v>366</v>
      </c>
      <c r="UFZ324" s="26" t="s">
        <v>366</v>
      </c>
      <c r="UGA324" s="26" t="s">
        <v>366</v>
      </c>
      <c r="UGB324" s="26" t="s">
        <v>366</v>
      </c>
      <c r="UGC324" s="26" t="s">
        <v>366</v>
      </c>
      <c r="UGD324" s="26" t="s">
        <v>366</v>
      </c>
      <c r="UGE324" s="26" t="s">
        <v>366</v>
      </c>
      <c r="UGF324" s="26" t="s">
        <v>366</v>
      </c>
      <c r="UGG324" s="26" t="s">
        <v>366</v>
      </c>
      <c r="UGH324" s="26" t="s">
        <v>366</v>
      </c>
      <c r="UGI324" s="26" t="s">
        <v>366</v>
      </c>
      <c r="UGJ324" s="26" t="s">
        <v>366</v>
      </c>
      <c r="UGK324" s="26" t="s">
        <v>366</v>
      </c>
      <c r="UGL324" s="26" t="s">
        <v>366</v>
      </c>
      <c r="UGM324" s="26" t="s">
        <v>366</v>
      </c>
      <c r="UGN324" s="26" t="s">
        <v>366</v>
      </c>
      <c r="UGO324" s="26" t="s">
        <v>366</v>
      </c>
      <c r="UGP324" s="26" t="s">
        <v>366</v>
      </c>
      <c r="UGQ324" s="26" t="s">
        <v>366</v>
      </c>
      <c r="UGR324" s="26" t="s">
        <v>366</v>
      </c>
      <c r="UGS324" s="26" t="s">
        <v>366</v>
      </c>
      <c r="UGT324" s="26" t="s">
        <v>366</v>
      </c>
      <c r="UGU324" s="26" t="s">
        <v>366</v>
      </c>
      <c r="UGV324" s="26" t="s">
        <v>366</v>
      </c>
      <c r="UGW324" s="26" t="s">
        <v>366</v>
      </c>
      <c r="UGX324" s="26" t="s">
        <v>366</v>
      </c>
      <c r="UGY324" s="26" t="s">
        <v>366</v>
      </c>
      <c r="UGZ324" s="26" t="s">
        <v>366</v>
      </c>
      <c r="UHA324" s="26" t="s">
        <v>366</v>
      </c>
      <c r="UHB324" s="26" t="s">
        <v>366</v>
      </c>
      <c r="UHC324" s="26" t="s">
        <v>366</v>
      </c>
      <c r="UHD324" s="26" t="s">
        <v>366</v>
      </c>
      <c r="UHE324" s="26" t="s">
        <v>366</v>
      </c>
      <c r="UHF324" s="26" t="s">
        <v>366</v>
      </c>
      <c r="UHG324" s="26" t="s">
        <v>366</v>
      </c>
      <c r="UHH324" s="26" t="s">
        <v>366</v>
      </c>
      <c r="UHI324" s="26" t="s">
        <v>366</v>
      </c>
      <c r="UHJ324" s="26" t="s">
        <v>366</v>
      </c>
      <c r="UHK324" s="26" t="s">
        <v>366</v>
      </c>
      <c r="UHL324" s="26" t="s">
        <v>366</v>
      </c>
      <c r="UHM324" s="26" t="s">
        <v>366</v>
      </c>
      <c r="UHN324" s="26" t="s">
        <v>366</v>
      </c>
      <c r="UHO324" s="26" t="s">
        <v>366</v>
      </c>
      <c r="UHP324" s="26" t="s">
        <v>366</v>
      </c>
      <c r="UHQ324" s="26" t="s">
        <v>366</v>
      </c>
      <c r="UHR324" s="26" t="s">
        <v>366</v>
      </c>
      <c r="UHS324" s="26" t="s">
        <v>366</v>
      </c>
      <c r="UHT324" s="26" t="s">
        <v>366</v>
      </c>
      <c r="UHU324" s="26" t="s">
        <v>366</v>
      </c>
      <c r="UHV324" s="26" t="s">
        <v>366</v>
      </c>
      <c r="UHW324" s="26" t="s">
        <v>366</v>
      </c>
      <c r="UHX324" s="26" t="s">
        <v>366</v>
      </c>
      <c r="UHY324" s="26" t="s">
        <v>366</v>
      </c>
      <c r="UHZ324" s="26" t="s">
        <v>366</v>
      </c>
      <c r="UIA324" s="26" t="s">
        <v>366</v>
      </c>
      <c r="UIB324" s="26" t="s">
        <v>366</v>
      </c>
      <c r="UIC324" s="26" t="s">
        <v>366</v>
      </c>
      <c r="UID324" s="26" t="s">
        <v>366</v>
      </c>
      <c r="UIE324" s="26" t="s">
        <v>366</v>
      </c>
      <c r="UIF324" s="26" t="s">
        <v>366</v>
      </c>
      <c r="UIG324" s="26" t="s">
        <v>366</v>
      </c>
      <c r="UIH324" s="26" t="s">
        <v>366</v>
      </c>
      <c r="UII324" s="26" t="s">
        <v>366</v>
      </c>
      <c r="UIJ324" s="26" t="s">
        <v>366</v>
      </c>
      <c r="UIK324" s="26" t="s">
        <v>366</v>
      </c>
      <c r="UIL324" s="26" t="s">
        <v>366</v>
      </c>
      <c r="UIM324" s="26" t="s">
        <v>366</v>
      </c>
      <c r="UIN324" s="26" t="s">
        <v>366</v>
      </c>
      <c r="UIO324" s="26" t="s">
        <v>366</v>
      </c>
      <c r="UIP324" s="26" t="s">
        <v>366</v>
      </c>
      <c r="UIQ324" s="26" t="s">
        <v>366</v>
      </c>
      <c r="UIR324" s="26" t="s">
        <v>366</v>
      </c>
      <c r="UIS324" s="26" t="s">
        <v>366</v>
      </c>
      <c r="UIT324" s="26" t="s">
        <v>366</v>
      </c>
      <c r="UIU324" s="26" t="s">
        <v>366</v>
      </c>
      <c r="UIV324" s="26" t="s">
        <v>366</v>
      </c>
      <c r="UIW324" s="26" t="s">
        <v>366</v>
      </c>
      <c r="UIX324" s="26" t="s">
        <v>366</v>
      </c>
      <c r="UIY324" s="26" t="s">
        <v>366</v>
      </c>
      <c r="UIZ324" s="26" t="s">
        <v>366</v>
      </c>
      <c r="UJA324" s="26" t="s">
        <v>366</v>
      </c>
      <c r="UJB324" s="26" t="s">
        <v>366</v>
      </c>
      <c r="UJC324" s="26" t="s">
        <v>366</v>
      </c>
      <c r="UJD324" s="26" t="s">
        <v>366</v>
      </c>
      <c r="UJE324" s="26" t="s">
        <v>366</v>
      </c>
      <c r="UJF324" s="26" t="s">
        <v>366</v>
      </c>
      <c r="UJG324" s="26" t="s">
        <v>366</v>
      </c>
      <c r="UJH324" s="26" t="s">
        <v>366</v>
      </c>
      <c r="UJI324" s="26" t="s">
        <v>366</v>
      </c>
      <c r="UJJ324" s="26" t="s">
        <v>366</v>
      </c>
      <c r="UJK324" s="26" t="s">
        <v>366</v>
      </c>
      <c r="UJL324" s="26" t="s">
        <v>366</v>
      </c>
      <c r="UJM324" s="26" t="s">
        <v>366</v>
      </c>
      <c r="UJN324" s="26" t="s">
        <v>366</v>
      </c>
      <c r="UJO324" s="26" t="s">
        <v>366</v>
      </c>
      <c r="UJP324" s="26" t="s">
        <v>366</v>
      </c>
      <c r="UJQ324" s="26" t="s">
        <v>366</v>
      </c>
      <c r="UJR324" s="26" t="s">
        <v>366</v>
      </c>
      <c r="UJS324" s="26" t="s">
        <v>366</v>
      </c>
      <c r="UJT324" s="26" t="s">
        <v>366</v>
      </c>
      <c r="UJU324" s="26" t="s">
        <v>366</v>
      </c>
      <c r="UJV324" s="26" t="s">
        <v>366</v>
      </c>
      <c r="UJW324" s="26" t="s">
        <v>366</v>
      </c>
      <c r="UJX324" s="26" t="s">
        <v>366</v>
      </c>
      <c r="UJY324" s="26" t="s">
        <v>366</v>
      </c>
      <c r="UJZ324" s="26" t="s">
        <v>366</v>
      </c>
      <c r="UKA324" s="26" t="s">
        <v>366</v>
      </c>
      <c r="UKB324" s="26" t="s">
        <v>366</v>
      </c>
      <c r="UKC324" s="26" t="s">
        <v>366</v>
      </c>
      <c r="UKD324" s="26" t="s">
        <v>366</v>
      </c>
      <c r="UKE324" s="26" t="s">
        <v>366</v>
      </c>
      <c r="UKF324" s="26" t="s">
        <v>366</v>
      </c>
      <c r="UKG324" s="26" t="s">
        <v>366</v>
      </c>
      <c r="UKH324" s="26" t="s">
        <v>366</v>
      </c>
      <c r="UKI324" s="26" t="s">
        <v>366</v>
      </c>
      <c r="UKJ324" s="26" t="s">
        <v>366</v>
      </c>
      <c r="UKK324" s="26" t="s">
        <v>366</v>
      </c>
      <c r="UKL324" s="26" t="s">
        <v>366</v>
      </c>
      <c r="UKM324" s="26" t="s">
        <v>366</v>
      </c>
      <c r="UKN324" s="26" t="s">
        <v>366</v>
      </c>
      <c r="UKO324" s="26" t="s">
        <v>366</v>
      </c>
      <c r="UKP324" s="26" t="s">
        <v>366</v>
      </c>
      <c r="UKQ324" s="26" t="s">
        <v>366</v>
      </c>
      <c r="UKR324" s="26" t="s">
        <v>366</v>
      </c>
      <c r="UKS324" s="26" t="s">
        <v>366</v>
      </c>
      <c r="UKT324" s="26" t="s">
        <v>366</v>
      </c>
      <c r="UKU324" s="26" t="s">
        <v>366</v>
      </c>
      <c r="UKV324" s="26" t="s">
        <v>366</v>
      </c>
      <c r="UKW324" s="26" t="s">
        <v>366</v>
      </c>
      <c r="UKX324" s="26" t="s">
        <v>366</v>
      </c>
      <c r="UKY324" s="26" t="s">
        <v>366</v>
      </c>
      <c r="UKZ324" s="26" t="s">
        <v>366</v>
      </c>
      <c r="ULA324" s="26" t="s">
        <v>366</v>
      </c>
      <c r="ULB324" s="26" t="s">
        <v>366</v>
      </c>
      <c r="ULC324" s="26" t="s">
        <v>366</v>
      </c>
      <c r="ULD324" s="26" t="s">
        <v>366</v>
      </c>
      <c r="ULE324" s="26" t="s">
        <v>366</v>
      </c>
      <c r="ULF324" s="26" t="s">
        <v>366</v>
      </c>
      <c r="ULG324" s="26" t="s">
        <v>366</v>
      </c>
      <c r="ULH324" s="26" t="s">
        <v>366</v>
      </c>
      <c r="ULI324" s="26" t="s">
        <v>366</v>
      </c>
      <c r="ULJ324" s="26" t="s">
        <v>366</v>
      </c>
      <c r="ULK324" s="26" t="s">
        <v>366</v>
      </c>
      <c r="ULL324" s="26" t="s">
        <v>366</v>
      </c>
      <c r="ULM324" s="26" t="s">
        <v>366</v>
      </c>
      <c r="ULN324" s="26" t="s">
        <v>366</v>
      </c>
      <c r="ULO324" s="26" t="s">
        <v>366</v>
      </c>
      <c r="ULP324" s="26" t="s">
        <v>366</v>
      </c>
      <c r="ULQ324" s="26" t="s">
        <v>366</v>
      </c>
      <c r="ULR324" s="26" t="s">
        <v>366</v>
      </c>
      <c r="ULS324" s="26" t="s">
        <v>366</v>
      </c>
      <c r="ULT324" s="26" t="s">
        <v>366</v>
      </c>
      <c r="ULU324" s="26" t="s">
        <v>366</v>
      </c>
      <c r="ULV324" s="26" t="s">
        <v>366</v>
      </c>
      <c r="ULW324" s="26" t="s">
        <v>366</v>
      </c>
      <c r="ULX324" s="26" t="s">
        <v>366</v>
      </c>
      <c r="ULY324" s="26" t="s">
        <v>366</v>
      </c>
      <c r="ULZ324" s="26" t="s">
        <v>366</v>
      </c>
      <c r="UMA324" s="26" t="s">
        <v>366</v>
      </c>
      <c r="UMB324" s="26" t="s">
        <v>366</v>
      </c>
      <c r="UMC324" s="26" t="s">
        <v>366</v>
      </c>
      <c r="UMD324" s="26" t="s">
        <v>366</v>
      </c>
      <c r="UME324" s="26" t="s">
        <v>366</v>
      </c>
      <c r="UMF324" s="26" t="s">
        <v>366</v>
      </c>
      <c r="UMG324" s="26" t="s">
        <v>366</v>
      </c>
      <c r="UMH324" s="26" t="s">
        <v>366</v>
      </c>
      <c r="UMI324" s="26" t="s">
        <v>366</v>
      </c>
      <c r="UMJ324" s="26" t="s">
        <v>366</v>
      </c>
      <c r="UMK324" s="26" t="s">
        <v>366</v>
      </c>
      <c r="UML324" s="26" t="s">
        <v>366</v>
      </c>
      <c r="UMM324" s="26" t="s">
        <v>366</v>
      </c>
      <c r="UMN324" s="26" t="s">
        <v>366</v>
      </c>
      <c r="UMO324" s="26" t="s">
        <v>366</v>
      </c>
      <c r="UMP324" s="26" t="s">
        <v>366</v>
      </c>
      <c r="UMQ324" s="26" t="s">
        <v>366</v>
      </c>
      <c r="UMR324" s="26" t="s">
        <v>366</v>
      </c>
      <c r="UMS324" s="26" t="s">
        <v>366</v>
      </c>
      <c r="UMT324" s="26" t="s">
        <v>366</v>
      </c>
      <c r="UMU324" s="26" t="s">
        <v>366</v>
      </c>
      <c r="UMV324" s="26" t="s">
        <v>366</v>
      </c>
      <c r="UMW324" s="26" t="s">
        <v>366</v>
      </c>
      <c r="UMX324" s="26" t="s">
        <v>366</v>
      </c>
      <c r="UMY324" s="26" t="s">
        <v>366</v>
      </c>
      <c r="UMZ324" s="26" t="s">
        <v>366</v>
      </c>
      <c r="UNA324" s="26" t="s">
        <v>366</v>
      </c>
      <c r="UNB324" s="26" t="s">
        <v>366</v>
      </c>
      <c r="UNC324" s="26" t="s">
        <v>366</v>
      </c>
      <c r="UND324" s="26" t="s">
        <v>366</v>
      </c>
      <c r="UNE324" s="26" t="s">
        <v>366</v>
      </c>
      <c r="UNF324" s="26" t="s">
        <v>366</v>
      </c>
      <c r="UNG324" s="26" t="s">
        <v>366</v>
      </c>
      <c r="UNH324" s="26" t="s">
        <v>366</v>
      </c>
      <c r="UNI324" s="26" t="s">
        <v>366</v>
      </c>
      <c r="UNJ324" s="26" t="s">
        <v>366</v>
      </c>
      <c r="UNK324" s="26" t="s">
        <v>366</v>
      </c>
      <c r="UNL324" s="26" t="s">
        <v>366</v>
      </c>
      <c r="UNM324" s="26" t="s">
        <v>366</v>
      </c>
      <c r="UNN324" s="26" t="s">
        <v>366</v>
      </c>
      <c r="UNO324" s="26" t="s">
        <v>366</v>
      </c>
      <c r="UNP324" s="26" t="s">
        <v>366</v>
      </c>
      <c r="UNQ324" s="26" t="s">
        <v>366</v>
      </c>
      <c r="UNR324" s="26" t="s">
        <v>366</v>
      </c>
      <c r="UNS324" s="26" t="s">
        <v>366</v>
      </c>
      <c r="UNT324" s="26" t="s">
        <v>366</v>
      </c>
      <c r="UNU324" s="26" t="s">
        <v>366</v>
      </c>
      <c r="UNV324" s="26" t="s">
        <v>366</v>
      </c>
      <c r="UNW324" s="26" t="s">
        <v>366</v>
      </c>
      <c r="UNX324" s="26" t="s">
        <v>366</v>
      </c>
      <c r="UNY324" s="26" t="s">
        <v>366</v>
      </c>
      <c r="UNZ324" s="26" t="s">
        <v>366</v>
      </c>
      <c r="UOA324" s="26" t="s">
        <v>366</v>
      </c>
      <c r="UOB324" s="26" t="s">
        <v>366</v>
      </c>
      <c r="UOC324" s="26" t="s">
        <v>366</v>
      </c>
      <c r="UOD324" s="26" t="s">
        <v>366</v>
      </c>
      <c r="UOE324" s="26" t="s">
        <v>366</v>
      </c>
      <c r="UOF324" s="26" t="s">
        <v>366</v>
      </c>
      <c r="UOG324" s="26" t="s">
        <v>366</v>
      </c>
      <c r="UOH324" s="26" t="s">
        <v>366</v>
      </c>
      <c r="UOI324" s="26" t="s">
        <v>366</v>
      </c>
      <c r="UOJ324" s="26" t="s">
        <v>366</v>
      </c>
      <c r="UOK324" s="26" t="s">
        <v>366</v>
      </c>
      <c r="UOL324" s="26" t="s">
        <v>366</v>
      </c>
      <c r="UOM324" s="26" t="s">
        <v>366</v>
      </c>
      <c r="UON324" s="26" t="s">
        <v>366</v>
      </c>
      <c r="UOO324" s="26" t="s">
        <v>366</v>
      </c>
      <c r="UOP324" s="26" t="s">
        <v>366</v>
      </c>
      <c r="UOQ324" s="26" t="s">
        <v>366</v>
      </c>
      <c r="UOR324" s="26" t="s">
        <v>366</v>
      </c>
      <c r="UOS324" s="26" t="s">
        <v>366</v>
      </c>
      <c r="UOT324" s="26" t="s">
        <v>366</v>
      </c>
      <c r="UOU324" s="26" t="s">
        <v>366</v>
      </c>
      <c r="UOV324" s="26" t="s">
        <v>366</v>
      </c>
      <c r="UOW324" s="26" t="s">
        <v>366</v>
      </c>
      <c r="UOX324" s="26" t="s">
        <v>366</v>
      </c>
      <c r="UOY324" s="26" t="s">
        <v>366</v>
      </c>
      <c r="UOZ324" s="26" t="s">
        <v>366</v>
      </c>
      <c r="UPA324" s="26" t="s">
        <v>366</v>
      </c>
      <c r="UPB324" s="26" t="s">
        <v>366</v>
      </c>
      <c r="UPC324" s="26" t="s">
        <v>366</v>
      </c>
      <c r="UPD324" s="26" t="s">
        <v>366</v>
      </c>
      <c r="UPE324" s="26" t="s">
        <v>366</v>
      </c>
      <c r="UPF324" s="26" t="s">
        <v>366</v>
      </c>
      <c r="UPG324" s="26" t="s">
        <v>366</v>
      </c>
      <c r="UPH324" s="26" t="s">
        <v>366</v>
      </c>
      <c r="UPI324" s="26" t="s">
        <v>366</v>
      </c>
      <c r="UPJ324" s="26" t="s">
        <v>366</v>
      </c>
      <c r="UPK324" s="26" t="s">
        <v>366</v>
      </c>
      <c r="UPL324" s="26" t="s">
        <v>366</v>
      </c>
      <c r="UPM324" s="26" t="s">
        <v>366</v>
      </c>
      <c r="UPN324" s="26" t="s">
        <v>366</v>
      </c>
      <c r="UPO324" s="26" t="s">
        <v>366</v>
      </c>
      <c r="UPP324" s="26" t="s">
        <v>366</v>
      </c>
      <c r="UPQ324" s="26" t="s">
        <v>366</v>
      </c>
      <c r="UPR324" s="26" t="s">
        <v>366</v>
      </c>
      <c r="UPS324" s="26" t="s">
        <v>366</v>
      </c>
      <c r="UPT324" s="26" t="s">
        <v>366</v>
      </c>
      <c r="UPU324" s="26" t="s">
        <v>366</v>
      </c>
      <c r="UPV324" s="26" t="s">
        <v>366</v>
      </c>
      <c r="UPW324" s="26" t="s">
        <v>366</v>
      </c>
      <c r="UPX324" s="26" t="s">
        <v>366</v>
      </c>
      <c r="UPY324" s="26" t="s">
        <v>366</v>
      </c>
      <c r="UPZ324" s="26" t="s">
        <v>366</v>
      </c>
      <c r="UQA324" s="26" t="s">
        <v>366</v>
      </c>
      <c r="UQB324" s="26" t="s">
        <v>366</v>
      </c>
      <c r="UQC324" s="26" t="s">
        <v>366</v>
      </c>
      <c r="UQD324" s="26" t="s">
        <v>366</v>
      </c>
      <c r="UQE324" s="26" t="s">
        <v>366</v>
      </c>
      <c r="UQF324" s="26" t="s">
        <v>366</v>
      </c>
      <c r="UQG324" s="26" t="s">
        <v>366</v>
      </c>
      <c r="UQH324" s="26" t="s">
        <v>366</v>
      </c>
      <c r="UQI324" s="26" t="s">
        <v>366</v>
      </c>
      <c r="UQJ324" s="26" t="s">
        <v>366</v>
      </c>
      <c r="UQK324" s="26" t="s">
        <v>366</v>
      </c>
      <c r="UQL324" s="26" t="s">
        <v>366</v>
      </c>
      <c r="UQM324" s="26" t="s">
        <v>366</v>
      </c>
      <c r="UQN324" s="26" t="s">
        <v>366</v>
      </c>
      <c r="UQO324" s="26" t="s">
        <v>366</v>
      </c>
      <c r="UQP324" s="26" t="s">
        <v>366</v>
      </c>
      <c r="UQQ324" s="26" t="s">
        <v>366</v>
      </c>
      <c r="UQR324" s="26" t="s">
        <v>366</v>
      </c>
      <c r="UQS324" s="26" t="s">
        <v>366</v>
      </c>
      <c r="UQT324" s="26" t="s">
        <v>366</v>
      </c>
      <c r="UQU324" s="26" t="s">
        <v>366</v>
      </c>
      <c r="UQV324" s="26" t="s">
        <v>366</v>
      </c>
      <c r="UQW324" s="26" t="s">
        <v>366</v>
      </c>
      <c r="UQX324" s="26" t="s">
        <v>366</v>
      </c>
      <c r="UQY324" s="26" t="s">
        <v>366</v>
      </c>
      <c r="UQZ324" s="26" t="s">
        <v>366</v>
      </c>
      <c r="URA324" s="26" t="s">
        <v>366</v>
      </c>
      <c r="URB324" s="26" t="s">
        <v>366</v>
      </c>
      <c r="URC324" s="26" t="s">
        <v>366</v>
      </c>
      <c r="URD324" s="26" t="s">
        <v>366</v>
      </c>
      <c r="URE324" s="26" t="s">
        <v>366</v>
      </c>
      <c r="URF324" s="26" t="s">
        <v>366</v>
      </c>
      <c r="URG324" s="26" t="s">
        <v>366</v>
      </c>
      <c r="URH324" s="26" t="s">
        <v>366</v>
      </c>
      <c r="URI324" s="26" t="s">
        <v>366</v>
      </c>
      <c r="URJ324" s="26" t="s">
        <v>366</v>
      </c>
      <c r="URK324" s="26" t="s">
        <v>366</v>
      </c>
      <c r="URL324" s="26" t="s">
        <v>366</v>
      </c>
      <c r="URM324" s="26" t="s">
        <v>366</v>
      </c>
      <c r="URN324" s="26" t="s">
        <v>366</v>
      </c>
      <c r="URO324" s="26" t="s">
        <v>366</v>
      </c>
      <c r="URP324" s="26" t="s">
        <v>366</v>
      </c>
      <c r="URQ324" s="26" t="s">
        <v>366</v>
      </c>
      <c r="URR324" s="26" t="s">
        <v>366</v>
      </c>
      <c r="URS324" s="26" t="s">
        <v>366</v>
      </c>
      <c r="URT324" s="26" t="s">
        <v>366</v>
      </c>
      <c r="URU324" s="26" t="s">
        <v>366</v>
      </c>
      <c r="URV324" s="26" t="s">
        <v>366</v>
      </c>
      <c r="URW324" s="26" t="s">
        <v>366</v>
      </c>
      <c r="URX324" s="26" t="s">
        <v>366</v>
      </c>
      <c r="URY324" s="26" t="s">
        <v>366</v>
      </c>
      <c r="URZ324" s="26" t="s">
        <v>366</v>
      </c>
      <c r="USA324" s="26" t="s">
        <v>366</v>
      </c>
      <c r="USB324" s="26" t="s">
        <v>366</v>
      </c>
      <c r="USC324" s="26" t="s">
        <v>366</v>
      </c>
      <c r="USD324" s="26" t="s">
        <v>366</v>
      </c>
      <c r="USE324" s="26" t="s">
        <v>366</v>
      </c>
      <c r="USF324" s="26" t="s">
        <v>366</v>
      </c>
      <c r="USG324" s="26" t="s">
        <v>366</v>
      </c>
      <c r="USH324" s="26" t="s">
        <v>366</v>
      </c>
      <c r="USI324" s="26" t="s">
        <v>366</v>
      </c>
      <c r="USJ324" s="26" t="s">
        <v>366</v>
      </c>
      <c r="USK324" s="26" t="s">
        <v>366</v>
      </c>
      <c r="USL324" s="26" t="s">
        <v>366</v>
      </c>
      <c r="USM324" s="26" t="s">
        <v>366</v>
      </c>
      <c r="USN324" s="26" t="s">
        <v>366</v>
      </c>
      <c r="USO324" s="26" t="s">
        <v>366</v>
      </c>
      <c r="USP324" s="26" t="s">
        <v>366</v>
      </c>
      <c r="USQ324" s="26" t="s">
        <v>366</v>
      </c>
      <c r="USR324" s="26" t="s">
        <v>366</v>
      </c>
      <c r="USS324" s="26" t="s">
        <v>366</v>
      </c>
      <c r="UST324" s="26" t="s">
        <v>366</v>
      </c>
      <c r="USU324" s="26" t="s">
        <v>366</v>
      </c>
      <c r="USV324" s="26" t="s">
        <v>366</v>
      </c>
      <c r="USW324" s="26" t="s">
        <v>366</v>
      </c>
      <c r="USX324" s="26" t="s">
        <v>366</v>
      </c>
      <c r="USY324" s="26" t="s">
        <v>366</v>
      </c>
      <c r="USZ324" s="26" t="s">
        <v>366</v>
      </c>
      <c r="UTA324" s="26" t="s">
        <v>366</v>
      </c>
      <c r="UTB324" s="26" t="s">
        <v>366</v>
      </c>
      <c r="UTC324" s="26" t="s">
        <v>366</v>
      </c>
      <c r="UTD324" s="26" t="s">
        <v>366</v>
      </c>
      <c r="UTE324" s="26" t="s">
        <v>366</v>
      </c>
      <c r="UTF324" s="26" t="s">
        <v>366</v>
      </c>
      <c r="UTG324" s="26" t="s">
        <v>366</v>
      </c>
      <c r="UTH324" s="26" t="s">
        <v>366</v>
      </c>
      <c r="UTI324" s="26" t="s">
        <v>366</v>
      </c>
      <c r="UTJ324" s="26" t="s">
        <v>366</v>
      </c>
      <c r="UTK324" s="26" t="s">
        <v>366</v>
      </c>
      <c r="UTL324" s="26" t="s">
        <v>366</v>
      </c>
      <c r="UTM324" s="26" t="s">
        <v>366</v>
      </c>
      <c r="UTN324" s="26" t="s">
        <v>366</v>
      </c>
      <c r="UTO324" s="26" t="s">
        <v>366</v>
      </c>
      <c r="UTP324" s="26" t="s">
        <v>366</v>
      </c>
      <c r="UTQ324" s="26" t="s">
        <v>366</v>
      </c>
      <c r="UTR324" s="26" t="s">
        <v>366</v>
      </c>
      <c r="UTS324" s="26" t="s">
        <v>366</v>
      </c>
      <c r="UTT324" s="26" t="s">
        <v>366</v>
      </c>
      <c r="UTU324" s="26" t="s">
        <v>366</v>
      </c>
      <c r="UTV324" s="26" t="s">
        <v>366</v>
      </c>
      <c r="UTW324" s="26" t="s">
        <v>366</v>
      </c>
      <c r="UTX324" s="26" t="s">
        <v>366</v>
      </c>
      <c r="UTY324" s="26" t="s">
        <v>366</v>
      </c>
      <c r="UTZ324" s="26" t="s">
        <v>366</v>
      </c>
      <c r="UUA324" s="26" t="s">
        <v>366</v>
      </c>
      <c r="UUB324" s="26" t="s">
        <v>366</v>
      </c>
      <c r="UUC324" s="26" t="s">
        <v>366</v>
      </c>
      <c r="UUD324" s="26" t="s">
        <v>366</v>
      </c>
      <c r="UUE324" s="26" t="s">
        <v>366</v>
      </c>
      <c r="UUF324" s="26" t="s">
        <v>366</v>
      </c>
      <c r="UUG324" s="26" t="s">
        <v>366</v>
      </c>
      <c r="UUH324" s="26" t="s">
        <v>366</v>
      </c>
      <c r="UUI324" s="26" t="s">
        <v>366</v>
      </c>
      <c r="UUJ324" s="26" t="s">
        <v>366</v>
      </c>
      <c r="UUK324" s="26" t="s">
        <v>366</v>
      </c>
      <c r="UUL324" s="26" t="s">
        <v>366</v>
      </c>
      <c r="UUM324" s="26" t="s">
        <v>366</v>
      </c>
      <c r="UUN324" s="26" t="s">
        <v>366</v>
      </c>
      <c r="UUO324" s="26" t="s">
        <v>366</v>
      </c>
      <c r="UUP324" s="26" t="s">
        <v>366</v>
      </c>
      <c r="UUQ324" s="26" t="s">
        <v>366</v>
      </c>
      <c r="UUR324" s="26" t="s">
        <v>366</v>
      </c>
      <c r="UUS324" s="26" t="s">
        <v>366</v>
      </c>
      <c r="UUT324" s="26" t="s">
        <v>366</v>
      </c>
      <c r="UUU324" s="26" t="s">
        <v>366</v>
      </c>
      <c r="UUV324" s="26" t="s">
        <v>366</v>
      </c>
      <c r="UUW324" s="26" t="s">
        <v>366</v>
      </c>
      <c r="UUX324" s="26" t="s">
        <v>366</v>
      </c>
      <c r="UUY324" s="26" t="s">
        <v>366</v>
      </c>
      <c r="UUZ324" s="26" t="s">
        <v>366</v>
      </c>
      <c r="UVA324" s="26" t="s">
        <v>366</v>
      </c>
      <c r="UVB324" s="26" t="s">
        <v>366</v>
      </c>
      <c r="UVC324" s="26" t="s">
        <v>366</v>
      </c>
      <c r="UVD324" s="26" t="s">
        <v>366</v>
      </c>
      <c r="UVE324" s="26" t="s">
        <v>366</v>
      </c>
      <c r="UVF324" s="26" t="s">
        <v>366</v>
      </c>
      <c r="UVG324" s="26" t="s">
        <v>366</v>
      </c>
      <c r="UVH324" s="26" t="s">
        <v>366</v>
      </c>
      <c r="UVI324" s="26" t="s">
        <v>366</v>
      </c>
      <c r="UVJ324" s="26" t="s">
        <v>366</v>
      </c>
      <c r="UVK324" s="26" t="s">
        <v>366</v>
      </c>
      <c r="UVL324" s="26" t="s">
        <v>366</v>
      </c>
      <c r="UVM324" s="26" t="s">
        <v>366</v>
      </c>
      <c r="UVN324" s="26" t="s">
        <v>366</v>
      </c>
      <c r="UVO324" s="26" t="s">
        <v>366</v>
      </c>
      <c r="UVP324" s="26" t="s">
        <v>366</v>
      </c>
      <c r="UVQ324" s="26" t="s">
        <v>366</v>
      </c>
      <c r="UVR324" s="26" t="s">
        <v>366</v>
      </c>
      <c r="UVS324" s="26" t="s">
        <v>366</v>
      </c>
      <c r="UVT324" s="26" t="s">
        <v>366</v>
      </c>
      <c r="UVU324" s="26" t="s">
        <v>366</v>
      </c>
      <c r="UVV324" s="26" t="s">
        <v>366</v>
      </c>
      <c r="UVW324" s="26" t="s">
        <v>366</v>
      </c>
      <c r="UVX324" s="26" t="s">
        <v>366</v>
      </c>
      <c r="UVY324" s="26" t="s">
        <v>366</v>
      </c>
      <c r="UVZ324" s="26" t="s">
        <v>366</v>
      </c>
      <c r="UWA324" s="26" t="s">
        <v>366</v>
      </c>
      <c r="UWB324" s="26" t="s">
        <v>366</v>
      </c>
      <c r="UWC324" s="26" t="s">
        <v>366</v>
      </c>
      <c r="UWD324" s="26" t="s">
        <v>366</v>
      </c>
      <c r="UWE324" s="26" t="s">
        <v>366</v>
      </c>
      <c r="UWF324" s="26" t="s">
        <v>366</v>
      </c>
      <c r="UWG324" s="26" t="s">
        <v>366</v>
      </c>
      <c r="UWH324" s="26" t="s">
        <v>366</v>
      </c>
      <c r="UWI324" s="26" t="s">
        <v>366</v>
      </c>
      <c r="UWJ324" s="26" t="s">
        <v>366</v>
      </c>
      <c r="UWK324" s="26" t="s">
        <v>366</v>
      </c>
      <c r="UWL324" s="26" t="s">
        <v>366</v>
      </c>
      <c r="UWM324" s="26" t="s">
        <v>366</v>
      </c>
      <c r="UWN324" s="26" t="s">
        <v>366</v>
      </c>
      <c r="UWO324" s="26" t="s">
        <v>366</v>
      </c>
      <c r="UWP324" s="26" t="s">
        <v>366</v>
      </c>
      <c r="UWQ324" s="26" t="s">
        <v>366</v>
      </c>
      <c r="UWR324" s="26" t="s">
        <v>366</v>
      </c>
      <c r="UWS324" s="26" t="s">
        <v>366</v>
      </c>
      <c r="UWT324" s="26" t="s">
        <v>366</v>
      </c>
      <c r="UWU324" s="26" t="s">
        <v>366</v>
      </c>
      <c r="UWV324" s="26" t="s">
        <v>366</v>
      </c>
      <c r="UWW324" s="26" t="s">
        <v>366</v>
      </c>
      <c r="UWX324" s="26" t="s">
        <v>366</v>
      </c>
      <c r="UWY324" s="26" t="s">
        <v>366</v>
      </c>
      <c r="UWZ324" s="26" t="s">
        <v>366</v>
      </c>
      <c r="UXA324" s="26" t="s">
        <v>366</v>
      </c>
      <c r="UXB324" s="26" t="s">
        <v>366</v>
      </c>
      <c r="UXC324" s="26" t="s">
        <v>366</v>
      </c>
      <c r="UXD324" s="26" t="s">
        <v>366</v>
      </c>
      <c r="UXE324" s="26" t="s">
        <v>366</v>
      </c>
      <c r="UXF324" s="26" t="s">
        <v>366</v>
      </c>
      <c r="UXG324" s="26" t="s">
        <v>366</v>
      </c>
      <c r="UXH324" s="26" t="s">
        <v>366</v>
      </c>
      <c r="UXI324" s="26" t="s">
        <v>366</v>
      </c>
      <c r="UXJ324" s="26" t="s">
        <v>366</v>
      </c>
      <c r="UXK324" s="26" t="s">
        <v>366</v>
      </c>
      <c r="UXL324" s="26" t="s">
        <v>366</v>
      </c>
      <c r="UXM324" s="26" t="s">
        <v>366</v>
      </c>
      <c r="UXN324" s="26" t="s">
        <v>366</v>
      </c>
      <c r="UXO324" s="26" t="s">
        <v>366</v>
      </c>
      <c r="UXP324" s="26" t="s">
        <v>366</v>
      </c>
      <c r="UXQ324" s="26" t="s">
        <v>366</v>
      </c>
      <c r="UXR324" s="26" t="s">
        <v>366</v>
      </c>
      <c r="UXS324" s="26" t="s">
        <v>366</v>
      </c>
      <c r="UXT324" s="26" t="s">
        <v>366</v>
      </c>
      <c r="UXU324" s="26" t="s">
        <v>366</v>
      </c>
      <c r="UXV324" s="26" t="s">
        <v>366</v>
      </c>
      <c r="UXW324" s="26" t="s">
        <v>366</v>
      </c>
      <c r="UXX324" s="26" t="s">
        <v>366</v>
      </c>
      <c r="UXY324" s="26" t="s">
        <v>366</v>
      </c>
      <c r="UXZ324" s="26" t="s">
        <v>366</v>
      </c>
      <c r="UYA324" s="26" t="s">
        <v>366</v>
      </c>
      <c r="UYB324" s="26" t="s">
        <v>366</v>
      </c>
      <c r="UYC324" s="26" t="s">
        <v>366</v>
      </c>
      <c r="UYD324" s="26" t="s">
        <v>366</v>
      </c>
      <c r="UYE324" s="26" t="s">
        <v>366</v>
      </c>
      <c r="UYF324" s="26" t="s">
        <v>366</v>
      </c>
      <c r="UYG324" s="26" t="s">
        <v>366</v>
      </c>
      <c r="UYH324" s="26" t="s">
        <v>366</v>
      </c>
      <c r="UYI324" s="26" t="s">
        <v>366</v>
      </c>
      <c r="UYJ324" s="26" t="s">
        <v>366</v>
      </c>
      <c r="UYK324" s="26" t="s">
        <v>366</v>
      </c>
      <c r="UYL324" s="26" t="s">
        <v>366</v>
      </c>
      <c r="UYM324" s="26" t="s">
        <v>366</v>
      </c>
      <c r="UYN324" s="26" t="s">
        <v>366</v>
      </c>
      <c r="UYO324" s="26" t="s">
        <v>366</v>
      </c>
      <c r="UYP324" s="26" t="s">
        <v>366</v>
      </c>
      <c r="UYQ324" s="26" t="s">
        <v>366</v>
      </c>
      <c r="UYR324" s="26" t="s">
        <v>366</v>
      </c>
      <c r="UYS324" s="26" t="s">
        <v>366</v>
      </c>
      <c r="UYT324" s="26" t="s">
        <v>366</v>
      </c>
      <c r="UYU324" s="26" t="s">
        <v>366</v>
      </c>
      <c r="UYV324" s="26" t="s">
        <v>366</v>
      </c>
      <c r="UYW324" s="26" t="s">
        <v>366</v>
      </c>
      <c r="UYX324" s="26" t="s">
        <v>366</v>
      </c>
      <c r="UYY324" s="26" t="s">
        <v>366</v>
      </c>
      <c r="UYZ324" s="26" t="s">
        <v>366</v>
      </c>
      <c r="UZA324" s="26" t="s">
        <v>366</v>
      </c>
      <c r="UZB324" s="26" t="s">
        <v>366</v>
      </c>
      <c r="UZC324" s="26" t="s">
        <v>366</v>
      </c>
      <c r="UZD324" s="26" t="s">
        <v>366</v>
      </c>
      <c r="UZE324" s="26" t="s">
        <v>366</v>
      </c>
      <c r="UZF324" s="26" t="s">
        <v>366</v>
      </c>
      <c r="UZG324" s="26" t="s">
        <v>366</v>
      </c>
      <c r="UZH324" s="26" t="s">
        <v>366</v>
      </c>
      <c r="UZI324" s="26" t="s">
        <v>366</v>
      </c>
      <c r="UZJ324" s="26" t="s">
        <v>366</v>
      </c>
      <c r="UZK324" s="26" t="s">
        <v>366</v>
      </c>
      <c r="UZL324" s="26" t="s">
        <v>366</v>
      </c>
      <c r="UZM324" s="26" t="s">
        <v>366</v>
      </c>
      <c r="UZN324" s="26" t="s">
        <v>366</v>
      </c>
      <c r="UZO324" s="26" t="s">
        <v>366</v>
      </c>
      <c r="UZP324" s="26" t="s">
        <v>366</v>
      </c>
      <c r="UZQ324" s="26" t="s">
        <v>366</v>
      </c>
      <c r="UZR324" s="26" t="s">
        <v>366</v>
      </c>
      <c r="UZS324" s="26" t="s">
        <v>366</v>
      </c>
      <c r="UZT324" s="26" t="s">
        <v>366</v>
      </c>
      <c r="UZU324" s="26" t="s">
        <v>366</v>
      </c>
      <c r="UZV324" s="26" t="s">
        <v>366</v>
      </c>
      <c r="UZW324" s="26" t="s">
        <v>366</v>
      </c>
      <c r="UZX324" s="26" t="s">
        <v>366</v>
      </c>
      <c r="UZY324" s="26" t="s">
        <v>366</v>
      </c>
      <c r="UZZ324" s="26" t="s">
        <v>366</v>
      </c>
      <c r="VAA324" s="26" t="s">
        <v>366</v>
      </c>
      <c r="VAB324" s="26" t="s">
        <v>366</v>
      </c>
      <c r="VAC324" s="26" t="s">
        <v>366</v>
      </c>
      <c r="VAD324" s="26" t="s">
        <v>366</v>
      </c>
      <c r="VAE324" s="26" t="s">
        <v>366</v>
      </c>
      <c r="VAF324" s="26" t="s">
        <v>366</v>
      </c>
      <c r="VAG324" s="26" t="s">
        <v>366</v>
      </c>
      <c r="VAH324" s="26" t="s">
        <v>366</v>
      </c>
      <c r="VAI324" s="26" t="s">
        <v>366</v>
      </c>
      <c r="VAJ324" s="26" t="s">
        <v>366</v>
      </c>
      <c r="VAK324" s="26" t="s">
        <v>366</v>
      </c>
      <c r="VAL324" s="26" t="s">
        <v>366</v>
      </c>
      <c r="VAM324" s="26" t="s">
        <v>366</v>
      </c>
      <c r="VAN324" s="26" t="s">
        <v>366</v>
      </c>
      <c r="VAO324" s="26" t="s">
        <v>366</v>
      </c>
      <c r="VAP324" s="26" t="s">
        <v>366</v>
      </c>
      <c r="VAQ324" s="26" t="s">
        <v>366</v>
      </c>
      <c r="VAR324" s="26" t="s">
        <v>366</v>
      </c>
      <c r="VAS324" s="26" t="s">
        <v>366</v>
      </c>
      <c r="VAT324" s="26" t="s">
        <v>366</v>
      </c>
      <c r="VAU324" s="26" t="s">
        <v>366</v>
      </c>
      <c r="VAV324" s="26" t="s">
        <v>366</v>
      </c>
      <c r="VAW324" s="26" t="s">
        <v>366</v>
      </c>
      <c r="VAX324" s="26" t="s">
        <v>366</v>
      </c>
      <c r="VAY324" s="26" t="s">
        <v>366</v>
      </c>
      <c r="VAZ324" s="26" t="s">
        <v>366</v>
      </c>
      <c r="VBA324" s="26" t="s">
        <v>366</v>
      </c>
      <c r="VBB324" s="26" t="s">
        <v>366</v>
      </c>
      <c r="VBC324" s="26" t="s">
        <v>366</v>
      </c>
      <c r="VBD324" s="26" t="s">
        <v>366</v>
      </c>
      <c r="VBE324" s="26" t="s">
        <v>366</v>
      </c>
      <c r="VBF324" s="26" t="s">
        <v>366</v>
      </c>
      <c r="VBG324" s="26" t="s">
        <v>366</v>
      </c>
      <c r="VBH324" s="26" t="s">
        <v>366</v>
      </c>
      <c r="VBI324" s="26" t="s">
        <v>366</v>
      </c>
      <c r="VBJ324" s="26" t="s">
        <v>366</v>
      </c>
      <c r="VBK324" s="26" t="s">
        <v>366</v>
      </c>
      <c r="VBL324" s="26" t="s">
        <v>366</v>
      </c>
      <c r="VBM324" s="26" t="s">
        <v>366</v>
      </c>
      <c r="VBN324" s="26" t="s">
        <v>366</v>
      </c>
      <c r="VBO324" s="26" t="s">
        <v>366</v>
      </c>
      <c r="VBP324" s="26" t="s">
        <v>366</v>
      </c>
      <c r="VBQ324" s="26" t="s">
        <v>366</v>
      </c>
      <c r="VBR324" s="26" t="s">
        <v>366</v>
      </c>
      <c r="VBS324" s="26" t="s">
        <v>366</v>
      </c>
      <c r="VBT324" s="26" t="s">
        <v>366</v>
      </c>
      <c r="VBU324" s="26" t="s">
        <v>366</v>
      </c>
      <c r="VBV324" s="26" t="s">
        <v>366</v>
      </c>
      <c r="VBW324" s="26" t="s">
        <v>366</v>
      </c>
      <c r="VBX324" s="26" t="s">
        <v>366</v>
      </c>
      <c r="VBY324" s="26" t="s">
        <v>366</v>
      </c>
      <c r="VBZ324" s="26" t="s">
        <v>366</v>
      </c>
      <c r="VCA324" s="26" t="s">
        <v>366</v>
      </c>
      <c r="VCB324" s="26" t="s">
        <v>366</v>
      </c>
      <c r="VCC324" s="26" t="s">
        <v>366</v>
      </c>
      <c r="VCD324" s="26" t="s">
        <v>366</v>
      </c>
      <c r="VCE324" s="26" t="s">
        <v>366</v>
      </c>
      <c r="VCF324" s="26" t="s">
        <v>366</v>
      </c>
      <c r="VCG324" s="26" t="s">
        <v>366</v>
      </c>
      <c r="VCH324" s="26" t="s">
        <v>366</v>
      </c>
      <c r="VCI324" s="26" t="s">
        <v>366</v>
      </c>
      <c r="VCJ324" s="26" t="s">
        <v>366</v>
      </c>
      <c r="VCK324" s="26" t="s">
        <v>366</v>
      </c>
      <c r="VCL324" s="26" t="s">
        <v>366</v>
      </c>
      <c r="VCM324" s="26" t="s">
        <v>366</v>
      </c>
      <c r="VCN324" s="26" t="s">
        <v>366</v>
      </c>
      <c r="VCO324" s="26" t="s">
        <v>366</v>
      </c>
      <c r="VCP324" s="26" t="s">
        <v>366</v>
      </c>
      <c r="VCQ324" s="26" t="s">
        <v>366</v>
      </c>
      <c r="VCR324" s="26" t="s">
        <v>366</v>
      </c>
      <c r="VCS324" s="26" t="s">
        <v>366</v>
      </c>
      <c r="VCT324" s="26" t="s">
        <v>366</v>
      </c>
      <c r="VCU324" s="26" t="s">
        <v>366</v>
      </c>
      <c r="VCV324" s="26" t="s">
        <v>366</v>
      </c>
      <c r="VCW324" s="26" t="s">
        <v>366</v>
      </c>
      <c r="VCX324" s="26" t="s">
        <v>366</v>
      </c>
      <c r="VCY324" s="26" t="s">
        <v>366</v>
      </c>
      <c r="VCZ324" s="26" t="s">
        <v>366</v>
      </c>
      <c r="VDA324" s="26" t="s">
        <v>366</v>
      </c>
      <c r="VDB324" s="26" t="s">
        <v>366</v>
      </c>
      <c r="VDC324" s="26" t="s">
        <v>366</v>
      </c>
      <c r="VDD324" s="26" t="s">
        <v>366</v>
      </c>
      <c r="VDE324" s="26" t="s">
        <v>366</v>
      </c>
      <c r="VDF324" s="26" t="s">
        <v>366</v>
      </c>
      <c r="VDG324" s="26" t="s">
        <v>366</v>
      </c>
      <c r="VDH324" s="26" t="s">
        <v>366</v>
      </c>
      <c r="VDI324" s="26" t="s">
        <v>366</v>
      </c>
      <c r="VDJ324" s="26" t="s">
        <v>366</v>
      </c>
      <c r="VDK324" s="26" t="s">
        <v>366</v>
      </c>
      <c r="VDL324" s="26" t="s">
        <v>366</v>
      </c>
      <c r="VDM324" s="26" t="s">
        <v>366</v>
      </c>
      <c r="VDN324" s="26" t="s">
        <v>366</v>
      </c>
      <c r="VDO324" s="26" t="s">
        <v>366</v>
      </c>
      <c r="VDP324" s="26" t="s">
        <v>366</v>
      </c>
      <c r="VDQ324" s="26" t="s">
        <v>366</v>
      </c>
      <c r="VDR324" s="26" t="s">
        <v>366</v>
      </c>
      <c r="VDS324" s="26" t="s">
        <v>366</v>
      </c>
      <c r="VDT324" s="26" t="s">
        <v>366</v>
      </c>
      <c r="VDU324" s="26" t="s">
        <v>366</v>
      </c>
      <c r="VDV324" s="26" t="s">
        <v>366</v>
      </c>
      <c r="VDW324" s="26" t="s">
        <v>366</v>
      </c>
      <c r="VDX324" s="26" t="s">
        <v>366</v>
      </c>
      <c r="VDY324" s="26" t="s">
        <v>366</v>
      </c>
      <c r="VDZ324" s="26" t="s">
        <v>366</v>
      </c>
      <c r="VEA324" s="26" t="s">
        <v>366</v>
      </c>
      <c r="VEB324" s="26" t="s">
        <v>366</v>
      </c>
      <c r="VEC324" s="26" t="s">
        <v>366</v>
      </c>
      <c r="VED324" s="26" t="s">
        <v>366</v>
      </c>
      <c r="VEE324" s="26" t="s">
        <v>366</v>
      </c>
      <c r="VEF324" s="26" t="s">
        <v>366</v>
      </c>
      <c r="VEG324" s="26" t="s">
        <v>366</v>
      </c>
      <c r="VEH324" s="26" t="s">
        <v>366</v>
      </c>
      <c r="VEI324" s="26" t="s">
        <v>366</v>
      </c>
      <c r="VEJ324" s="26" t="s">
        <v>366</v>
      </c>
      <c r="VEK324" s="26" t="s">
        <v>366</v>
      </c>
      <c r="VEL324" s="26" t="s">
        <v>366</v>
      </c>
      <c r="VEM324" s="26" t="s">
        <v>366</v>
      </c>
      <c r="VEN324" s="26" t="s">
        <v>366</v>
      </c>
      <c r="VEO324" s="26" t="s">
        <v>366</v>
      </c>
      <c r="VEP324" s="26" t="s">
        <v>366</v>
      </c>
      <c r="VEQ324" s="26" t="s">
        <v>366</v>
      </c>
      <c r="VER324" s="26" t="s">
        <v>366</v>
      </c>
      <c r="VES324" s="26" t="s">
        <v>366</v>
      </c>
      <c r="VET324" s="26" t="s">
        <v>366</v>
      </c>
      <c r="VEU324" s="26" t="s">
        <v>366</v>
      </c>
      <c r="VEV324" s="26" t="s">
        <v>366</v>
      </c>
      <c r="VEW324" s="26" t="s">
        <v>366</v>
      </c>
      <c r="VEX324" s="26" t="s">
        <v>366</v>
      </c>
      <c r="VEY324" s="26" t="s">
        <v>366</v>
      </c>
      <c r="VEZ324" s="26" t="s">
        <v>366</v>
      </c>
      <c r="VFA324" s="26" t="s">
        <v>366</v>
      </c>
      <c r="VFB324" s="26" t="s">
        <v>366</v>
      </c>
      <c r="VFC324" s="26" t="s">
        <v>366</v>
      </c>
      <c r="VFD324" s="26" t="s">
        <v>366</v>
      </c>
      <c r="VFE324" s="26" t="s">
        <v>366</v>
      </c>
      <c r="VFF324" s="26" t="s">
        <v>366</v>
      </c>
      <c r="VFG324" s="26" t="s">
        <v>366</v>
      </c>
      <c r="VFH324" s="26" t="s">
        <v>366</v>
      </c>
      <c r="VFI324" s="26" t="s">
        <v>366</v>
      </c>
      <c r="VFJ324" s="26" t="s">
        <v>366</v>
      </c>
      <c r="VFK324" s="26" t="s">
        <v>366</v>
      </c>
      <c r="VFL324" s="26" t="s">
        <v>366</v>
      </c>
      <c r="VFM324" s="26" t="s">
        <v>366</v>
      </c>
      <c r="VFN324" s="26" t="s">
        <v>366</v>
      </c>
      <c r="VFO324" s="26" t="s">
        <v>366</v>
      </c>
      <c r="VFP324" s="26" t="s">
        <v>366</v>
      </c>
      <c r="VFQ324" s="26" t="s">
        <v>366</v>
      </c>
      <c r="VFR324" s="26" t="s">
        <v>366</v>
      </c>
      <c r="VFS324" s="26" t="s">
        <v>366</v>
      </c>
      <c r="VFT324" s="26" t="s">
        <v>366</v>
      </c>
      <c r="VFU324" s="26" t="s">
        <v>366</v>
      </c>
      <c r="VFV324" s="26" t="s">
        <v>366</v>
      </c>
      <c r="VFW324" s="26" t="s">
        <v>366</v>
      </c>
      <c r="VFX324" s="26" t="s">
        <v>366</v>
      </c>
      <c r="VFY324" s="26" t="s">
        <v>366</v>
      </c>
      <c r="VFZ324" s="26" t="s">
        <v>366</v>
      </c>
      <c r="VGA324" s="26" t="s">
        <v>366</v>
      </c>
      <c r="VGB324" s="26" t="s">
        <v>366</v>
      </c>
      <c r="VGC324" s="26" t="s">
        <v>366</v>
      </c>
      <c r="VGD324" s="26" t="s">
        <v>366</v>
      </c>
      <c r="VGE324" s="26" t="s">
        <v>366</v>
      </c>
      <c r="VGF324" s="26" t="s">
        <v>366</v>
      </c>
      <c r="VGG324" s="26" t="s">
        <v>366</v>
      </c>
      <c r="VGH324" s="26" t="s">
        <v>366</v>
      </c>
      <c r="VGI324" s="26" t="s">
        <v>366</v>
      </c>
      <c r="VGJ324" s="26" t="s">
        <v>366</v>
      </c>
      <c r="VGK324" s="26" t="s">
        <v>366</v>
      </c>
      <c r="VGL324" s="26" t="s">
        <v>366</v>
      </c>
      <c r="VGM324" s="26" t="s">
        <v>366</v>
      </c>
      <c r="VGN324" s="26" t="s">
        <v>366</v>
      </c>
      <c r="VGO324" s="26" t="s">
        <v>366</v>
      </c>
      <c r="VGP324" s="26" t="s">
        <v>366</v>
      </c>
      <c r="VGQ324" s="26" t="s">
        <v>366</v>
      </c>
      <c r="VGR324" s="26" t="s">
        <v>366</v>
      </c>
      <c r="VGS324" s="26" t="s">
        <v>366</v>
      </c>
      <c r="VGT324" s="26" t="s">
        <v>366</v>
      </c>
      <c r="VGU324" s="26" t="s">
        <v>366</v>
      </c>
      <c r="VGV324" s="26" t="s">
        <v>366</v>
      </c>
      <c r="VGW324" s="26" t="s">
        <v>366</v>
      </c>
      <c r="VGX324" s="26" t="s">
        <v>366</v>
      </c>
      <c r="VGY324" s="26" t="s">
        <v>366</v>
      </c>
      <c r="VGZ324" s="26" t="s">
        <v>366</v>
      </c>
      <c r="VHA324" s="26" t="s">
        <v>366</v>
      </c>
      <c r="VHB324" s="26" t="s">
        <v>366</v>
      </c>
      <c r="VHC324" s="26" t="s">
        <v>366</v>
      </c>
      <c r="VHD324" s="26" t="s">
        <v>366</v>
      </c>
      <c r="VHE324" s="26" t="s">
        <v>366</v>
      </c>
      <c r="VHF324" s="26" t="s">
        <v>366</v>
      </c>
      <c r="VHG324" s="26" t="s">
        <v>366</v>
      </c>
      <c r="VHH324" s="26" t="s">
        <v>366</v>
      </c>
      <c r="VHI324" s="26" t="s">
        <v>366</v>
      </c>
      <c r="VHJ324" s="26" t="s">
        <v>366</v>
      </c>
      <c r="VHK324" s="26" t="s">
        <v>366</v>
      </c>
      <c r="VHL324" s="26" t="s">
        <v>366</v>
      </c>
      <c r="VHM324" s="26" t="s">
        <v>366</v>
      </c>
      <c r="VHN324" s="26" t="s">
        <v>366</v>
      </c>
      <c r="VHO324" s="26" t="s">
        <v>366</v>
      </c>
      <c r="VHP324" s="26" t="s">
        <v>366</v>
      </c>
      <c r="VHQ324" s="26" t="s">
        <v>366</v>
      </c>
      <c r="VHR324" s="26" t="s">
        <v>366</v>
      </c>
      <c r="VHS324" s="26" t="s">
        <v>366</v>
      </c>
      <c r="VHT324" s="26" t="s">
        <v>366</v>
      </c>
      <c r="VHU324" s="26" t="s">
        <v>366</v>
      </c>
      <c r="VHV324" s="26" t="s">
        <v>366</v>
      </c>
      <c r="VHW324" s="26" t="s">
        <v>366</v>
      </c>
      <c r="VHX324" s="26" t="s">
        <v>366</v>
      </c>
      <c r="VHY324" s="26" t="s">
        <v>366</v>
      </c>
      <c r="VHZ324" s="26" t="s">
        <v>366</v>
      </c>
      <c r="VIA324" s="26" t="s">
        <v>366</v>
      </c>
      <c r="VIB324" s="26" t="s">
        <v>366</v>
      </c>
      <c r="VIC324" s="26" t="s">
        <v>366</v>
      </c>
      <c r="VID324" s="26" t="s">
        <v>366</v>
      </c>
      <c r="VIE324" s="26" t="s">
        <v>366</v>
      </c>
      <c r="VIF324" s="26" t="s">
        <v>366</v>
      </c>
      <c r="VIG324" s="26" t="s">
        <v>366</v>
      </c>
      <c r="VIH324" s="26" t="s">
        <v>366</v>
      </c>
      <c r="VII324" s="26" t="s">
        <v>366</v>
      </c>
      <c r="VIJ324" s="26" t="s">
        <v>366</v>
      </c>
      <c r="VIK324" s="26" t="s">
        <v>366</v>
      </c>
      <c r="VIL324" s="26" t="s">
        <v>366</v>
      </c>
      <c r="VIM324" s="26" t="s">
        <v>366</v>
      </c>
      <c r="VIN324" s="26" t="s">
        <v>366</v>
      </c>
      <c r="VIO324" s="26" t="s">
        <v>366</v>
      </c>
      <c r="VIP324" s="26" t="s">
        <v>366</v>
      </c>
      <c r="VIQ324" s="26" t="s">
        <v>366</v>
      </c>
      <c r="VIR324" s="26" t="s">
        <v>366</v>
      </c>
      <c r="VIS324" s="26" t="s">
        <v>366</v>
      </c>
      <c r="VIT324" s="26" t="s">
        <v>366</v>
      </c>
      <c r="VIU324" s="26" t="s">
        <v>366</v>
      </c>
      <c r="VIV324" s="26" t="s">
        <v>366</v>
      </c>
      <c r="VIW324" s="26" t="s">
        <v>366</v>
      </c>
      <c r="VIX324" s="26" t="s">
        <v>366</v>
      </c>
      <c r="VIY324" s="26" t="s">
        <v>366</v>
      </c>
      <c r="VIZ324" s="26" t="s">
        <v>366</v>
      </c>
      <c r="VJA324" s="26" t="s">
        <v>366</v>
      </c>
      <c r="VJB324" s="26" t="s">
        <v>366</v>
      </c>
      <c r="VJC324" s="26" t="s">
        <v>366</v>
      </c>
      <c r="VJD324" s="26" t="s">
        <v>366</v>
      </c>
      <c r="VJE324" s="26" t="s">
        <v>366</v>
      </c>
      <c r="VJF324" s="26" t="s">
        <v>366</v>
      </c>
      <c r="VJG324" s="26" t="s">
        <v>366</v>
      </c>
      <c r="VJH324" s="26" t="s">
        <v>366</v>
      </c>
      <c r="VJI324" s="26" t="s">
        <v>366</v>
      </c>
      <c r="VJJ324" s="26" t="s">
        <v>366</v>
      </c>
      <c r="VJK324" s="26" t="s">
        <v>366</v>
      </c>
      <c r="VJL324" s="26" t="s">
        <v>366</v>
      </c>
      <c r="VJM324" s="26" t="s">
        <v>366</v>
      </c>
      <c r="VJN324" s="26" t="s">
        <v>366</v>
      </c>
      <c r="VJO324" s="26" t="s">
        <v>366</v>
      </c>
      <c r="VJP324" s="26" t="s">
        <v>366</v>
      </c>
      <c r="VJQ324" s="26" t="s">
        <v>366</v>
      </c>
      <c r="VJR324" s="26" t="s">
        <v>366</v>
      </c>
      <c r="VJS324" s="26" t="s">
        <v>366</v>
      </c>
      <c r="VJT324" s="26" t="s">
        <v>366</v>
      </c>
      <c r="VJU324" s="26" t="s">
        <v>366</v>
      </c>
      <c r="VJV324" s="26" t="s">
        <v>366</v>
      </c>
      <c r="VJW324" s="26" t="s">
        <v>366</v>
      </c>
      <c r="VJX324" s="26" t="s">
        <v>366</v>
      </c>
      <c r="VJY324" s="26" t="s">
        <v>366</v>
      </c>
      <c r="VJZ324" s="26" t="s">
        <v>366</v>
      </c>
      <c r="VKA324" s="26" t="s">
        <v>366</v>
      </c>
      <c r="VKB324" s="26" t="s">
        <v>366</v>
      </c>
      <c r="VKC324" s="26" t="s">
        <v>366</v>
      </c>
      <c r="VKD324" s="26" t="s">
        <v>366</v>
      </c>
      <c r="VKE324" s="26" t="s">
        <v>366</v>
      </c>
      <c r="VKF324" s="26" t="s">
        <v>366</v>
      </c>
      <c r="VKG324" s="26" t="s">
        <v>366</v>
      </c>
      <c r="VKH324" s="26" t="s">
        <v>366</v>
      </c>
      <c r="VKI324" s="26" t="s">
        <v>366</v>
      </c>
      <c r="VKJ324" s="26" t="s">
        <v>366</v>
      </c>
      <c r="VKK324" s="26" t="s">
        <v>366</v>
      </c>
      <c r="VKL324" s="26" t="s">
        <v>366</v>
      </c>
      <c r="VKM324" s="26" t="s">
        <v>366</v>
      </c>
      <c r="VKN324" s="26" t="s">
        <v>366</v>
      </c>
      <c r="VKO324" s="26" t="s">
        <v>366</v>
      </c>
      <c r="VKP324" s="26" t="s">
        <v>366</v>
      </c>
      <c r="VKQ324" s="26" t="s">
        <v>366</v>
      </c>
      <c r="VKR324" s="26" t="s">
        <v>366</v>
      </c>
      <c r="VKS324" s="26" t="s">
        <v>366</v>
      </c>
      <c r="VKT324" s="26" t="s">
        <v>366</v>
      </c>
      <c r="VKU324" s="26" t="s">
        <v>366</v>
      </c>
      <c r="VKV324" s="26" t="s">
        <v>366</v>
      </c>
      <c r="VKW324" s="26" t="s">
        <v>366</v>
      </c>
      <c r="VKX324" s="26" t="s">
        <v>366</v>
      </c>
      <c r="VKY324" s="26" t="s">
        <v>366</v>
      </c>
      <c r="VKZ324" s="26" t="s">
        <v>366</v>
      </c>
      <c r="VLA324" s="26" t="s">
        <v>366</v>
      </c>
      <c r="VLB324" s="26" t="s">
        <v>366</v>
      </c>
      <c r="VLC324" s="26" t="s">
        <v>366</v>
      </c>
      <c r="VLD324" s="26" t="s">
        <v>366</v>
      </c>
      <c r="VLE324" s="26" t="s">
        <v>366</v>
      </c>
      <c r="VLF324" s="26" t="s">
        <v>366</v>
      </c>
      <c r="VLG324" s="26" t="s">
        <v>366</v>
      </c>
      <c r="VLH324" s="26" t="s">
        <v>366</v>
      </c>
      <c r="VLI324" s="26" t="s">
        <v>366</v>
      </c>
      <c r="VLJ324" s="26" t="s">
        <v>366</v>
      </c>
      <c r="VLK324" s="26" t="s">
        <v>366</v>
      </c>
      <c r="VLL324" s="26" t="s">
        <v>366</v>
      </c>
      <c r="VLM324" s="26" t="s">
        <v>366</v>
      </c>
      <c r="VLN324" s="26" t="s">
        <v>366</v>
      </c>
      <c r="VLO324" s="26" t="s">
        <v>366</v>
      </c>
      <c r="VLP324" s="26" t="s">
        <v>366</v>
      </c>
      <c r="VLQ324" s="26" t="s">
        <v>366</v>
      </c>
      <c r="VLR324" s="26" t="s">
        <v>366</v>
      </c>
      <c r="VLS324" s="26" t="s">
        <v>366</v>
      </c>
      <c r="VLT324" s="26" t="s">
        <v>366</v>
      </c>
      <c r="VLU324" s="26" t="s">
        <v>366</v>
      </c>
      <c r="VLV324" s="26" t="s">
        <v>366</v>
      </c>
      <c r="VLW324" s="26" t="s">
        <v>366</v>
      </c>
      <c r="VLX324" s="26" t="s">
        <v>366</v>
      </c>
      <c r="VLY324" s="26" t="s">
        <v>366</v>
      </c>
      <c r="VLZ324" s="26" t="s">
        <v>366</v>
      </c>
      <c r="VMA324" s="26" t="s">
        <v>366</v>
      </c>
      <c r="VMB324" s="26" t="s">
        <v>366</v>
      </c>
      <c r="VMC324" s="26" t="s">
        <v>366</v>
      </c>
      <c r="VMD324" s="26" t="s">
        <v>366</v>
      </c>
      <c r="VME324" s="26" t="s">
        <v>366</v>
      </c>
      <c r="VMF324" s="26" t="s">
        <v>366</v>
      </c>
      <c r="VMG324" s="26" t="s">
        <v>366</v>
      </c>
      <c r="VMH324" s="26" t="s">
        <v>366</v>
      </c>
      <c r="VMI324" s="26" t="s">
        <v>366</v>
      </c>
      <c r="VMJ324" s="26" t="s">
        <v>366</v>
      </c>
      <c r="VMK324" s="26" t="s">
        <v>366</v>
      </c>
      <c r="VML324" s="26" t="s">
        <v>366</v>
      </c>
      <c r="VMM324" s="26" t="s">
        <v>366</v>
      </c>
      <c r="VMN324" s="26" t="s">
        <v>366</v>
      </c>
      <c r="VMO324" s="26" t="s">
        <v>366</v>
      </c>
      <c r="VMP324" s="26" t="s">
        <v>366</v>
      </c>
      <c r="VMQ324" s="26" t="s">
        <v>366</v>
      </c>
      <c r="VMR324" s="26" t="s">
        <v>366</v>
      </c>
      <c r="VMS324" s="26" t="s">
        <v>366</v>
      </c>
      <c r="VMT324" s="26" t="s">
        <v>366</v>
      </c>
      <c r="VMU324" s="26" t="s">
        <v>366</v>
      </c>
      <c r="VMV324" s="26" t="s">
        <v>366</v>
      </c>
      <c r="VMW324" s="26" t="s">
        <v>366</v>
      </c>
      <c r="VMX324" s="26" t="s">
        <v>366</v>
      </c>
      <c r="VMY324" s="26" t="s">
        <v>366</v>
      </c>
      <c r="VMZ324" s="26" t="s">
        <v>366</v>
      </c>
      <c r="VNA324" s="26" t="s">
        <v>366</v>
      </c>
      <c r="VNB324" s="26" t="s">
        <v>366</v>
      </c>
      <c r="VNC324" s="26" t="s">
        <v>366</v>
      </c>
      <c r="VND324" s="26" t="s">
        <v>366</v>
      </c>
      <c r="VNE324" s="26" t="s">
        <v>366</v>
      </c>
      <c r="VNF324" s="26" t="s">
        <v>366</v>
      </c>
      <c r="VNG324" s="26" t="s">
        <v>366</v>
      </c>
      <c r="VNH324" s="26" t="s">
        <v>366</v>
      </c>
      <c r="VNI324" s="26" t="s">
        <v>366</v>
      </c>
      <c r="VNJ324" s="26" t="s">
        <v>366</v>
      </c>
      <c r="VNK324" s="26" t="s">
        <v>366</v>
      </c>
      <c r="VNL324" s="26" t="s">
        <v>366</v>
      </c>
      <c r="VNM324" s="26" t="s">
        <v>366</v>
      </c>
      <c r="VNN324" s="26" t="s">
        <v>366</v>
      </c>
      <c r="VNO324" s="26" t="s">
        <v>366</v>
      </c>
      <c r="VNP324" s="26" t="s">
        <v>366</v>
      </c>
      <c r="VNQ324" s="26" t="s">
        <v>366</v>
      </c>
      <c r="VNR324" s="26" t="s">
        <v>366</v>
      </c>
      <c r="VNS324" s="26" t="s">
        <v>366</v>
      </c>
      <c r="VNT324" s="26" t="s">
        <v>366</v>
      </c>
      <c r="VNU324" s="26" t="s">
        <v>366</v>
      </c>
      <c r="VNV324" s="26" t="s">
        <v>366</v>
      </c>
      <c r="VNW324" s="26" t="s">
        <v>366</v>
      </c>
      <c r="VNX324" s="26" t="s">
        <v>366</v>
      </c>
      <c r="VNY324" s="26" t="s">
        <v>366</v>
      </c>
      <c r="VNZ324" s="26" t="s">
        <v>366</v>
      </c>
      <c r="VOA324" s="26" t="s">
        <v>366</v>
      </c>
      <c r="VOB324" s="26" t="s">
        <v>366</v>
      </c>
      <c r="VOC324" s="26" t="s">
        <v>366</v>
      </c>
      <c r="VOD324" s="26" t="s">
        <v>366</v>
      </c>
      <c r="VOE324" s="26" t="s">
        <v>366</v>
      </c>
      <c r="VOF324" s="26" t="s">
        <v>366</v>
      </c>
      <c r="VOG324" s="26" t="s">
        <v>366</v>
      </c>
      <c r="VOH324" s="26" t="s">
        <v>366</v>
      </c>
      <c r="VOI324" s="26" t="s">
        <v>366</v>
      </c>
      <c r="VOJ324" s="26" t="s">
        <v>366</v>
      </c>
      <c r="VOK324" s="26" t="s">
        <v>366</v>
      </c>
      <c r="VOL324" s="26" t="s">
        <v>366</v>
      </c>
      <c r="VOM324" s="26" t="s">
        <v>366</v>
      </c>
      <c r="VON324" s="26" t="s">
        <v>366</v>
      </c>
      <c r="VOO324" s="26" t="s">
        <v>366</v>
      </c>
      <c r="VOP324" s="26" t="s">
        <v>366</v>
      </c>
      <c r="VOQ324" s="26" t="s">
        <v>366</v>
      </c>
      <c r="VOR324" s="26" t="s">
        <v>366</v>
      </c>
      <c r="VOS324" s="26" t="s">
        <v>366</v>
      </c>
      <c r="VOT324" s="26" t="s">
        <v>366</v>
      </c>
      <c r="VOU324" s="26" t="s">
        <v>366</v>
      </c>
      <c r="VOV324" s="26" t="s">
        <v>366</v>
      </c>
      <c r="VOW324" s="26" t="s">
        <v>366</v>
      </c>
      <c r="VOX324" s="26" t="s">
        <v>366</v>
      </c>
      <c r="VOY324" s="26" t="s">
        <v>366</v>
      </c>
      <c r="VOZ324" s="26" t="s">
        <v>366</v>
      </c>
      <c r="VPA324" s="26" t="s">
        <v>366</v>
      </c>
      <c r="VPB324" s="26" t="s">
        <v>366</v>
      </c>
      <c r="VPC324" s="26" t="s">
        <v>366</v>
      </c>
      <c r="VPD324" s="26" t="s">
        <v>366</v>
      </c>
      <c r="VPE324" s="26" t="s">
        <v>366</v>
      </c>
      <c r="VPF324" s="26" t="s">
        <v>366</v>
      </c>
      <c r="VPG324" s="26" t="s">
        <v>366</v>
      </c>
      <c r="VPH324" s="26" t="s">
        <v>366</v>
      </c>
      <c r="VPI324" s="26" t="s">
        <v>366</v>
      </c>
      <c r="VPJ324" s="26" t="s">
        <v>366</v>
      </c>
      <c r="VPK324" s="26" t="s">
        <v>366</v>
      </c>
      <c r="VPL324" s="26" t="s">
        <v>366</v>
      </c>
      <c r="VPM324" s="26" t="s">
        <v>366</v>
      </c>
      <c r="VPN324" s="26" t="s">
        <v>366</v>
      </c>
      <c r="VPO324" s="26" t="s">
        <v>366</v>
      </c>
      <c r="VPP324" s="26" t="s">
        <v>366</v>
      </c>
      <c r="VPQ324" s="26" t="s">
        <v>366</v>
      </c>
      <c r="VPR324" s="26" t="s">
        <v>366</v>
      </c>
      <c r="VPS324" s="26" t="s">
        <v>366</v>
      </c>
      <c r="VPT324" s="26" t="s">
        <v>366</v>
      </c>
      <c r="VPU324" s="26" t="s">
        <v>366</v>
      </c>
      <c r="VPV324" s="26" t="s">
        <v>366</v>
      </c>
      <c r="VPW324" s="26" t="s">
        <v>366</v>
      </c>
      <c r="VPX324" s="26" t="s">
        <v>366</v>
      </c>
      <c r="VPY324" s="26" t="s">
        <v>366</v>
      </c>
      <c r="VPZ324" s="26" t="s">
        <v>366</v>
      </c>
      <c r="VQA324" s="26" t="s">
        <v>366</v>
      </c>
      <c r="VQB324" s="26" t="s">
        <v>366</v>
      </c>
      <c r="VQC324" s="26" t="s">
        <v>366</v>
      </c>
      <c r="VQD324" s="26" t="s">
        <v>366</v>
      </c>
      <c r="VQE324" s="26" t="s">
        <v>366</v>
      </c>
      <c r="VQF324" s="26" t="s">
        <v>366</v>
      </c>
      <c r="VQG324" s="26" t="s">
        <v>366</v>
      </c>
      <c r="VQH324" s="26" t="s">
        <v>366</v>
      </c>
      <c r="VQI324" s="26" t="s">
        <v>366</v>
      </c>
      <c r="VQJ324" s="26" t="s">
        <v>366</v>
      </c>
      <c r="VQK324" s="26" t="s">
        <v>366</v>
      </c>
      <c r="VQL324" s="26" t="s">
        <v>366</v>
      </c>
      <c r="VQM324" s="26" t="s">
        <v>366</v>
      </c>
      <c r="VQN324" s="26" t="s">
        <v>366</v>
      </c>
      <c r="VQO324" s="26" t="s">
        <v>366</v>
      </c>
      <c r="VQP324" s="26" t="s">
        <v>366</v>
      </c>
      <c r="VQQ324" s="26" t="s">
        <v>366</v>
      </c>
      <c r="VQR324" s="26" t="s">
        <v>366</v>
      </c>
      <c r="VQS324" s="26" t="s">
        <v>366</v>
      </c>
      <c r="VQT324" s="26" t="s">
        <v>366</v>
      </c>
      <c r="VQU324" s="26" t="s">
        <v>366</v>
      </c>
      <c r="VQV324" s="26" t="s">
        <v>366</v>
      </c>
      <c r="VQW324" s="26" t="s">
        <v>366</v>
      </c>
      <c r="VQX324" s="26" t="s">
        <v>366</v>
      </c>
      <c r="VQY324" s="26" t="s">
        <v>366</v>
      </c>
      <c r="VQZ324" s="26" t="s">
        <v>366</v>
      </c>
      <c r="VRA324" s="26" t="s">
        <v>366</v>
      </c>
      <c r="VRB324" s="26" t="s">
        <v>366</v>
      </c>
      <c r="VRC324" s="26" t="s">
        <v>366</v>
      </c>
      <c r="VRD324" s="26" t="s">
        <v>366</v>
      </c>
      <c r="VRE324" s="26" t="s">
        <v>366</v>
      </c>
      <c r="VRF324" s="26" t="s">
        <v>366</v>
      </c>
      <c r="VRG324" s="26" t="s">
        <v>366</v>
      </c>
      <c r="VRH324" s="26" t="s">
        <v>366</v>
      </c>
      <c r="VRI324" s="26" t="s">
        <v>366</v>
      </c>
      <c r="VRJ324" s="26" t="s">
        <v>366</v>
      </c>
      <c r="VRK324" s="26" t="s">
        <v>366</v>
      </c>
      <c r="VRL324" s="26" t="s">
        <v>366</v>
      </c>
      <c r="VRM324" s="26" t="s">
        <v>366</v>
      </c>
      <c r="VRN324" s="26" t="s">
        <v>366</v>
      </c>
      <c r="VRO324" s="26" t="s">
        <v>366</v>
      </c>
      <c r="VRP324" s="26" t="s">
        <v>366</v>
      </c>
      <c r="VRQ324" s="26" t="s">
        <v>366</v>
      </c>
      <c r="VRR324" s="26" t="s">
        <v>366</v>
      </c>
      <c r="VRS324" s="26" t="s">
        <v>366</v>
      </c>
      <c r="VRT324" s="26" t="s">
        <v>366</v>
      </c>
      <c r="VRU324" s="26" t="s">
        <v>366</v>
      </c>
      <c r="VRV324" s="26" t="s">
        <v>366</v>
      </c>
      <c r="VRW324" s="26" t="s">
        <v>366</v>
      </c>
      <c r="VRX324" s="26" t="s">
        <v>366</v>
      </c>
      <c r="VRY324" s="26" t="s">
        <v>366</v>
      </c>
      <c r="VRZ324" s="26" t="s">
        <v>366</v>
      </c>
      <c r="VSA324" s="26" t="s">
        <v>366</v>
      </c>
      <c r="VSB324" s="26" t="s">
        <v>366</v>
      </c>
      <c r="VSC324" s="26" t="s">
        <v>366</v>
      </c>
      <c r="VSD324" s="26" t="s">
        <v>366</v>
      </c>
      <c r="VSE324" s="26" t="s">
        <v>366</v>
      </c>
      <c r="VSF324" s="26" t="s">
        <v>366</v>
      </c>
      <c r="VSG324" s="26" t="s">
        <v>366</v>
      </c>
      <c r="VSH324" s="26" t="s">
        <v>366</v>
      </c>
      <c r="VSI324" s="26" t="s">
        <v>366</v>
      </c>
      <c r="VSJ324" s="26" t="s">
        <v>366</v>
      </c>
      <c r="VSK324" s="26" t="s">
        <v>366</v>
      </c>
      <c r="VSL324" s="26" t="s">
        <v>366</v>
      </c>
      <c r="VSM324" s="26" t="s">
        <v>366</v>
      </c>
      <c r="VSN324" s="26" t="s">
        <v>366</v>
      </c>
      <c r="VSO324" s="26" t="s">
        <v>366</v>
      </c>
      <c r="VSP324" s="26" t="s">
        <v>366</v>
      </c>
      <c r="VSQ324" s="26" t="s">
        <v>366</v>
      </c>
      <c r="VSR324" s="26" t="s">
        <v>366</v>
      </c>
      <c r="VSS324" s="26" t="s">
        <v>366</v>
      </c>
      <c r="VST324" s="26" t="s">
        <v>366</v>
      </c>
      <c r="VSU324" s="26" t="s">
        <v>366</v>
      </c>
      <c r="VSV324" s="26" t="s">
        <v>366</v>
      </c>
      <c r="VSW324" s="26" t="s">
        <v>366</v>
      </c>
      <c r="VSX324" s="26" t="s">
        <v>366</v>
      </c>
      <c r="VSY324" s="26" t="s">
        <v>366</v>
      </c>
      <c r="VSZ324" s="26" t="s">
        <v>366</v>
      </c>
      <c r="VTA324" s="26" t="s">
        <v>366</v>
      </c>
      <c r="VTB324" s="26" t="s">
        <v>366</v>
      </c>
      <c r="VTC324" s="26" t="s">
        <v>366</v>
      </c>
      <c r="VTD324" s="26" t="s">
        <v>366</v>
      </c>
      <c r="VTE324" s="26" t="s">
        <v>366</v>
      </c>
      <c r="VTF324" s="26" t="s">
        <v>366</v>
      </c>
      <c r="VTG324" s="26" t="s">
        <v>366</v>
      </c>
      <c r="VTH324" s="26" t="s">
        <v>366</v>
      </c>
      <c r="VTI324" s="26" t="s">
        <v>366</v>
      </c>
      <c r="VTJ324" s="26" t="s">
        <v>366</v>
      </c>
      <c r="VTK324" s="26" t="s">
        <v>366</v>
      </c>
      <c r="VTL324" s="26" t="s">
        <v>366</v>
      </c>
      <c r="VTM324" s="26" t="s">
        <v>366</v>
      </c>
      <c r="VTN324" s="26" t="s">
        <v>366</v>
      </c>
      <c r="VTO324" s="26" t="s">
        <v>366</v>
      </c>
      <c r="VTP324" s="26" t="s">
        <v>366</v>
      </c>
      <c r="VTQ324" s="26" t="s">
        <v>366</v>
      </c>
      <c r="VTR324" s="26" t="s">
        <v>366</v>
      </c>
      <c r="VTS324" s="26" t="s">
        <v>366</v>
      </c>
      <c r="VTT324" s="26" t="s">
        <v>366</v>
      </c>
      <c r="VTU324" s="26" t="s">
        <v>366</v>
      </c>
      <c r="VTV324" s="26" t="s">
        <v>366</v>
      </c>
      <c r="VTW324" s="26" t="s">
        <v>366</v>
      </c>
      <c r="VTX324" s="26" t="s">
        <v>366</v>
      </c>
      <c r="VTY324" s="26" t="s">
        <v>366</v>
      </c>
      <c r="VTZ324" s="26" t="s">
        <v>366</v>
      </c>
      <c r="VUA324" s="26" t="s">
        <v>366</v>
      </c>
      <c r="VUB324" s="26" t="s">
        <v>366</v>
      </c>
      <c r="VUC324" s="26" t="s">
        <v>366</v>
      </c>
      <c r="VUD324" s="26" t="s">
        <v>366</v>
      </c>
      <c r="VUE324" s="26" t="s">
        <v>366</v>
      </c>
      <c r="VUF324" s="26" t="s">
        <v>366</v>
      </c>
      <c r="VUG324" s="26" t="s">
        <v>366</v>
      </c>
      <c r="VUH324" s="26" t="s">
        <v>366</v>
      </c>
      <c r="VUI324" s="26" t="s">
        <v>366</v>
      </c>
      <c r="VUJ324" s="26" t="s">
        <v>366</v>
      </c>
      <c r="VUK324" s="26" t="s">
        <v>366</v>
      </c>
      <c r="VUL324" s="26" t="s">
        <v>366</v>
      </c>
      <c r="VUM324" s="26" t="s">
        <v>366</v>
      </c>
      <c r="VUN324" s="26" t="s">
        <v>366</v>
      </c>
      <c r="VUO324" s="26" t="s">
        <v>366</v>
      </c>
      <c r="VUP324" s="26" t="s">
        <v>366</v>
      </c>
      <c r="VUQ324" s="26" t="s">
        <v>366</v>
      </c>
      <c r="VUR324" s="26" t="s">
        <v>366</v>
      </c>
      <c r="VUS324" s="26" t="s">
        <v>366</v>
      </c>
      <c r="VUT324" s="26" t="s">
        <v>366</v>
      </c>
      <c r="VUU324" s="26" t="s">
        <v>366</v>
      </c>
      <c r="VUV324" s="26" t="s">
        <v>366</v>
      </c>
      <c r="VUW324" s="26" t="s">
        <v>366</v>
      </c>
      <c r="VUX324" s="26" t="s">
        <v>366</v>
      </c>
      <c r="VUY324" s="26" t="s">
        <v>366</v>
      </c>
      <c r="VUZ324" s="26" t="s">
        <v>366</v>
      </c>
      <c r="VVA324" s="26" t="s">
        <v>366</v>
      </c>
      <c r="VVB324" s="26" t="s">
        <v>366</v>
      </c>
      <c r="VVC324" s="26" t="s">
        <v>366</v>
      </c>
      <c r="VVD324" s="26" t="s">
        <v>366</v>
      </c>
      <c r="VVE324" s="26" t="s">
        <v>366</v>
      </c>
      <c r="VVF324" s="26" t="s">
        <v>366</v>
      </c>
      <c r="VVG324" s="26" t="s">
        <v>366</v>
      </c>
      <c r="VVH324" s="26" t="s">
        <v>366</v>
      </c>
      <c r="VVI324" s="26" t="s">
        <v>366</v>
      </c>
      <c r="VVJ324" s="26" t="s">
        <v>366</v>
      </c>
      <c r="VVK324" s="26" t="s">
        <v>366</v>
      </c>
      <c r="VVL324" s="26" t="s">
        <v>366</v>
      </c>
      <c r="VVM324" s="26" t="s">
        <v>366</v>
      </c>
      <c r="VVN324" s="26" t="s">
        <v>366</v>
      </c>
      <c r="VVO324" s="26" t="s">
        <v>366</v>
      </c>
      <c r="VVP324" s="26" t="s">
        <v>366</v>
      </c>
      <c r="VVQ324" s="26" t="s">
        <v>366</v>
      </c>
      <c r="VVR324" s="26" t="s">
        <v>366</v>
      </c>
      <c r="VVS324" s="26" t="s">
        <v>366</v>
      </c>
      <c r="VVT324" s="26" t="s">
        <v>366</v>
      </c>
      <c r="VVU324" s="26" t="s">
        <v>366</v>
      </c>
      <c r="VVV324" s="26" t="s">
        <v>366</v>
      </c>
      <c r="VVW324" s="26" t="s">
        <v>366</v>
      </c>
      <c r="VVX324" s="26" t="s">
        <v>366</v>
      </c>
      <c r="VVY324" s="26" t="s">
        <v>366</v>
      </c>
      <c r="VVZ324" s="26" t="s">
        <v>366</v>
      </c>
      <c r="VWA324" s="26" t="s">
        <v>366</v>
      </c>
      <c r="VWB324" s="26" t="s">
        <v>366</v>
      </c>
      <c r="VWC324" s="26" t="s">
        <v>366</v>
      </c>
      <c r="VWD324" s="26" t="s">
        <v>366</v>
      </c>
      <c r="VWE324" s="26" t="s">
        <v>366</v>
      </c>
      <c r="VWF324" s="26" t="s">
        <v>366</v>
      </c>
      <c r="VWG324" s="26" t="s">
        <v>366</v>
      </c>
      <c r="VWH324" s="26" t="s">
        <v>366</v>
      </c>
      <c r="VWI324" s="26" t="s">
        <v>366</v>
      </c>
      <c r="VWJ324" s="26" t="s">
        <v>366</v>
      </c>
      <c r="VWK324" s="26" t="s">
        <v>366</v>
      </c>
      <c r="VWL324" s="26" t="s">
        <v>366</v>
      </c>
      <c r="VWM324" s="26" t="s">
        <v>366</v>
      </c>
      <c r="VWN324" s="26" t="s">
        <v>366</v>
      </c>
      <c r="VWO324" s="26" t="s">
        <v>366</v>
      </c>
      <c r="VWP324" s="26" t="s">
        <v>366</v>
      </c>
      <c r="VWQ324" s="26" t="s">
        <v>366</v>
      </c>
      <c r="VWR324" s="26" t="s">
        <v>366</v>
      </c>
      <c r="VWS324" s="26" t="s">
        <v>366</v>
      </c>
      <c r="VWT324" s="26" t="s">
        <v>366</v>
      </c>
      <c r="VWU324" s="26" t="s">
        <v>366</v>
      </c>
      <c r="VWV324" s="26" t="s">
        <v>366</v>
      </c>
      <c r="VWW324" s="26" t="s">
        <v>366</v>
      </c>
      <c r="VWX324" s="26" t="s">
        <v>366</v>
      </c>
      <c r="VWY324" s="26" t="s">
        <v>366</v>
      </c>
      <c r="VWZ324" s="26" t="s">
        <v>366</v>
      </c>
      <c r="VXA324" s="26" t="s">
        <v>366</v>
      </c>
      <c r="VXB324" s="26" t="s">
        <v>366</v>
      </c>
      <c r="VXC324" s="26" t="s">
        <v>366</v>
      </c>
      <c r="VXD324" s="26" t="s">
        <v>366</v>
      </c>
      <c r="VXE324" s="26" t="s">
        <v>366</v>
      </c>
      <c r="VXF324" s="26" t="s">
        <v>366</v>
      </c>
      <c r="VXG324" s="26" t="s">
        <v>366</v>
      </c>
      <c r="VXH324" s="26" t="s">
        <v>366</v>
      </c>
      <c r="VXI324" s="26" t="s">
        <v>366</v>
      </c>
      <c r="VXJ324" s="26" t="s">
        <v>366</v>
      </c>
      <c r="VXK324" s="26" t="s">
        <v>366</v>
      </c>
      <c r="VXL324" s="26" t="s">
        <v>366</v>
      </c>
      <c r="VXM324" s="26" t="s">
        <v>366</v>
      </c>
      <c r="VXN324" s="26" t="s">
        <v>366</v>
      </c>
      <c r="VXO324" s="26" t="s">
        <v>366</v>
      </c>
      <c r="VXP324" s="26" t="s">
        <v>366</v>
      </c>
      <c r="VXQ324" s="26" t="s">
        <v>366</v>
      </c>
      <c r="VXR324" s="26" t="s">
        <v>366</v>
      </c>
      <c r="VXS324" s="26" t="s">
        <v>366</v>
      </c>
      <c r="VXT324" s="26" t="s">
        <v>366</v>
      </c>
      <c r="VXU324" s="26" t="s">
        <v>366</v>
      </c>
      <c r="VXV324" s="26" t="s">
        <v>366</v>
      </c>
      <c r="VXW324" s="26" t="s">
        <v>366</v>
      </c>
      <c r="VXX324" s="26" t="s">
        <v>366</v>
      </c>
      <c r="VXY324" s="26" t="s">
        <v>366</v>
      </c>
      <c r="VXZ324" s="26" t="s">
        <v>366</v>
      </c>
      <c r="VYA324" s="26" t="s">
        <v>366</v>
      </c>
      <c r="VYB324" s="26" t="s">
        <v>366</v>
      </c>
      <c r="VYC324" s="26" t="s">
        <v>366</v>
      </c>
      <c r="VYD324" s="26" t="s">
        <v>366</v>
      </c>
      <c r="VYE324" s="26" t="s">
        <v>366</v>
      </c>
      <c r="VYF324" s="26" t="s">
        <v>366</v>
      </c>
      <c r="VYG324" s="26" t="s">
        <v>366</v>
      </c>
      <c r="VYH324" s="26" t="s">
        <v>366</v>
      </c>
      <c r="VYI324" s="26" t="s">
        <v>366</v>
      </c>
      <c r="VYJ324" s="26" t="s">
        <v>366</v>
      </c>
      <c r="VYK324" s="26" t="s">
        <v>366</v>
      </c>
      <c r="VYL324" s="26" t="s">
        <v>366</v>
      </c>
      <c r="VYM324" s="26" t="s">
        <v>366</v>
      </c>
      <c r="VYN324" s="26" t="s">
        <v>366</v>
      </c>
      <c r="VYO324" s="26" t="s">
        <v>366</v>
      </c>
      <c r="VYP324" s="26" t="s">
        <v>366</v>
      </c>
      <c r="VYQ324" s="26" t="s">
        <v>366</v>
      </c>
      <c r="VYR324" s="26" t="s">
        <v>366</v>
      </c>
      <c r="VYS324" s="26" t="s">
        <v>366</v>
      </c>
      <c r="VYT324" s="26" t="s">
        <v>366</v>
      </c>
      <c r="VYU324" s="26" t="s">
        <v>366</v>
      </c>
      <c r="VYV324" s="26" t="s">
        <v>366</v>
      </c>
      <c r="VYW324" s="26" t="s">
        <v>366</v>
      </c>
      <c r="VYX324" s="26" t="s">
        <v>366</v>
      </c>
      <c r="VYY324" s="26" t="s">
        <v>366</v>
      </c>
      <c r="VYZ324" s="26" t="s">
        <v>366</v>
      </c>
      <c r="VZA324" s="26" t="s">
        <v>366</v>
      </c>
      <c r="VZB324" s="26" t="s">
        <v>366</v>
      </c>
      <c r="VZC324" s="26" t="s">
        <v>366</v>
      </c>
      <c r="VZD324" s="26" t="s">
        <v>366</v>
      </c>
      <c r="VZE324" s="26" t="s">
        <v>366</v>
      </c>
      <c r="VZF324" s="26" t="s">
        <v>366</v>
      </c>
      <c r="VZG324" s="26" t="s">
        <v>366</v>
      </c>
      <c r="VZH324" s="26" t="s">
        <v>366</v>
      </c>
      <c r="VZI324" s="26" t="s">
        <v>366</v>
      </c>
      <c r="VZJ324" s="26" t="s">
        <v>366</v>
      </c>
      <c r="VZK324" s="26" t="s">
        <v>366</v>
      </c>
      <c r="VZL324" s="26" t="s">
        <v>366</v>
      </c>
      <c r="VZM324" s="26" t="s">
        <v>366</v>
      </c>
      <c r="VZN324" s="26" t="s">
        <v>366</v>
      </c>
      <c r="VZO324" s="26" t="s">
        <v>366</v>
      </c>
      <c r="VZP324" s="26" t="s">
        <v>366</v>
      </c>
      <c r="VZQ324" s="26" t="s">
        <v>366</v>
      </c>
      <c r="VZR324" s="26" t="s">
        <v>366</v>
      </c>
      <c r="VZS324" s="26" t="s">
        <v>366</v>
      </c>
      <c r="VZT324" s="26" t="s">
        <v>366</v>
      </c>
      <c r="VZU324" s="26" t="s">
        <v>366</v>
      </c>
      <c r="VZV324" s="26" t="s">
        <v>366</v>
      </c>
      <c r="VZW324" s="26" t="s">
        <v>366</v>
      </c>
      <c r="VZX324" s="26" t="s">
        <v>366</v>
      </c>
      <c r="VZY324" s="26" t="s">
        <v>366</v>
      </c>
      <c r="VZZ324" s="26" t="s">
        <v>366</v>
      </c>
      <c r="WAA324" s="26" t="s">
        <v>366</v>
      </c>
      <c r="WAB324" s="26" t="s">
        <v>366</v>
      </c>
      <c r="WAC324" s="26" t="s">
        <v>366</v>
      </c>
      <c r="WAD324" s="26" t="s">
        <v>366</v>
      </c>
      <c r="WAE324" s="26" t="s">
        <v>366</v>
      </c>
      <c r="WAF324" s="26" t="s">
        <v>366</v>
      </c>
      <c r="WAG324" s="26" t="s">
        <v>366</v>
      </c>
      <c r="WAH324" s="26" t="s">
        <v>366</v>
      </c>
      <c r="WAI324" s="26" t="s">
        <v>366</v>
      </c>
      <c r="WAJ324" s="26" t="s">
        <v>366</v>
      </c>
      <c r="WAK324" s="26" t="s">
        <v>366</v>
      </c>
      <c r="WAL324" s="26" t="s">
        <v>366</v>
      </c>
      <c r="WAM324" s="26" t="s">
        <v>366</v>
      </c>
      <c r="WAN324" s="26" t="s">
        <v>366</v>
      </c>
      <c r="WAO324" s="26" t="s">
        <v>366</v>
      </c>
      <c r="WAP324" s="26" t="s">
        <v>366</v>
      </c>
      <c r="WAQ324" s="26" t="s">
        <v>366</v>
      </c>
      <c r="WAR324" s="26" t="s">
        <v>366</v>
      </c>
      <c r="WAS324" s="26" t="s">
        <v>366</v>
      </c>
      <c r="WAT324" s="26" t="s">
        <v>366</v>
      </c>
      <c r="WAU324" s="26" t="s">
        <v>366</v>
      </c>
      <c r="WAV324" s="26" t="s">
        <v>366</v>
      </c>
      <c r="WAW324" s="26" t="s">
        <v>366</v>
      </c>
      <c r="WAX324" s="26" t="s">
        <v>366</v>
      </c>
      <c r="WAY324" s="26" t="s">
        <v>366</v>
      </c>
      <c r="WAZ324" s="26" t="s">
        <v>366</v>
      </c>
      <c r="WBA324" s="26" t="s">
        <v>366</v>
      </c>
      <c r="WBB324" s="26" t="s">
        <v>366</v>
      </c>
      <c r="WBC324" s="26" t="s">
        <v>366</v>
      </c>
      <c r="WBD324" s="26" t="s">
        <v>366</v>
      </c>
      <c r="WBE324" s="26" t="s">
        <v>366</v>
      </c>
      <c r="WBF324" s="26" t="s">
        <v>366</v>
      </c>
      <c r="WBG324" s="26" t="s">
        <v>366</v>
      </c>
      <c r="WBH324" s="26" t="s">
        <v>366</v>
      </c>
      <c r="WBI324" s="26" t="s">
        <v>366</v>
      </c>
      <c r="WBJ324" s="26" t="s">
        <v>366</v>
      </c>
      <c r="WBK324" s="26" t="s">
        <v>366</v>
      </c>
      <c r="WBL324" s="26" t="s">
        <v>366</v>
      </c>
      <c r="WBM324" s="26" t="s">
        <v>366</v>
      </c>
      <c r="WBN324" s="26" t="s">
        <v>366</v>
      </c>
      <c r="WBO324" s="26" t="s">
        <v>366</v>
      </c>
      <c r="WBP324" s="26" t="s">
        <v>366</v>
      </c>
      <c r="WBQ324" s="26" t="s">
        <v>366</v>
      </c>
      <c r="WBR324" s="26" t="s">
        <v>366</v>
      </c>
      <c r="WBS324" s="26" t="s">
        <v>366</v>
      </c>
      <c r="WBT324" s="26" t="s">
        <v>366</v>
      </c>
      <c r="WBU324" s="26" t="s">
        <v>366</v>
      </c>
      <c r="WBV324" s="26" t="s">
        <v>366</v>
      </c>
      <c r="WBW324" s="26" t="s">
        <v>366</v>
      </c>
      <c r="WBX324" s="26" t="s">
        <v>366</v>
      </c>
      <c r="WBY324" s="26" t="s">
        <v>366</v>
      </c>
      <c r="WBZ324" s="26" t="s">
        <v>366</v>
      </c>
      <c r="WCA324" s="26" t="s">
        <v>366</v>
      </c>
      <c r="WCB324" s="26" t="s">
        <v>366</v>
      </c>
      <c r="WCC324" s="26" t="s">
        <v>366</v>
      </c>
      <c r="WCD324" s="26" t="s">
        <v>366</v>
      </c>
      <c r="WCE324" s="26" t="s">
        <v>366</v>
      </c>
      <c r="WCF324" s="26" t="s">
        <v>366</v>
      </c>
      <c r="WCG324" s="26" t="s">
        <v>366</v>
      </c>
      <c r="WCH324" s="26" t="s">
        <v>366</v>
      </c>
      <c r="WCI324" s="26" t="s">
        <v>366</v>
      </c>
      <c r="WCJ324" s="26" t="s">
        <v>366</v>
      </c>
      <c r="WCK324" s="26" t="s">
        <v>366</v>
      </c>
      <c r="WCL324" s="26" t="s">
        <v>366</v>
      </c>
      <c r="WCM324" s="26" t="s">
        <v>366</v>
      </c>
      <c r="WCN324" s="26" t="s">
        <v>366</v>
      </c>
      <c r="WCO324" s="26" t="s">
        <v>366</v>
      </c>
      <c r="WCP324" s="26" t="s">
        <v>366</v>
      </c>
      <c r="WCQ324" s="26" t="s">
        <v>366</v>
      </c>
      <c r="WCR324" s="26" t="s">
        <v>366</v>
      </c>
      <c r="WCS324" s="26" t="s">
        <v>366</v>
      </c>
      <c r="WCT324" s="26" t="s">
        <v>366</v>
      </c>
      <c r="WCU324" s="26" t="s">
        <v>366</v>
      </c>
      <c r="WCV324" s="26" t="s">
        <v>366</v>
      </c>
      <c r="WCW324" s="26" t="s">
        <v>366</v>
      </c>
      <c r="WCX324" s="26" t="s">
        <v>366</v>
      </c>
      <c r="WCY324" s="26" t="s">
        <v>366</v>
      </c>
      <c r="WCZ324" s="26" t="s">
        <v>366</v>
      </c>
      <c r="WDA324" s="26" t="s">
        <v>366</v>
      </c>
      <c r="WDB324" s="26" t="s">
        <v>366</v>
      </c>
      <c r="WDC324" s="26" t="s">
        <v>366</v>
      </c>
      <c r="WDD324" s="26" t="s">
        <v>366</v>
      </c>
      <c r="WDE324" s="26" t="s">
        <v>366</v>
      </c>
      <c r="WDF324" s="26" t="s">
        <v>366</v>
      </c>
      <c r="WDG324" s="26" t="s">
        <v>366</v>
      </c>
      <c r="WDH324" s="26" t="s">
        <v>366</v>
      </c>
      <c r="WDI324" s="26" t="s">
        <v>366</v>
      </c>
      <c r="WDJ324" s="26" t="s">
        <v>366</v>
      </c>
      <c r="WDK324" s="26" t="s">
        <v>366</v>
      </c>
      <c r="WDL324" s="26" t="s">
        <v>366</v>
      </c>
      <c r="WDM324" s="26" t="s">
        <v>366</v>
      </c>
      <c r="WDN324" s="26" t="s">
        <v>366</v>
      </c>
      <c r="WDO324" s="26" t="s">
        <v>366</v>
      </c>
      <c r="WDP324" s="26" t="s">
        <v>366</v>
      </c>
      <c r="WDQ324" s="26" t="s">
        <v>366</v>
      </c>
      <c r="WDR324" s="26" t="s">
        <v>366</v>
      </c>
      <c r="WDS324" s="26" t="s">
        <v>366</v>
      </c>
      <c r="WDT324" s="26" t="s">
        <v>366</v>
      </c>
      <c r="WDU324" s="26" t="s">
        <v>366</v>
      </c>
      <c r="WDV324" s="26" t="s">
        <v>366</v>
      </c>
      <c r="WDW324" s="26" t="s">
        <v>366</v>
      </c>
      <c r="WDX324" s="26" t="s">
        <v>366</v>
      </c>
      <c r="WDY324" s="26" t="s">
        <v>366</v>
      </c>
      <c r="WDZ324" s="26" t="s">
        <v>366</v>
      </c>
      <c r="WEA324" s="26" t="s">
        <v>366</v>
      </c>
      <c r="WEB324" s="26" t="s">
        <v>366</v>
      </c>
      <c r="WEC324" s="26" t="s">
        <v>366</v>
      </c>
      <c r="WED324" s="26" t="s">
        <v>366</v>
      </c>
      <c r="WEE324" s="26" t="s">
        <v>366</v>
      </c>
      <c r="WEF324" s="26" t="s">
        <v>366</v>
      </c>
      <c r="WEG324" s="26" t="s">
        <v>366</v>
      </c>
      <c r="WEH324" s="26" t="s">
        <v>366</v>
      </c>
      <c r="WEI324" s="26" t="s">
        <v>366</v>
      </c>
      <c r="WEJ324" s="26" t="s">
        <v>366</v>
      </c>
      <c r="WEK324" s="26" t="s">
        <v>366</v>
      </c>
      <c r="WEL324" s="26" t="s">
        <v>366</v>
      </c>
      <c r="WEM324" s="26" t="s">
        <v>366</v>
      </c>
      <c r="WEN324" s="26" t="s">
        <v>366</v>
      </c>
      <c r="WEO324" s="26" t="s">
        <v>366</v>
      </c>
      <c r="WEP324" s="26" t="s">
        <v>366</v>
      </c>
      <c r="WEQ324" s="26" t="s">
        <v>366</v>
      </c>
      <c r="WER324" s="26" t="s">
        <v>366</v>
      </c>
      <c r="WES324" s="26" t="s">
        <v>366</v>
      </c>
      <c r="WET324" s="26" t="s">
        <v>366</v>
      </c>
      <c r="WEU324" s="26" t="s">
        <v>366</v>
      </c>
      <c r="WEV324" s="26" t="s">
        <v>366</v>
      </c>
      <c r="WEW324" s="26" t="s">
        <v>366</v>
      </c>
      <c r="WEX324" s="26" t="s">
        <v>366</v>
      </c>
      <c r="WEY324" s="26" t="s">
        <v>366</v>
      </c>
      <c r="WEZ324" s="26" t="s">
        <v>366</v>
      </c>
      <c r="WFA324" s="26" t="s">
        <v>366</v>
      </c>
      <c r="WFB324" s="26" t="s">
        <v>366</v>
      </c>
      <c r="WFC324" s="26" t="s">
        <v>366</v>
      </c>
      <c r="WFD324" s="26" t="s">
        <v>366</v>
      </c>
      <c r="WFE324" s="26" t="s">
        <v>366</v>
      </c>
      <c r="WFF324" s="26" t="s">
        <v>366</v>
      </c>
      <c r="WFG324" s="26" t="s">
        <v>366</v>
      </c>
      <c r="WFH324" s="26" t="s">
        <v>366</v>
      </c>
      <c r="WFI324" s="26" t="s">
        <v>366</v>
      </c>
      <c r="WFJ324" s="26" t="s">
        <v>366</v>
      </c>
      <c r="WFK324" s="26" t="s">
        <v>366</v>
      </c>
      <c r="WFL324" s="26" t="s">
        <v>366</v>
      </c>
      <c r="WFM324" s="26" t="s">
        <v>366</v>
      </c>
      <c r="WFN324" s="26" t="s">
        <v>366</v>
      </c>
      <c r="WFO324" s="26" t="s">
        <v>366</v>
      </c>
      <c r="WFP324" s="26" t="s">
        <v>366</v>
      </c>
      <c r="WFQ324" s="26" t="s">
        <v>366</v>
      </c>
      <c r="WFR324" s="26" t="s">
        <v>366</v>
      </c>
      <c r="WFS324" s="26" t="s">
        <v>366</v>
      </c>
      <c r="WFT324" s="26" t="s">
        <v>366</v>
      </c>
      <c r="WFU324" s="26" t="s">
        <v>366</v>
      </c>
      <c r="WFV324" s="26" t="s">
        <v>366</v>
      </c>
      <c r="WFW324" s="26" t="s">
        <v>366</v>
      </c>
      <c r="WFX324" s="26" t="s">
        <v>366</v>
      </c>
      <c r="WFY324" s="26" t="s">
        <v>366</v>
      </c>
      <c r="WFZ324" s="26" t="s">
        <v>366</v>
      </c>
      <c r="WGA324" s="26" t="s">
        <v>366</v>
      </c>
      <c r="WGB324" s="26" t="s">
        <v>366</v>
      </c>
      <c r="WGC324" s="26" t="s">
        <v>366</v>
      </c>
      <c r="WGD324" s="26" t="s">
        <v>366</v>
      </c>
      <c r="WGE324" s="26" t="s">
        <v>366</v>
      </c>
      <c r="WGF324" s="26" t="s">
        <v>366</v>
      </c>
      <c r="WGG324" s="26" t="s">
        <v>366</v>
      </c>
      <c r="WGH324" s="26" t="s">
        <v>366</v>
      </c>
      <c r="WGI324" s="26" t="s">
        <v>366</v>
      </c>
      <c r="WGJ324" s="26" t="s">
        <v>366</v>
      </c>
      <c r="WGK324" s="26" t="s">
        <v>366</v>
      </c>
      <c r="WGL324" s="26" t="s">
        <v>366</v>
      </c>
      <c r="WGM324" s="26" t="s">
        <v>366</v>
      </c>
      <c r="WGN324" s="26" t="s">
        <v>366</v>
      </c>
      <c r="WGO324" s="26" t="s">
        <v>366</v>
      </c>
      <c r="WGP324" s="26" t="s">
        <v>366</v>
      </c>
      <c r="WGQ324" s="26" t="s">
        <v>366</v>
      </c>
      <c r="WGR324" s="26" t="s">
        <v>366</v>
      </c>
      <c r="WGS324" s="26" t="s">
        <v>366</v>
      </c>
      <c r="WGT324" s="26" t="s">
        <v>366</v>
      </c>
      <c r="WGU324" s="26" t="s">
        <v>366</v>
      </c>
      <c r="WGV324" s="26" t="s">
        <v>366</v>
      </c>
      <c r="WGW324" s="26" t="s">
        <v>366</v>
      </c>
      <c r="WGX324" s="26" t="s">
        <v>366</v>
      </c>
      <c r="WGY324" s="26" t="s">
        <v>366</v>
      </c>
      <c r="WGZ324" s="26" t="s">
        <v>366</v>
      </c>
      <c r="WHA324" s="26" t="s">
        <v>366</v>
      </c>
      <c r="WHB324" s="26" t="s">
        <v>366</v>
      </c>
      <c r="WHC324" s="26" t="s">
        <v>366</v>
      </c>
      <c r="WHD324" s="26" t="s">
        <v>366</v>
      </c>
      <c r="WHE324" s="26" t="s">
        <v>366</v>
      </c>
      <c r="WHF324" s="26" t="s">
        <v>366</v>
      </c>
      <c r="WHG324" s="26" t="s">
        <v>366</v>
      </c>
      <c r="WHH324" s="26" t="s">
        <v>366</v>
      </c>
      <c r="WHI324" s="26" t="s">
        <v>366</v>
      </c>
      <c r="WHJ324" s="26" t="s">
        <v>366</v>
      </c>
      <c r="WHK324" s="26" t="s">
        <v>366</v>
      </c>
      <c r="WHL324" s="26" t="s">
        <v>366</v>
      </c>
      <c r="WHM324" s="26" t="s">
        <v>366</v>
      </c>
      <c r="WHN324" s="26" t="s">
        <v>366</v>
      </c>
      <c r="WHO324" s="26" t="s">
        <v>366</v>
      </c>
      <c r="WHP324" s="26" t="s">
        <v>366</v>
      </c>
      <c r="WHQ324" s="26" t="s">
        <v>366</v>
      </c>
      <c r="WHR324" s="26" t="s">
        <v>366</v>
      </c>
      <c r="WHS324" s="26" t="s">
        <v>366</v>
      </c>
      <c r="WHT324" s="26" t="s">
        <v>366</v>
      </c>
      <c r="WHU324" s="26" t="s">
        <v>366</v>
      </c>
      <c r="WHV324" s="26" t="s">
        <v>366</v>
      </c>
      <c r="WHW324" s="26" t="s">
        <v>366</v>
      </c>
      <c r="WHX324" s="26" t="s">
        <v>366</v>
      </c>
      <c r="WHY324" s="26" t="s">
        <v>366</v>
      </c>
      <c r="WHZ324" s="26" t="s">
        <v>366</v>
      </c>
      <c r="WIA324" s="26" t="s">
        <v>366</v>
      </c>
      <c r="WIB324" s="26" t="s">
        <v>366</v>
      </c>
      <c r="WIC324" s="26" t="s">
        <v>366</v>
      </c>
      <c r="WID324" s="26" t="s">
        <v>366</v>
      </c>
      <c r="WIE324" s="26" t="s">
        <v>366</v>
      </c>
      <c r="WIF324" s="26" t="s">
        <v>366</v>
      </c>
      <c r="WIG324" s="26" t="s">
        <v>366</v>
      </c>
      <c r="WIH324" s="26" t="s">
        <v>366</v>
      </c>
      <c r="WII324" s="26" t="s">
        <v>366</v>
      </c>
      <c r="WIJ324" s="26" t="s">
        <v>366</v>
      </c>
      <c r="WIK324" s="26" t="s">
        <v>366</v>
      </c>
      <c r="WIL324" s="26" t="s">
        <v>366</v>
      </c>
      <c r="WIM324" s="26" t="s">
        <v>366</v>
      </c>
      <c r="WIN324" s="26" t="s">
        <v>366</v>
      </c>
      <c r="WIO324" s="26" t="s">
        <v>366</v>
      </c>
      <c r="WIP324" s="26" t="s">
        <v>366</v>
      </c>
      <c r="WIQ324" s="26" t="s">
        <v>366</v>
      </c>
      <c r="WIR324" s="26" t="s">
        <v>366</v>
      </c>
      <c r="WIS324" s="26" t="s">
        <v>366</v>
      </c>
      <c r="WIT324" s="26" t="s">
        <v>366</v>
      </c>
      <c r="WIU324" s="26" t="s">
        <v>366</v>
      </c>
      <c r="WIV324" s="26" t="s">
        <v>366</v>
      </c>
      <c r="WIW324" s="26" t="s">
        <v>366</v>
      </c>
      <c r="WIX324" s="26" t="s">
        <v>366</v>
      </c>
      <c r="WIY324" s="26" t="s">
        <v>366</v>
      </c>
      <c r="WIZ324" s="26" t="s">
        <v>366</v>
      </c>
      <c r="WJA324" s="26" t="s">
        <v>366</v>
      </c>
      <c r="WJB324" s="26" t="s">
        <v>366</v>
      </c>
      <c r="WJC324" s="26" t="s">
        <v>366</v>
      </c>
      <c r="WJD324" s="26" t="s">
        <v>366</v>
      </c>
      <c r="WJE324" s="26" t="s">
        <v>366</v>
      </c>
      <c r="WJF324" s="26" t="s">
        <v>366</v>
      </c>
      <c r="WJG324" s="26" t="s">
        <v>366</v>
      </c>
      <c r="WJH324" s="26" t="s">
        <v>366</v>
      </c>
      <c r="WJI324" s="26" t="s">
        <v>366</v>
      </c>
      <c r="WJJ324" s="26" t="s">
        <v>366</v>
      </c>
      <c r="WJK324" s="26" t="s">
        <v>366</v>
      </c>
      <c r="WJL324" s="26" t="s">
        <v>366</v>
      </c>
      <c r="WJM324" s="26" t="s">
        <v>366</v>
      </c>
      <c r="WJN324" s="26" t="s">
        <v>366</v>
      </c>
      <c r="WJO324" s="26" t="s">
        <v>366</v>
      </c>
      <c r="WJP324" s="26" t="s">
        <v>366</v>
      </c>
      <c r="WJQ324" s="26" t="s">
        <v>366</v>
      </c>
      <c r="WJR324" s="26" t="s">
        <v>366</v>
      </c>
      <c r="WJS324" s="26" t="s">
        <v>366</v>
      </c>
      <c r="WJT324" s="26" t="s">
        <v>366</v>
      </c>
      <c r="WJU324" s="26" t="s">
        <v>366</v>
      </c>
      <c r="WJV324" s="26" t="s">
        <v>366</v>
      </c>
      <c r="WJW324" s="26" t="s">
        <v>366</v>
      </c>
      <c r="WJX324" s="26" t="s">
        <v>366</v>
      </c>
      <c r="WJY324" s="26" t="s">
        <v>366</v>
      </c>
      <c r="WJZ324" s="26" t="s">
        <v>366</v>
      </c>
      <c r="WKA324" s="26" t="s">
        <v>366</v>
      </c>
      <c r="WKB324" s="26" t="s">
        <v>366</v>
      </c>
      <c r="WKC324" s="26" t="s">
        <v>366</v>
      </c>
      <c r="WKD324" s="26" t="s">
        <v>366</v>
      </c>
      <c r="WKE324" s="26" t="s">
        <v>366</v>
      </c>
      <c r="WKF324" s="26" t="s">
        <v>366</v>
      </c>
      <c r="WKG324" s="26" t="s">
        <v>366</v>
      </c>
      <c r="WKH324" s="26" t="s">
        <v>366</v>
      </c>
      <c r="WKI324" s="26" t="s">
        <v>366</v>
      </c>
      <c r="WKJ324" s="26" t="s">
        <v>366</v>
      </c>
      <c r="WKK324" s="26" t="s">
        <v>366</v>
      </c>
      <c r="WKL324" s="26" t="s">
        <v>366</v>
      </c>
      <c r="WKM324" s="26" t="s">
        <v>366</v>
      </c>
      <c r="WKN324" s="26" t="s">
        <v>366</v>
      </c>
      <c r="WKO324" s="26" t="s">
        <v>366</v>
      </c>
      <c r="WKP324" s="26" t="s">
        <v>366</v>
      </c>
      <c r="WKQ324" s="26" t="s">
        <v>366</v>
      </c>
      <c r="WKR324" s="26" t="s">
        <v>366</v>
      </c>
      <c r="WKS324" s="26" t="s">
        <v>366</v>
      </c>
      <c r="WKT324" s="26" t="s">
        <v>366</v>
      </c>
      <c r="WKU324" s="26" t="s">
        <v>366</v>
      </c>
      <c r="WKV324" s="26" t="s">
        <v>366</v>
      </c>
      <c r="WKW324" s="26" t="s">
        <v>366</v>
      </c>
      <c r="WKX324" s="26" t="s">
        <v>366</v>
      </c>
      <c r="WKY324" s="26" t="s">
        <v>366</v>
      </c>
      <c r="WKZ324" s="26" t="s">
        <v>366</v>
      </c>
      <c r="WLA324" s="26" t="s">
        <v>366</v>
      </c>
      <c r="WLB324" s="26" t="s">
        <v>366</v>
      </c>
      <c r="WLC324" s="26" t="s">
        <v>366</v>
      </c>
      <c r="WLD324" s="26" t="s">
        <v>366</v>
      </c>
      <c r="WLE324" s="26" t="s">
        <v>366</v>
      </c>
      <c r="WLF324" s="26" t="s">
        <v>366</v>
      </c>
      <c r="WLG324" s="26" t="s">
        <v>366</v>
      </c>
      <c r="WLH324" s="26" t="s">
        <v>366</v>
      </c>
      <c r="WLI324" s="26" t="s">
        <v>366</v>
      </c>
      <c r="WLJ324" s="26" t="s">
        <v>366</v>
      </c>
      <c r="WLK324" s="26" t="s">
        <v>366</v>
      </c>
      <c r="WLL324" s="26" t="s">
        <v>366</v>
      </c>
      <c r="WLM324" s="26" t="s">
        <v>366</v>
      </c>
      <c r="WLN324" s="26" t="s">
        <v>366</v>
      </c>
      <c r="WLO324" s="26" t="s">
        <v>366</v>
      </c>
      <c r="WLP324" s="26" t="s">
        <v>366</v>
      </c>
      <c r="WLQ324" s="26" t="s">
        <v>366</v>
      </c>
      <c r="WLR324" s="26" t="s">
        <v>366</v>
      </c>
      <c r="WLS324" s="26" t="s">
        <v>366</v>
      </c>
      <c r="WLT324" s="26" t="s">
        <v>366</v>
      </c>
      <c r="WLU324" s="26" t="s">
        <v>366</v>
      </c>
      <c r="WLV324" s="26" t="s">
        <v>366</v>
      </c>
      <c r="WLW324" s="26" t="s">
        <v>366</v>
      </c>
      <c r="WLX324" s="26" t="s">
        <v>366</v>
      </c>
      <c r="WLY324" s="26" t="s">
        <v>366</v>
      </c>
      <c r="WLZ324" s="26" t="s">
        <v>366</v>
      </c>
      <c r="WMA324" s="26" t="s">
        <v>366</v>
      </c>
      <c r="WMB324" s="26" t="s">
        <v>366</v>
      </c>
      <c r="WMC324" s="26" t="s">
        <v>366</v>
      </c>
      <c r="WMD324" s="26" t="s">
        <v>366</v>
      </c>
      <c r="WME324" s="26" t="s">
        <v>366</v>
      </c>
      <c r="WMF324" s="26" t="s">
        <v>366</v>
      </c>
      <c r="WMG324" s="26" t="s">
        <v>366</v>
      </c>
      <c r="WMH324" s="26" t="s">
        <v>366</v>
      </c>
      <c r="WMI324" s="26" t="s">
        <v>366</v>
      </c>
      <c r="WMJ324" s="26" t="s">
        <v>366</v>
      </c>
      <c r="WMK324" s="26" t="s">
        <v>366</v>
      </c>
      <c r="WML324" s="26" t="s">
        <v>366</v>
      </c>
      <c r="WMM324" s="26" t="s">
        <v>366</v>
      </c>
      <c r="WMN324" s="26" t="s">
        <v>366</v>
      </c>
      <c r="WMO324" s="26" t="s">
        <v>366</v>
      </c>
      <c r="WMP324" s="26" t="s">
        <v>366</v>
      </c>
      <c r="WMQ324" s="26" t="s">
        <v>366</v>
      </c>
      <c r="WMR324" s="26" t="s">
        <v>366</v>
      </c>
      <c r="WMS324" s="26" t="s">
        <v>366</v>
      </c>
      <c r="WMT324" s="26" t="s">
        <v>366</v>
      </c>
      <c r="WMU324" s="26" t="s">
        <v>366</v>
      </c>
      <c r="WMV324" s="26" t="s">
        <v>366</v>
      </c>
      <c r="WMW324" s="26" t="s">
        <v>366</v>
      </c>
      <c r="WMX324" s="26" t="s">
        <v>366</v>
      </c>
      <c r="WMY324" s="26" t="s">
        <v>366</v>
      </c>
      <c r="WMZ324" s="26" t="s">
        <v>366</v>
      </c>
      <c r="WNA324" s="26" t="s">
        <v>366</v>
      </c>
      <c r="WNB324" s="26" t="s">
        <v>366</v>
      </c>
      <c r="WNC324" s="26" t="s">
        <v>366</v>
      </c>
      <c r="WND324" s="26" t="s">
        <v>366</v>
      </c>
      <c r="WNE324" s="26" t="s">
        <v>366</v>
      </c>
      <c r="WNF324" s="26" t="s">
        <v>366</v>
      </c>
      <c r="WNG324" s="26" t="s">
        <v>366</v>
      </c>
      <c r="WNH324" s="26" t="s">
        <v>366</v>
      </c>
      <c r="WNI324" s="26" t="s">
        <v>366</v>
      </c>
      <c r="WNJ324" s="26" t="s">
        <v>366</v>
      </c>
      <c r="WNK324" s="26" t="s">
        <v>366</v>
      </c>
      <c r="WNL324" s="26" t="s">
        <v>366</v>
      </c>
      <c r="WNM324" s="26" t="s">
        <v>366</v>
      </c>
      <c r="WNN324" s="26" t="s">
        <v>366</v>
      </c>
      <c r="WNO324" s="26" t="s">
        <v>366</v>
      </c>
      <c r="WNP324" s="26" t="s">
        <v>366</v>
      </c>
      <c r="WNQ324" s="26" t="s">
        <v>366</v>
      </c>
      <c r="WNR324" s="26" t="s">
        <v>366</v>
      </c>
      <c r="WNS324" s="26" t="s">
        <v>366</v>
      </c>
      <c r="WNT324" s="26" t="s">
        <v>366</v>
      </c>
      <c r="WNU324" s="26" t="s">
        <v>366</v>
      </c>
      <c r="WNV324" s="26" t="s">
        <v>366</v>
      </c>
      <c r="WNW324" s="26" t="s">
        <v>366</v>
      </c>
      <c r="WNX324" s="26" t="s">
        <v>366</v>
      </c>
      <c r="WNY324" s="26" t="s">
        <v>366</v>
      </c>
      <c r="WNZ324" s="26" t="s">
        <v>366</v>
      </c>
      <c r="WOA324" s="26" t="s">
        <v>366</v>
      </c>
      <c r="WOB324" s="26" t="s">
        <v>366</v>
      </c>
      <c r="WOC324" s="26" t="s">
        <v>366</v>
      </c>
      <c r="WOD324" s="26" t="s">
        <v>366</v>
      </c>
      <c r="WOE324" s="26" t="s">
        <v>366</v>
      </c>
      <c r="WOF324" s="26" t="s">
        <v>366</v>
      </c>
      <c r="WOG324" s="26" t="s">
        <v>366</v>
      </c>
      <c r="WOH324" s="26" t="s">
        <v>366</v>
      </c>
      <c r="WOI324" s="26" t="s">
        <v>366</v>
      </c>
      <c r="WOJ324" s="26" t="s">
        <v>366</v>
      </c>
      <c r="WOK324" s="26" t="s">
        <v>366</v>
      </c>
      <c r="WOL324" s="26" t="s">
        <v>366</v>
      </c>
      <c r="WOM324" s="26" t="s">
        <v>366</v>
      </c>
      <c r="WON324" s="26" t="s">
        <v>366</v>
      </c>
      <c r="WOO324" s="26" t="s">
        <v>366</v>
      </c>
      <c r="WOP324" s="26" t="s">
        <v>366</v>
      </c>
      <c r="WOQ324" s="26" t="s">
        <v>366</v>
      </c>
      <c r="WOR324" s="26" t="s">
        <v>366</v>
      </c>
      <c r="WOS324" s="26" t="s">
        <v>366</v>
      </c>
      <c r="WOT324" s="26" t="s">
        <v>366</v>
      </c>
      <c r="WOU324" s="26" t="s">
        <v>366</v>
      </c>
      <c r="WOV324" s="26" t="s">
        <v>366</v>
      </c>
      <c r="WOW324" s="26" t="s">
        <v>366</v>
      </c>
      <c r="WOX324" s="26" t="s">
        <v>366</v>
      </c>
      <c r="WOY324" s="26" t="s">
        <v>366</v>
      </c>
      <c r="WOZ324" s="26" t="s">
        <v>366</v>
      </c>
      <c r="WPA324" s="26" t="s">
        <v>366</v>
      </c>
      <c r="WPB324" s="26" t="s">
        <v>366</v>
      </c>
      <c r="WPC324" s="26" t="s">
        <v>366</v>
      </c>
      <c r="WPD324" s="26" t="s">
        <v>366</v>
      </c>
      <c r="WPE324" s="26" t="s">
        <v>366</v>
      </c>
      <c r="WPF324" s="26" t="s">
        <v>366</v>
      </c>
      <c r="WPG324" s="26" t="s">
        <v>366</v>
      </c>
      <c r="WPH324" s="26" t="s">
        <v>366</v>
      </c>
      <c r="WPI324" s="26" t="s">
        <v>366</v>
      </c>
      <c r="WPJ324" s="26" t="s">
        <v>366</v>
      </c>
      <c r="WPK324" s="26" t="s">
        <v>366</v>
      </c>
      <c r="WPL324" s="26" t="s">
        <v>366</v>
      </c>
      <c r="WPM324" s="26" t="s">
        <v>366</v>
      </c>
      <c r="WPN324" s="26" t="s">
        <v>366</v>
      </c>
      <c r="WPO324" s="26" t="s">
        <v>366</v>
      </c>
      <c r="WPP324" s="26" t="s">
        <v>366</v>
      </c>
      <c r="WPQ324" s="26" t="s">
        <v>366</v>
      </c>
      <c r="WPR324" s="26" t="s">
        <v>366</v>
      </c>
      <c r="WPS324" s="26" t="s">
        <v>366</v>
      </c>
      <c r="WPT324" s="26" t="s">
        <v>366</v>
      </c>
      <c r="WPU324" s="26" t="s">
        <v>366</v>
      </c>
      <c r="WPV324" s="26" t="s">
        <v>366</v>
      </c>
      <c r="WPW324" s="26" t="s">
        <v>366</v>
      </c>
      <c r="WPX324" s="26" t="s">
        <v>366</v>
      </c>
      <c r="WPY324" s="26" t="s">
        <v>366</v>
      </c>
      <c r="WPZ324" s="26" t="s">
        <v>366</v>
      </c>
      <c r="WQA324" s="26" t="s">
        <v>366</v>
      </c>
      <c r="WQB324" s="26" t="s">
        <v>366</v>
      </c>
      <c r="WQC324" s="26" t="s">
        <v>366</v>
      </c>
      <c r="WQD324" s="26" t="s">
        <v>366</v>
      </c>
      <c r="WQE324" s="26" t="s">
        <v>366</v>
      </c>
      <c r="WQF324" s="26" t="s">
        <v>366</v>
      </c>
      <c r="WQG324" s="26" t="s">
        <v>366</v>
      </c>
      <c r="WQH324" s="26" t="s">
        <v>366</v>
      </c>
      <c r="WQI324" s="26" t="s">
        <v>366</v>
      </c>
      <c r="WQJ324" s="26" t="s">
        <v>366</v>
      </c>
      <c r="WQK324" s="26" t="s">
        <v>366</v>
      </c>
      <c r="WQL324" s="26" t="s">
        <v>366</v>
      </c>
      <c r="WQM324" s="26" t="s">
        <v>366</v>
      </c>
      <c r="WQN324" s="26" t="s">
        <v>366</v>
      </c>
      <c r="WQO324" s="26" t="s">
        <v>366</v>
      </c>
      <c r="WQP324" s="26" t="s">
        <v>366</v>
      </c>
      <c r="WQQ324" s="26" t="s">
        <v>366</v>
      </c>
      <c r="WQR324" s="26" t="s">
        <v>366</v>
      </c>
      <c r="WQS324" s="26" t="s">
        <v>366</v>
      </c>
      <c r="WQT324" s="26" t="s">
        <v>366</v>
      </c>
      <c r="WQU324" s="26" t="s">
        <v>366</v>
      </c>
      <c r="WQV324" s="26" t="s">
        <v>366</v>
      </c>
      <c r="WQW324" s="26" t="s">
        <v>366</v>
      </c>
      <c r="WQX324" s="26" t="s">
        <v>366</v>
      </c>
      <c r="WQY324" s="26" t="s">
        <v>366</v>
      </c>
      <c r="WQZ324" s="26" t="s">
        <v>366</v>
      </c>
      <c r="WRA324" s="26" t="s">
        <v>366</v>
      </c>
      <c r="WRB324" s="26" t="s">
        <v>366</v>
      </c>
      <c r="WRC324" s="26" t="s">
        <v>366</v>
      </c>
      <c r="WRD324" s="26" t="s">
        <v>366</v>
      </c>
      <c r="WRE324" s="26" t="s">
        <v>366</v>
      </c>
      <c r="WRF324" s="26" t="s">
        <v>366</v>
      </c>
      <c r="WRG324" s="26" t="s">
        <v>366</v>
      </c>
      <c r="WRH324" s="26" t="s">
        <v>366</v>
      </c>
      <c r="WRI324" s="26" t="s">
        <v>366</v>
      </c>
      <c r="WRJ324" s="26" t="s">
        <v>366</v>
      </c>
      <c r="WRK324" s="26" t="s">
        <v>366</v>
      </c>
      <c r="WRL324" s="26" t="s">
        <v>366</v>
      </c>
      <c r="WRM324" s="26" t="s">
        <v>366</v>
      </c>
      <c r="WRN324" s="26" t="s">
        <v>366</v>
      </c>
      <c r="WRO324" s="26" t="s">
        <v>366</v>
      </c>
      <c r="WRP324" s="26" t="s">
        <v>366</v>
      </c>
      <c r="WRQ324" s="26" t="s">
        <v>366</v>
      </c>
      <c r="WRR324" s="26" t="s">
        <v>366</v>
      </c>
      <c r="WRS324" s="26" t="s">
        <v>366</v>
      </c>
      <c r="WRT324" s="26" t="s">
        <v>366</v>
      </c>
      <c r="WRU324" s="26" t="s">
        <v>366</v>
      </c>
      <c r="WRV324" s="26" t="s">
        <v>366</v>
      </c>
      <c r="WRW324" s="26" t="s">
        <v>366</v>
      </c>
      <c r="WRX324" s="26" t="s">
        <v>366</v>
      </c>
      <c r="WRY324" s="26" t="s">
        <v>366</v>
      </c>
      <c r="WRZ324" s="26" t="s">
        <v>366</v>
      </c>
      <c r="WSA324" s="26" t="s">
        <v>366</v>
      </c>
      <c r="WSB324" s="26" t="s">
        <v>366</v>
      </c>
      <c r="WSC324" s="26" t="s">
        <v>366</v>
      </c>
      <c r="WSD324" s="26" t="s">
        <v>366</v>
      </c>
      <c r="WSE324" s="26" t="s">
        <v>366</v>
      </c>
      <c r="WSF324" s="26" t="s">
        <v>366</v>
      </c>
      <c r="WSG324" s="26" t="s">
        <v>366</v>
      </c>
      <c r="WSH324" s="26" t="s">
        <v>366</v>
      </c>
      <c r="WSI324" s="26" t="s">
        <v>366</v>
      </c>
      <c r="WSJ324" s="26" t="s">
        <v>366</v>
      </c>
      <c r="WSK324" s="26" t="s">
        <v>366</v>
      </c>
      <c r="WSL324" s="26" t="s">
        <v>366</v>
      </c>
      <c r="WSM324" s="26" t="s">
        <v>366</v>
      </c>
      <c r="WSN324" s="26" t="s">
        <v>366</v>
      </c>
      <c r="WSO324" s="26" t="s">
        <v>366</v>
      </c>
      <c r="WSP324" s="26" t="s">
        <v>366</v>
      </c>
      <c r="WSQ324" s="26" t="s">
        <v>366</v>
      </c>
      <c r="WSR324" s="26" t="s">
        <v>366</v>
      </c>
      <c r="WSS324" s="26" t="s">
        <v>366</v>
      </c>
      <c r="WST324" s="26" t="s">
        <v>366</v>
      </c>
      <c r="WSU324" s="26" t="s">
        <v>366</v>
      </c>
      <c r="WSV324" s="26" t="s">
        <v>366</v>
      </c>
      <c r="WSW324" s="26" t="s">
        <v>366</v>
      </c>
      <c r="WSX324" s="26" t="s">
        <v>366</v>
      </c>
      <c r="WSY324" s="26" t="s">
        <v>366</v>
      </c>
      <c r="WSZ324" s="26" t="s">
        <v>366</v>
      </c>
      <c r="WTA324" s="26" t="s">
        <v>366</v>
      </c>
      <c r="WTB324" s="26" t="s">
        <v>366</v>
      </c>
      <c r="WTC324" s="26" t="s">
        <v>366</v>
      </c>
      <c r="WTD324" s="26" t="s">
        <v>366</v>
      </c>
      <c r="WTE324" s="26" t="s">
        <v>366</v>
      </c>
      <c r="WTF324" s="26" t="s">
        <v>366</v>
      </c>
      <c r="WTG324" s="26" t="s">
        <v>366</v>
      </c>
      <c r="WTH324" s="26" t="s">
        <v>366</v>
      </c>
      <c r="WTI324" s="26" t="s">
        <v>366</v>
      </c>
      <c r="WTJ324" s="26" t="s">
        <v>366</v>
      </c>
      <c r="WTK324" s="26" t="s">
        <v>366</v>
      </c>
      <c r="WTL324" s="26" t="s">
        <v>366</v>
      </c>
      <c r="WTM324" s="26" t="s">
        <v>366</v>
      </c>
      <c r="WTN324" s="26" t="s">
        <v>366</v>
      </c>
      <c r="WTO324" s="26" t="s">
        <v>366</v>
      </c>
      <c r="WTP324" s="26" t="s">
        <v>366</v>
      </c>
      <c r="WTQ324" s="26" t="s">
        <v>366</v>
      </c>
      <c r="WTR324" s="26" t="s">
        <v>366</v>
      </c>
      <c r="WTS324" s="26" t="s">
        <v>366</v>
      </c>
      <c r="WTT324" s="26" t="s">
        <v>366</v>
      </c>
      <c r="WTU324" s="26" t="s">
        <v>366</v>
      </c>
      <c r="WTV324" s="26" t="s">
        <v>366</v>
      </c>
      <c r="WTW324" s="26" t="s">
        <v>366</v>
      </c>
      <c r="WTX324" s="26" t="s">
        <v>366</v>
      </c>
      <c r="WTY324" s="26" t="s">
        <v>366</v>
      </c>
      <c r="WTZ324" s="26" t="s">
        <v>366</v>
      </c>
      <c r="WUA324" s="26" t="s">
        <v>366</v>
      </c>
      <c r="WUB324" s="26" t="s">
        <v>366</v>
      </c>
      <c r="WUC324" s="26" t="s">
        <v>366</v>
      </c>
      <c r="WUD324" s="26" t="s">
        <v>366</v>
      </c>
      <c r="WUE324" s="26" t="s">
        <v>366</v>
      </c>
      <c r="WUF324" s="26" t="s">
        <v>366</v>
      </c>
      <c r="WUG324" s="26" t="s">
        <v>366</v>
      </c>
      <c r="WUH324" s="26" t="s">
        <v>366</v>
      </c>
      <c r="WUI324" s="26" t="s">
        <v>366</v>
      </c>
      <c r="WUJ324" s="26" t="s">
        <v>366</v>
      </c>
      <c r="WUK324" s="26" t="s">
        <v>366</v>
      </c>
      <c r="WUL324" s="26" t="s">
        <v>366</v>
      </c>
      <c r="WUM324" s="26" t="s">
        <v>366</v>
      </c>
      <c r="WUN324" s="26" t="s">
        <v>366</v>
      </c>
      <c r="WUO324" s="26" t="s">
        <v>366</v>
      </c>
      <c r="WUP324" s="26" t="s">
        <v>366</v>
      </c>
      <c r="WUQ324" s="26" t="s">
        <v>366</v>
      </c>
      <c r="WUR324" s="26" t="s">
        <v>366</v>
      </c>
      <c r="WUS324" s="26" t="s">
        <v>366</v>
      </c>
      <c r="WUT324" s="26" t="s">
        <v>366</v>
      </c>
      <c r="WUU324" s="26" t="s">
        <v>366</v>
      </c>
      <c r="WUV324" s="26" t="s">
        <v>366</v>
      </c>
      <c r="WUW324" s="26" t="s">
        <v>366</v>
      </c>
      <c r="WUX324" s="26" t="s">
        <v>366</v>
      </c>
      <c r="WUY324" s="26" t="s">
        <v>366</v>
      </c>
      <c r="WUZ324" s="26" t="s">
        <v>366</v>
      </c>
      <c r="WVA324" s="26" t="s">
        <v>366</v>
      </c>
      <c r="WVB324" s="26" t="s">
        <v>366</v>
      </c>
      <c r="WVC324" s="26" t="s">
        <v>366</v>
      </c>
      <c r="WVD324" s="26" t="s">
        <v>366</v>
      </c>
      <c r="WVE324" s="26" t="s">
        <v>366</v>
      </c>
      <c r="WVF324" s="26" t="s">
        <v>366</v>
      </c>
      <c r="WVG324" s="26" t="s">
        <v>366</v>
      </c>
      <c r="WVH324" s="26" t="s">
        <v>366</v>
      </c>
      <c r="WVI324" s="26" t="s">
        <v>366</v>
      </c>
      <c r="WVJ324" s="26" t="s">
        <v>366</v>
      </c>
      <c r="WVK324" s="26" t="s">
        <v>366</v>
      </c>
      <c r="WVL324" s="26" t="s">
        <v>366</v>
      </c>
      <c r="WVM324" s="26" t="s">
        <v>366</v>
      </c>
      <c r="WVN324" s="26" t="s">
        <v>366</v>
      </c>
      <c r="WVO324" s="26" t="s">
        <v>366</v>
      </c>
      <c r="WVP324" s="26" t="s">
        <v>366</v>
      </c>
      <c r="WVQ324" s="26" t="s">
        <v>366</v>
      </c>
      <c r="WVR324" s="26" t="s">
        <v>366</v>
      </c>
      <c r="WVS324" s="26" t="s">
        <v>366</v>
      </c>
      <c r="WVT324" s="26" t="s">
        <v>366</v>
      </c>
      <c r="WVU324" s="26" t="s">
        <v>366</v>
      </c>
      <c r="WVV324" s="26" t="s">
        <v>366</v>
      </c>
      <c r="WVW324" s="26" t="s">
        <v>366</v>
      </c>
      <c r="WVX324" s="26" t="s">
        <v>366</v>
      </c>
      <c r="WVY324" s="26" t="s">
        <v>366</v>
      </c>
      <c r="WVZ324" s="26" t="s">
        <v>366</v>
      </c>
      <c r="WWA324" s="26" t="s">
        <v>366</v>
      </c>
      <c r="WWB324" s="26" t="s">
        <v>366</v>
      </c>
      <c r="WWC324" s="26" t="s">
        <v>366</v>
      </c>
      <c r="WWD324" s="26" t="s">
        <v>366</v>
      </c>
      <c r="WWE324" s="26" t="s">
        <v>366</v>
      </c>
      <c r="WWF324" s="26" t="s">
        <v>366</v>
      </c>
      <c r="WWG324" s="26" t="s">
        <v>366</v>
      </c>
      <c r="WWH324" s="26" t="s">
        <v>366</v>
      </c>
      <c r="WWI324" s="26" t="s">
        <v>366</v>
      </c>
      <c r="WWJ324" s="26" t="s">
        <v>366</v>
      </c>
      <c r="WWK324" s="26" t="s">
        <v>366</v>
      </c>
      <c r="WWL324" s="26" t="s">
        <v>366</v>
      </c>
      <c r="WWM324" s="26" t="s">
        <v>366</v>
      </c>
      <c r="WWN324" s="26" t="s">
        <v>366</v>
      </c>
      <c r="WWO324" s="26" t="s">
        <v>366</v>
      </c>
      <c r="WWP324" s="26" t="s">
        <v>366</v>
      </c>
      <c r="WWQ324" s="26" t="s">
        <v>366</v>
      </c>
      <c r="WWR324" s="26" t="s">
        <v>366</v>
      </c>
      <c r="WWS324" s="26" t="s">
        <v>366</v>
      </c>
      <c r="WWT324" s="26" t="s">
        <v>366</v>
      </c>
      <c r="WWU324" s="26" t="s">
        <v>366</v>
      </c>
      <c r="WWV324" s="26" t="s">
        <v>366</v>
      </c>
      <c r="WWW324" s="26" t="s">
        <v>366</v>
      </c>
      <c r="WWX324" s="26" t="s">
        <v>366</v>
      </c>
      <c r="WWY324" s="26" t="s">
        <v>366</v>
      </c>
      <c r="WWZ324" s="26" t="s">
        <v>366</v>
      </c>
      <c r="WXA324" s="26" t="s">
        <v>366</v>
      </c>
      <c r="WXB324" s="26" t="s">
        <v>366</v>
      </c>
      <c r="WXC324" s="26" t="s">
        <v>366</v>
      </c>
      <c r="WXD324" s="26" t="s">
        <v>366</v>
      </c>
      <c r="WXE324" s="26" t="s">
        <v>366</v>
      </c>
      <c r="WXF324" s="26" t="s">
        <v>366</v>
      </c>
      <c r="WXG324" s="26" t="s">
        <v>366</v>
      </c>
      <c r="WXH324" s="26" t="s">
        <v>366</v>
      </c>
      <c r="WXI324" s="26" t="s">
        <v>366</v>
      </c>
      <c r="WXJ324" s="26" t="s">
        <v>366</v>
      </c>
      <c r="WXK324" s="26" t="s">
        <v>366</v>
      </c>
      <c r="WXL324" s="26" t="s">
        <v>366</v>
      </c>
      <c r="WXM324" s="26" t="s">
        <v>366</v>
      </c>
      <c r="WXN324" s="26" t="s">
        <v>366</v>
      </c>
      <c r="WXO324" s="26" t="s">
        <v>366</v>
      </c>
    </row>
    <row r="325" spans="1:16187" x14ac:dyDescent="0.25">
      <c r="A325" s="135">
        <f t="shared" si="74"/>
        <v>308</v>
      </c>
      <c r="B325" s="134">
        <f t="shared" si="75"/>
        <v>120</v>
      </c>
      <c r="C325" s="77"/>
      <c r="D325" s="77" t="s">
        <v>589</v>
      </c>
      <c r="E325" s="129">
        <f t="shared" si="76"/>
        <v>54474244.048956797</v>
      </c>
      <c r="F325" s="44">
        <v>16034044.152180096</v>
      </c>
      <c r="G325" s="44">
        <v>5691851.8389192764</v>
      </c>
      <c r="H325" s="44">
        <v>6092197.7857524259</v>
      </c>
      <c r="I325" s="44">
        <v>3794974.5043992773</v>
      </c>
      <c r="J325" s="44">
        <v>2792950.7234944897</v>
      </c>
      <c r="K325" s="44"/>
      <c r="L325" s="44">
        <v>582245.94929312461</v>
      </c>
      <c r="M325" s="44"/>
      <c r="N325" s="44"/>
      <c r="O325" s="44"/>
      <c r="P325" s="139"/>
      <c r="Q325" s="44">
        <v>16788121.983090475</v>
      </c>
      <c r="R325" s="44">
        <v>1515314.3848925564</v>
      </c>
      <c r="S325" s="68">
        <v>50298.009527999995</v>
      </c>
      <c r="T325" s="136">
        <v>1132244.7174070757</v>
      </c>
      <c r="U325" s="24">
        <f t="shared" si="77"/>
        <v>7</v>
      </c>
    </row>
    <row r="326" spans="1:16187" x14ac:dyDescent="0.25">
      <c r="A326" s="135">
        <f t="shared" si="74"/>
        <v>309</v>
      </c>
      <c r="B326" s="134">
        <f t="shared" si="75"/>
        <v>121</v>
      </c>
      <c r="C326" s="77" t="s">
        <v>72</v>
      </c>
      <c r="D326" s="77" t="s">
        <v>204</v>
      </c>
      <c r="E326" s="129">
        <f t="shared" si="76"/>
        <v>19055879.242334455</v>
      </c>
      <c r="F326" s="44">
        <v>6939356.6437431425</v>
      </c>
      <c r="G326" s="44">
        <v>0</v>
      </c>
      <c r="H326" s="44">
        <v>0</v>
      </c>
      <c r="I326" s="44">
        <v>0</v>
      </c>
      <c r="J326" s="44">
        <v>818458.35</v>
      </c>
      <c r="K326" s="44"/>
      <c r="L326" s="44">
        <v>266268.26596902258</v>
      </c>
      <c r="M326" s="44">
        <v>0</v>
      </c>
      <c r="N326" s="44">
        <v>6490827.1100000003</v>
      </c>
      <c r="O326" s="44">
        <v>0</v>
      </c>
      <c r="P326" s="44">
        <v>0</v>
      </c>
      <c r="Q326" s="44">
        <v>4379923.05</v>
      </c>
      <c r="R326" s="44"/>
      <c r="S326" s="68"/>
      <c r="T326" s="136">
        <v>161045.8226222918</v>
      </c>
      <c r="U326" s="24">
        <f>COUNTIF(F326:Q326,"&gt;0")</f>
        <v>5</v>
      </c>
    </row>
    <row r="327" spans="1:16187" x14ac:dyDescent="0.25">
      <c r="A327" s="135">
        <f t="shared" si="74"/>
        <v>310</v>
      </c>
      <c r="B327" s="134">
        <f t="shared" si="75"/>
        <v>122</v>
      </c>
      <c r="C327" s="77" t="s">
        <v>72</v>
      </c>
      <c r="D327" s="77" t="s">
        <v>206</v>
      </c>
      <c r="E327" s="129">
        <f t="shared" si="76"/>
        <v>494347.02441200003</v>
      </c>
      <c r="F327" s="44">
        <v>0</v>
      </c>
      <c r="G327" s="44">
        <v>0</v>
      </c>
      <c r="H327" s="44">
        <v>0</v>
      </c>
      <c r="I327" s="44">
        <v>0</v>
      </c>
      <c r="J327" s="44">
        <v>491444.9</v>
      </c>
      <c r="K327" s="44"/>
      <c r="L327" s="44"/>
      <c r="M327" s="44">
        <v>0</v>
      </c>
      <c r="N327" s="44">
        <v>0</v>
      </c>
      <c r="O327" s="44">
        <v>0</v>
      </c>
      <c r="P327" s="44"/>
      <c r="Q327" s="44"/>
      <c r="R327" s="44"/>
      <c r="S327" s="68"/>
      <c r="T327" s="136">
        <v>2902.1244119999997</v>
      </c>
      <c r="U327" s="24">
        <f t="shared" si="77"/>
        <v>1</v>
      </c>
    </row>
    <row r="328" spans="1:16187" x14ac:dyDescent="0.25">
      <c r="A328" s="135">
        <f t="shared" si="74"/>
        <v>311</v>
      </c>
      <c r="B328" s="134">
        <f t="shared" si="75"/>
        <v>123</v>
      </c>
      <c r="C328" s="77" t="s">
        <v>72</v>
      </c>
      <c r="D328" s="77" t="s">
        <v>369</v>
      </c>
      <c r="E328" s="129">
        <f t="shared" si="76"/>
        <v>3954803.0756240007</v>
      </c>
      <c r="F328" s="44">
        <v>3286355.0600000005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>
        <v>0</v>
      </c>
      <c r="R328" s="44">
        <v>157569.70000000001</v>
      </c>
      <c r="S328" s="68">
        <v>24000</v>
      </c>
      <c r="T328" s="136">
        <v>486878.31562400004</v>
      </c>
      <c r="U328" s="24">
        <f t="shared" si="77"/>
        <v>1</v>
      </c>
      <c r="V328" s="1" t="s">
        <v>711</v>
      </c>
    </row>
    <row r="329" spans="1:16187" x14ac:dyDescent="0.25">
      <c r="A329" s="135">
        <f t="shared" si="74"/>
        <v>312</v>
      </c>
      <c r="B329" s="134">
        <f t="shared" si="75"/>
        <v>124</v>
      </c>
      <c r="C329" s="77" t="s">
        <v>72</v>
      </c>
      <c r="D329" s="77" t="s">
        <v>371</v>
      </c>
      <c r="E329" s="129">
        <f t="shared" si="76"/>
        <v>16015618.41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/>
      <c r="L329" s="44"/>
      <c r="M329" s="44">
        <v>0</v>
      </c>
      <c r="N329" s="44">
        <v>0</v>
      </c>
      <c r="O329" s="44">
        <v>0</v>
      </c>
      <c r="P329" s="44">
        <v>0</v>
      </c>
      <c r="Q329" s="44">
        <v>15672884.176026</v>
      </c>
      <c r="R329" s="44"/>
      <c r="S329" s="68"/>
      <c r="T329" s="136">
        <v>342734.23397399997</v>
      </c>
      <c r="U329" s="24">
        <f t="shared" si="77"/>
        <v>1</v>
      </c>
    </row>
    <row r="330" spans="1:16187" x14ac:dyDescent="0.25">
      <c r="A330" s="135">
        <f t="shared" si="74"/>
        <v>313</v>
      </c>
      <c r="B330" s="134">
        <f t="shared" si="75"/>
        <v>125</v>
      </c>
      <c r="C330" s="77" t="s">
        <v>72</v>
      </c>
      <c r="D330" s="77" t="s">
        <v>207</v>
      </c>
      <c r="E330" s="129">
        <f t="shared" si="76"/>
        <v>7682194.3148301998</v>
      </c>
      <c r="F330" s="44">
        <v>0</v>
      </c>
      <c r="G330" s="44">
        <v>0</v>
      </c>
      <c r="H330" s="44"/>
      <c r="I330" s="44">
        <v>0</v>
      </c>
      <c r="J330" s="44">
        <v>0</v>
      </c>
      <c r="K330" s="44"/>
      <c r="L330" s="44"/>
      <c r="M330" s="44">
        <v>0</v>
      </c>
      <c r="N330" s="44">
        <v>7389654.1600000001</v>
      </c>
      <c r="O330" s="44">
        <v>0</v>
      </c>
      <c r="P330" s="44"/>
      <c r="Q330" s="44">
        <v>0</v>
      </c>
      <c r="R330" s="44"/>
      <c r="S330" s="68"/>
      <c r="T330" s="136">
        <v>292540.15483020002</v>
      </c>
      <c r="U330" s="24">
        <f t="shared" si="77"/>
        <v>1</v>
      </c>
      <c r="V330" s="1" t="s">
        <v>711</v>
      </c>
    </row>
    <row r="331" spans="1:16187" x14ac:dyDescent="0.25">
      <c r="A331" s="135">
        <f t="shared" si="74"/>
        <v>314</v>
      </c>
      <c r="B331" s="134">
        <f t="shared" si="75"/>
        <v>126</v>
      </c>
      <c r="C331" s="77" t="s">
        <v>72</v>
      </c>
      <c r="D331" s="77" t="s">
        <v>478</v>
      </c>
      <c r="E331" s="129">
        <f t="shared" si="76"/>
        <v>2498104.0629126201</v>
      </c>
      <c r="F331" s="44"/>
      <c r="G331" s="44">
        <v>1245773.46</v>
      </c>
      <c r="H331" s="81">
        <v>1202952.82</v>
      </c>
      <c r="I331" s="44"/>
      <c r="J331" s="44"/>
      <c r="K331" s="44"/>
      <c r="L331" s="44"/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/>
      <c r="S331" s="68"/>
      <c r="T331" s="136">
        <v>49377.782912620009</v>
      </c>
      <c r="U331" s="24">
        <f t="shared" si="77"/>
        <v>2</v>
      </c>
    </row>
    <row r="332" spans="1:16187" x14ac:dyDescent="0.25">
      <c r="A332" s="135">
        <f t="shared" si="74"/>
        <v>315</v>
      </c>
      <c r="B332" s="134">
        <f t="shared" si="75"/>
        <v>127</v>
      </c>
      <c r="C332" s="77" t="s">
        <v>72</v>
      </c>
      <c r="D332" s="77" t="s">
        <v>209</v>
      </c>
      <c r="E332" s="129">
        <f t="shared" si="76"/>
        <v>1024499.247894</v>
      </c>
      <c r="F332" s="44"/>
      <c r="G332" s="44"/>
      <c r="H332" s="44"/>
      <c r="I332" s="44">
        <v>0</v>
      </c>
      <c r="J332" s="44">
        <v>1020388.92</v>
      </c>
      <c r="K332" s="44"/>
      <c r="L332" s="44"/>
      <c r="M332" s="44"/>
      <c r="N332" s="44"/>
      <c r="O332" s="44"/>
      <c r="P332" s="44"/>
      <c r="Q332" s="44"/>
      <c r="R332" s="44"/>
      <c r="S332" s="68"/>
      <c r="T332" s="136">
        <v>4110.327894</v>
      </c>
      <c r="U332" s="24">
        <f t="shared" si="77"/>
        <v>1</v>
      </c>
    </row>
    <row r="333" spans="1:16187" x14ac:dyDescent="0.25">
      <c r="A333" s="135">
        <f t="shared" si="74"/>
        <v>316</v>
      </c>
      <c r="B333" s="134">
        <f t="shared" si="75"/>
        <v>128</v>
      </c>
      <c r="C333" s="77"/>
      <c r="D333" s="77" t="s">
        <v>652</v>
      </c>
      <c r="E333" s="129">
        <f t="shared" si="76"/>
        <v>11931064.43</v>
      </c>
      <c r="F333" s="44"/>
      <c r="G333" s="44"/>
      <c r="H333" s="44"/>
      <c r="I333" s="44"/>
      <c r="J333" s="44"/>
      <c r="K333" s="44"/>
      <c r="L333" s="44"/>
      <c r="M333" s="44"/>
      <c r="N333" s="44">
        <v>11429694.42415854</v>
      </c>
      <c r="O333" s="44"/>
      <c r="P333" s="44"/>
      <c r="Q333" s="44"/>
      <c r="R333" s="44">
        <v>227425.73782900031</v>
      </c>
      <c r="S333" s="68">
        <v>24000</v>
      </c>
      <c r="T333" s="136">
        <v>249944.26801245942</v>
      </c>
      <c r="U333" s="24">
        <f t="shared" si="77"/>
        <v>1</v>
      </c>
    </row>
    <row r="334" spans="1:16187" x14ac:dyDescent="0.25">
      <c r="A334" s="135">
        <f t="shared" si="74"/>
        <v>317</v>
      </c>
      <c r="B334" s="134">
        <f t="shared" si="75"/>
        <v>129</v>
      </c>
      <c r="C334" s="77" t="s">
        <v>72</v>
      </c>
      <c r="D334" s="77" t="s">
        <v>372</v>
      </c>
      <c r="E334" s="129">
        <f>SUBTOTAL(9,F334:T334)</f>
        <v>1835710.56090784</v>
      </c>
      <c r="F334" s="44"/>
      <c r="G334" s="44"/>
      <c r="H334" s="44"/>
      <c r="I334" s="44">
        <v>1155001.04</v>
      </c>
      <c r="J334" s="44">
        <v>0</v>
      </c>
      <c r="K334" s="44"/>
      <c r="L334" s="44"/>
      <c r="M334" s="44">
        <v>0</v>
      </c>
      <c r="N334" s="44"/>
      <c r="O334" s="44">
        <v>0</v>
      </c>
      <c r="P334" s="44">
        <v>0</v>
      </c>
      <c r="Q334" s="44"/>
      <c r="R334" s="44">
        <v>160007.0122</v>
      </c>
      <c r="S334" s="68">
        <v>37048.782200000001</v>
      </c>
      <c r="T334" s="136">
        <v>483653.72650783998</v>
      </c>
      <c r="U334" s="24">
        <f t="shared" si="77"/>
        <v>1</v>
      </c>
      <c r="V334" s="1" t="s">
        <v>711</v>
      </c>
    </row>
    <row r="335" spans="1:16187" x14ac:dyDescent="0.25">
      <c r="A335" s="135">
        <f t="shared" ref="A335:A398" si="78">+A334+1</f>
        <v>318</v>
      </c>
      <c r="B335" s="134">
        <f t="shared" ref="B335:B398" si="79">+B334+1</f>
        <v>130</v>
      </c>
      <c r="C335" s="77" t="s">
        <v>72</v>
      </c>
      <c r="D335" s="77" t="s">
        <v>210</v>
      </c>
      <c r="E335" s="129">
        <f t="shared" si="76"/>
        <v>1024198.037306</v>
      </c>
      <c r="F335" s="44"/>
      <c r="G335" s="44"/>
      <c r="H335" s="44"/>
      <c r="I335" s="44"/>
      <c r="J335" s="44">
        <v>1013323.25</v>
      </c>
      <c r="K335" s="44"/>
      <c r="L335" s="44"/>
      <c r="M335" s="44"/>
      <c r="N335" s="44"/>
      <c r="O335" s="44"/>
      <c r="P335" s="44"/>
      <c r="Q335" s="44"/>
      <c r="R335" s="44"/>
      <c r="S335" s="68"/>
      <c r="T335" s="136">
        <v>10874.787306</v>
      </c>
      <c r="U335" s="24">
        <f t="shared" si="77"/>
        <v>1</v>
      </c>
    </row>
    <row r="336" spans="1:16187" x14ac:dyDescent="0.25">
      <c r="A336" s="135">
        <f t="shared" si="78"/>
        <v>319</v>
      </c>
      <c r="B336" s="134">
        <f t="shared" si="79"/>
        <v>131</v>
      </c>
      <c r="C336" s="77" t="s">
        <v>72</v>
      </c>
      <c r="D336" s="77" t="s">
        <v>84</v>
      </c>
      <c r="E336" s="129">
        <f t="shared" si="76"/>
        <v>1245038.665028</v>
      </c>
      <c r="F336" s="44"/>
      <c r="G336" s="44"/>
      <c r="H336" s="44"/>
      <c r="I336" s="44"/>
      <c r="J336" s="44">
        <v>1240916.79</v>
      </c>
      <c r="K336" s="44"/>
      <c r="L336" s="44"/>
      <c r="M336" s="44"/>
      <c r="N336" s="44"/>
      <c r="O336" s="44"/>
      <c r="P336" s="44"/>
      <c r="Q336" s="44">
        <v>0</v>
      </c>
      <c r="R336" s="44"/>
      <c r="S336" s="68"/>
      <c r="T336" s="136">
        <v>4121.8750279999986</v>
      </c>
      <c r="U336" s="24">
        <f t="shared" si="77"/>
        <v>1</v>
      </c>
    </row>
    <row r="337" spans="1:16187" s="42" customFormat="1" x14ac:dyDescent="0.25">
      <c r="A337" s="135">
        <f t="shared" si="78"/>
        <v>320</v>
      </c>
      <c r="B337" s="134">
        <f t="shared" si="79"/>
        <v>132</v>
      </c>
      <c r="C337" s="150" t="s">
        <v>606</v>
      </c>
      <c r="D337" s="77" t="s">
        <v>479</v>
      </c>
      <c r="E337" s="129">
        <f t="shared" si="76"/>
        <v>73380912.513798714</v>
      </c>
      <c r="F337" s="44">
        <v>8835258.7268668804</v>
      </c>
      <c r="G337" s="44">
        <v>5161965.2787407041</v>
      </c>
      <c r="H337" s="44">
        <v>5569271.4127483098</v>
      </c>
      <c r="I337" s="44">
        <v>4295867.3561627036</v>
      </c>
      <c r="J337" s="44">
        <v>2018239.6388054877</v>
      </c>
      <c r="K337" s="44"/>
      <c r="L337" s="44">
        <v>418101.46163142752</v>
      </c>
      <c r="M337" s="44"/>
      <c r="N337" s="44"/>
      <c r="O337" s="44"/>
      <c r="P337" s="44">
        <v>31664608.563177813</v>
      </c>
      <c r="Q337" s="44">
        <v>12348392.029822793</v>
      </c>
      <c r="R337" s="44">
        <v>1482907.8558986555</v>
      </c>
      <c r="S337" s="44">
        <v>48725.618500800003</v>
      </c>
      <c r="T337" s="151">
        <v>1537574.5714431447</v>
      </c>
      <c r="U337" s="24">
        <f t="shared" si="77"/>
        <v>8</v>
      </c>
      <c r="CW337" s="42" t="s">
        <v>606</v>
      </c>
      <c r="CX337" s="42" t="s">
        <v>606</v>
      </c>
      <c r="CY337" s="42" t="s">
        <v>606</v>
      </c>
      <c r="CZ337" s="42" t="s">
        <v>606</v>
      </c>
      <c r="DA337" s="42" t="s">
        <v>606</v>
      </c>
      <c r="DB337" s="42" t="s">
        <v>606</v>
      </c>
      <c r="DC337" s="42" t="s">
        <v>606</v>
      </c>
      <c r="DD337" s="42" t="s">
        <v>606</v>
      </c>
      <c r="DE337" s="42" t="s">
        <v>606</v>
      </c>
      <c r="DF337" s="42" t="s">
        <v>606</v>
      </c>
      <c r="DG337" s="42" t="s">
        <v>606</v>
      </c>
      <c r="DH337" s="42" t="s">
        <v>606</v>
      </c>
      <c r="DI337" s="42" t="s">
        <v>606</v>
      </c>
      <c r="DJ337" s="42" t="s">
        <v>606</v>
      </c>
      <c r="DK337" s="42" t="s">
        <v>606</v>
      </c>
      <c r="DL337" s="42" t="s">
        <v>606</v>
      </c>
      <c r="DM337" s="42" t="s">
        <v>606</v>
      </c>
      <c r="DN337" s="42" t="s">
        <v>606</v>
      </c>
      <c r="DO337" s="42" t="s">
        <v>606</v>
      </c>
      <c r="DP337" s="42" t="s">
        <v>606</v>
      </c>
      <c r="DQ337" s="42" t="s">
        <v>606</v>
      </c>
      <c r="DR337" s="42" t="s">
        <v>606</v>
      </c>
      <c r="DS337" s="42" t="s">
        <v>606</v>
      </c>
      <c r="DT337" s="42" t="s">
        <v>606</v>
      </c>
      <c r="DU337" s="42" t="s">
        <v>606</v>
      </c>
      <c r="DV337" s="42" t="s">
        <v>606</v>
      </c>
      <c r="DW337" s="42" t="s">
        <v>606</v>
      </c>
      <c r="DX337" s="42" t="s">
        <v>606</v>
      </c>
      <c r="DY337" s="42" t="s">
        <v>606</v>
      </c>
      <c r="DZ337" s="42" t="s">
        <v>606</v>
      </c>
      <c r="EA337" s="42" t="s">
        <v>606</v>
      </c>
      <c r="EB337" s="42" t="s">
        <v>606</v>
      </c>
      <c r="EC337" s="42" t="s">
        <v>606</v>
      </c>
      <c r="ED337" s="42" t="s">
        <v>606</v>
      </c>
      <c r="EE337" s="42" t="s">
        <v>606</v>
      </c>
      <c r="EF337" s="42" t="s">
        <v>606</v>
      </c>
      <c r="EG337" s="42" t="s">
        <v>606</v>
      </c>
      <c r="EH337" s="42" t="s">
        <v>606</v>
      </c>
      <c r="EI337" s="42" t="s">
        <v>606</v>
      </c>
      <c r="EJ337" s="42" t="s">
        <v>606</v>
      </c>
      <c r="EK337" s="42" t="s">
        <v>606</v>
      </c>
      <c r="EL337" s="42" t="s">
        <v>606</v>
      </c>
      <c r="EM337" s="42" t="s">
        <v>606</v>
      </c>
      <c r="EN337" s="42" t="s">
        <v>606</v>
      </c>
      <c r="EO337" s="42" t="s">
        <v>606</v>
      </c>
      <c r="EP337" s="42" t="s">
        <v>606</v>
      </c>
      <c r="EQ337" s="42" t="s">
        <v>606</v>
      </c>
      <c r="ER337" s="42" t="s">
        <v>606</v>
      </c>
      <c r="ES337" s="42" t="s">
        <v>606</v>
      </c>
      <c r="ET337" s="42" t="s">
        <v>606</v>
      </c>
      <c r="EU337" s="42" t="s">
        <v>606</v>
      </c>
      <c r="EV337" s="42" t="s">
        <v>606</v>
      </c>
      <c r="EW337" s="42" t="s">
        <v>606</v>
      </c>
      <c r="EX337" s="42" t="s">
        <v>606</v>
      </c>
      <c r="EY337" s="42" t="s">
        <v>606</v>
      </c>
      <c r="EZ337" s="42" t="s">
        <v>606</v>
      </c>
      <c r="FA337" s="42" t="s">
        <v>606</v>
      </c>
      <c r="FB337" s="42" t="s">
        <v>606</v>
      </c>
      <c r="FC337" s="42" t="s">
        <v>606</v>
      </c>
      <c r="FD337" s="42" t="s">
        <v>606</v>
      </c>
      <c r="FE337" s="42" t="s">
        <v>606</v>
      </c>
      <c r="FF337" s="42" t="s">
        <v>606</v>
      </c>
      <c r="FG337" s="42" t="s">
        <v>606</v>
      </c>
      <c r="FH337" s="42" t="s">
        <v>606</v>
      </c>
      <c r="FI337" s="42" t="s">
        <v>606</v>
      </c>
      <c r="FJ337" s="42" t="s">
        <v>606</v>
      </c>
      <c r="FK337" s="42" t="s">
        <v>606</v>
      </c>
      <c r="FL337" s="42" t="s">
        <v>606</v>
      </c>
      <c r="FM337" s="42" t="s">
        <v>606</v>
      </c>
      <c r="FN337" s="42" t="s">
        <v>606</v>
      </c>
      <c r="FO337" s="42" t="s">
        <v>606</v>
      </c>
      <c r="FP337" s="42" t="s">
        <v>606</v>
      </c>
      <c r="FQ337" s="42" t="s">
        <v>606</v>
      </c>
      <c r="FR337" s="42" t="s">
        <v>606</v>
      </c>
      <c r="FS337" s="42" t="s">
        <v>606</v>
      </c>
      <c r="FT337" s="42" t="s">
        <v>606</v>
      </c>
      <c r="FU337" s="42" t="s">
        <v>606</v>
      </c>
      <c r="FV337" s="42" t="s">
        <v>606</v>
      </c>
      <c r="FW337" s="42" t="s">
        <v>606</v>
      </c>
      <c r="FX337" s="42" t="s">
        <v>606</v>
      </c>
      <c r="FY337" s="42" t="s">
        <v>606</v>
      </c>
      <c r="FZ337" s="42" t="s">
        <v>606</v>
      </c>
      <c r="GA337" s="42" t="s">
        <v>606</v>
      </c>
      <c r="GB337" s="42" t="s">
        <v>606</v>
      </c>
      <c r="GC337" s="42" t="s">
        <v>606</v>
      </c>
      <c r="GD337" s="42" t="s">
        <v>606</v>
      </c>
      <c r="GE337" s="42" t="s">
        <v>606</v>
      </c>
      <c r="GF337" s="42" t="s">
        <v>606</v>
      </c>
      <c r="GG337" s="42" t="s">
        <v>606</v>
      </c>
      <c r="GH337" s="42" t="s">
        <v>606</v>
      </c>
      <c r="GI337" s="42" t="s">
        <v>606</v>
      </c>
      <c r="GJ337" s="42" t="s">
        <v>606</v>
      </c>
      <c r="GK337" s="42" t="s">
        <v>606</v>
      </c>
      <c r="GL337" s="42" t="s">
        <v>606</v>
      </c>
      <c r="GM337" s="42" t="s">
        <v>606</v>
      </c>
      <c r="GN337" s="42" t="s">
        <v>606</v>
      </c>
      <c r="GO337" s="42" t="s">
        <v>606</v>
      </c>
      <c r="GP337" s="42" t="s">
        <v>606</v>
      </c>
      <c r="GQ337" s="42" t="s">
        <v>606</v>
      </c>
      <c r="GR337" s="42" t="s">
        <v>606</v>
      </c>
      <c r="GS337" s="42" t="s">
        <v>606</v>
      </c>
      <c r="GT337" s="42" t="s">
        <v>606</v>
      </c>
      <c r="GU337" s="42" t="s">
        <v>606</v>
      </c>
      <c r="GV337" s="42" t="s">
        <v>606</v>
      </c>
      <c r="GW337" s="42" t="s">
        <v>606</v>
      </c>
      <c r="GX337" s="42" t="s">
        <v>606</v>
      </c>
      <c r="GY337" s="42" t="s">
        <v>606</v>
      </c>
      <c r="GZ337" s="42" t="s">
        <v>606</v>
      </c>
      <c r="HA337" s="42" t="s">
        <v>606</v>
      </c>
      <c r="HB337" s="42" t="s">
        <v>606</v>
      </c>
      <c r="HC337" s="42" t="s">
        <v>606</v>
      </c>
      <c r="HD337" s="42" t="s">
        <v>606</v>
      </c>
      <c r="HE337" s="42" t="s">
        <v>606</v>
      </c>
      <c r="HF337" s="42" t="s">
        <v>606</v>
      </c>
      <c r="HG337" s="42" t="s">
        <v>606</v>
      </c>
      <c r="HH337" s="42" t="s">
        <v>606</v>
      </c>
      <c r="HI337" s="42" t="s">
        <v>606</v>
      </c>
      <c r="HJ337" s="42" t="s">
        <v>606</v>
      </c>
      <c r="HK337" s="42" t="s">
        <v>606</v>
      </c>
      <c r="HL337" s="42" t="s">
        <v>606</v>
      </c>
      <c r="HM337" s="42" t="s">
        <v>606</v>
      </c>
      <c r="HN337" s="42" t="s">
        <v>606</v>
      </c>
      <c r="HO337" s="42" t="s">
        <v>606</v>
      </c>
      <c r="HP337" s="42" t="s">
        <v>606</v>
      </c>
      <c r="HQ337" s="42" t="s">
        <v>606</v>
      </c>
      <c r="HR337" s="42" t="s">
        <v>606</v>
      </c>
      <c r="HS337" s="42" t="s">
        <v>606</v>
      </c>
      <c r="HT337" s="42" t="s">
        <v>606</v>
      </c>
      <c r="HU337" s="42" t="s">
        <v>606</v>
      </c>
      <c r="HV337" s="42" t="s">
        <v>606</v>
      </c>
      <c r="HW337" s="42" t="s">
        <v>606</v>
      </c>
      <c r="HX337" s="42" t="s">
        <v>606</v>
      </c>
      <c r="HY337" s="42" t="s">
        <v>606</v>
      </c>
      <c r="HZ337" s="42" t="s">
        <v>606</v>
      </c>
      <c r="IA337" s="42" t="s">
        <v>606</v>
      </c>
      <c r="IB337" s="42" t="s">
        <v>606</v>
      </c>
      <c r="IC337" s="42" t="s">
        <v>606</v>
      </c>
      <c r="ID337" s="42" t="s">
        <v>606</v>
      </c>
      <c r="IE337" s="42" t="s">
        <v>606</v>
      </c>
      <c r="IF337" s="42" t="s">
        <v>606</v>
      </c>
      <c r="IG337" s="42" t="s">
        <v>606</v>
      </c>
      <c r="IH337" s="42" t="s">
        <v>606</v>
      </c>
      <c r="II337" s="42" t="s">
        <v>606</v>
      </c>
      <c r="IJ337" s="42" t="s">
        <v>606</v>
      </c>
      <c r="IK337" s="42" t="s">
        <v>606</v>
      </c>
      <c r="IL337" s="42" t="s">
        <v>606</v>
      </c>
      <c r="IM337" s="42" t="s">
        <v>606</v>
      </c>
      <c r="IN337" s="42" t="s">
        <v>606</v>
      </c>
      <c r="IO337" s="42" t="s">
        <v>606</v>
      </c>
      <c r="IP337" s="42" t="s">
        <v>606</v>
      </c>
      <c r="IQ337" s="42" t="s">
        <v>606</v>
      </c>
      <c r="IR337" s="42" t="s">
        <v>606</v>
      </c>
      <c r="IS337" s="42" t="s">
        <v>606</v>
      </c>
      <c r="IT337" s="42" t="s">
        <v>606</v>
      </c>
      <c r="IU337" s="42" t="s">
        <v>606</v>
      </c>
      <c r="IV337" s="42" t="s">
        <v>606</v>
      </c>
      <c r="IW337" s="42" t="s">
        <v>606</v>
      </c>
      <c r="IX337" s="42" t="s">
        <v>606</v>
      </c>
      <c r="IY337" s="42" t="s">
        <v>606</v>
      </c>
      <c r="IZ337" s="42" t="s">
        <v>606</v>
      </c>
      <c r="JA337" s="42" t="s">
        <v>606</v>
      </c>
      <c r="JB337" s="42" t="s">
        <v>606</v>
      </c>
      <c r="JC337" s="42" t="s">
        <v>606</v>
      </c>
      <c r="JD337" s="42" t="s">
        <v>606</v>
      </c>
      <c r="JE337" s="42" t="s">
        <v>606</v>
      </c>
      <c r="JF337" s="42" t="s">
        <v>606</v>
      </c>
      <c r="JG337" s="42" t="s">
        <v>606</v>
      </c>
      <c r="JH337" s="42" t="s">
        <v>606</v>
      </c>
      <c r="JI337" s="42" t="s">
        <v>606</v>
      </c>
      <c r="JJ337" s="42" t="s">
        <v>606</v>
      </c>
      <c r="JK337" s="42" t="s">
        <v>606</v>
      </c>
      <c r="JL337" s="42" t="s">
        <v>606</v>
      </c>
      <c r="JM337" s="42" t="s">
        <v>606</v>
      </c>
      <c r="JN337" s="42" t="s">
        <v>606</v>
      </c>
      <c r="JO337" s="42" t="s">
        <v>606</v>
      </c>
      <c r="JP337" s="42" t="s">
        <v>606</v>
      </c>
      <c r="JQ337" s="42" t="s">
        <v>606</v>
      </c>
      <c r="JR337" s="42" t="s">
        <v>606</v>
      </c>
      <c r="JS337" s="42" t="s">
        <v>606</v>
      </c>
      <c r="JT337" s="42" t="s">
        <v>606</v>
      </c>
      <c r="JU337" s="42" t="s">
        <v>606</v>
      </c>
      <c r="JV337" s="42" t="s">
        <v>606</v>
      </c>
      <c r="JW337" s="42" t="s">
        <v>606</v>
      </c>
      <c r="JX337" s="42" t="s">
        <v>606</v>
      </c>
      <c r="JY337" s="42" t="s">
        <v>606</v>
      </c>
      <c r="JZ337" s="42" t="s">
        <v>606</v>
      </c>
      <c r="KA337" s="42" t="s">
        <v>606</v>
      </c>
      <c r="KB337" s="42" t="s">
        <v>606</v>
      </c>
      <c r="KC337" s="42" t="s">
        <v>606</v>
      </c>
      <c r="KD337" s="42" t="s">
        <v>606</v>
      </c>
      <c r="KE337" s="42" t="s">
        <v>606</v>
      </c>
      <c r="KF337" s="42" t="s">
        <v>606</v>
      </c>
      <c r="KG337" s="42" t="s">
        <v>606</v>
      </c>
      <c r="KH337" s="42" t="s">
        <v>606</v>
      </c>
      <c r="KI337" s="42" t="s">
        <v>606</v>
      </c>
      <c r="KJ337" s="42" t="s">
        <v>606</v>
      </c>
      <c r="KK337" s="42" t="s">
        <v>606</v>
      </c>
      <c r="KL337" s="42" t="s">
        <v>606</v>
      </c>
      <c r="KM337" s="42" t="s">
        <v>606</v>
      </c>
      <c r="KN337" s="42" t="s">
        <v>606</v>
      </c>
      <c r="KO337" s="42" t="s">
        <v>606</v>
      </c>
      <c r="KP337" s="42" t="s">
        <v>606</v>
      </c>
      <c r="KQ337" s="42" t="s">
        <v>606</v>
      </c>
      <c r="KR337" s="42" t="s">
        <v>606</v>
      </c>
      <c r="KS337" s="42" t="s">
        <v>606</v>
      </c>
      <c r="KT337" s="42" t="s">
        <v>606</v>
      </c>
      <c r="KU337" s="42" t="s">
        <v>606</v>
      </c>
      <c r="KV337" s="42" t="s">
        <v>606</v>
      </c>
      <c r="KW337" s="42" t="s">
        <v>606</v>
      </c>
      <c r="KX337" s="42" t="s">
        <v>606</v>
      </c>
      <c r="KY337" s="42" t="s">
        <v>606</v>
      </c>
      <c r="KZ337" s="42" t="s">
        <v>606</v>
      </c>
      <c r="LA337" s="42" t="s">
        <v>606</v>
      </c>
      <c r="LB337" s="42" t="s">
        <v>606</v>
      </c>
      <c r="LC337" s="42" t="s">
        <v>606</v>
      </c>
      <c r="LD337" s="42" t="s">
        <v>606</v>
      </c>
      <c r="LE337" s="42" t="s">
        <v>606</v>
      </c>
      <c r="LF337" s="42" t="s">
        <v>606</v>
      </c>
      <c r="LG337" s="42" t="s">
        <v>606</v>
      </c>
      <c r="LH337" s="42" t="s">
        <v>606</v>
      </c>
      <c r="LI337" s="42" t="s">
        <v>606</v>
      </c>
      <c r="LJ337" s="42" t="s">
        <v>606</v>
      </c>
      <c r="LK337" s="42" t="s">
        <v>606</v>
      </c>
      <c r="LL337" s="42" t="s">
        <v>606</v>
      </c>
      <c r="LM337" s="42" t="s">
        <v>606</v>
      </c>
      <c r="LN337" s="42" t="s">
        <v>606</v>
      </c>
      <c r="LO337" s="42" t="s">
        <v>606</v>
      </c>
      <c r="LP337" s="42" t="s">
        <v>606</v>
      </c>
      <c r="LQ337" s="42" t="s">
        <v>606</v>
      </c>
      <c r="LR337" s="42" t="s">
        <v>606</v>
      </c>
      <c r="LS337" s="42" t="s">
        <v>606</v>
      </c>
      <c r="LT337" s="42" t="s">
        <v>606</v>
      </c>
      <c r="LU337" s="42" t="s">
        <v>606</v>
      </c>
      <c r="LV337" s="42" t="s">
        <v>606</v>
      </c>
      <c r="LW337" s="42" t="s">
        <v>606</v>
      </c>
      <c r="LX337" s="42" t="s">
        <v>606</v>
      </c>
      <c r="LY337" s="42" t="s">
        <v>606</v>
      </c>
      <c r="LZ337" s="42" t="s">
        <v>606</v>
      </c>
      <c r="MA337" s="42" t="s">
        <v>606</v>
      </c>
      <c r="MB337" s="42" t="s">
        <v>606</v>
      </c>
      <c r="MC337" s="42" t="s">
        <v>606</v>
      </c>
      <c r="MD337" s="42" t="s">
        <v>606</v>
      </c>
      <c r="ME337" s="42" t="s">
        <v>606</v>
      </c>
      <c r="MF337" s="42" t="s">
        <v>606</v>
      </c>
      <c r="MG337" s="42" t="s">
        <v>606</v>
      </c>
      <c r="MH337" s="42" t="s">
        <v>606</v>
      </c>
      <c r="MI337" s="42" t="s">
        <v>606</v>
      </c>
      <c r="MJ337" s="42" t="s">
        <v>606</v>
      </c>
      <c r="MK337" s="42" t="s">
        <v>606</v>
      </c>
      <c r="ML337" s="42" t="s">
        <v>606</v>
      </c>
      <c r="MM337" s="42" t="s">
        <v>606</v>
      </c>
      <c r="MN337" s="42" t="s">
        <v>606</v>
      </c>
      <c r="MO337" s="42" t="s">
        <v>606</v>
      </c>
      <c r="MP337" s="42" t="s">
        <v>606</v>
      </c>
      <c r="MQ337" s="42" t="s">
        <v>606</v>
      </c>
      <c r="MR337" s="42" t="s">
        <v>606</v>
      </c>
      <c r="MS337" s="42" t="s">
        <v>606</v>
      </c>
      <c r="MT337" s="42" t="s">
        <v>606</v>
      </c>
      <c r="MU337" s="42" t="s">
        <v>606</v>
      </c>
      <c r="MV337" s="42" t="s">
        <v>606</v>
      </c>
      <c r="MW337" s="42" t="s">
        <v>606</v>
      </c>
      <c r="MX337" s="42" t="s">
        <v>606</v>
      </c>
      <c r="MY337" s="42" t="s">
        <v>606</v>
      </c>
      <c r="MZ337" s="42" t="s">
        <v>606</v>
      </c>
      <c r="NA337" s="42" t="s">
        <v>606</v>
      </c>
      <c r="NB337" s="42" t="s">
        <v>606</v>
      </c>
      <c r="NC337" s="42" t="s">
        <v>606</v>
      </c>
      <c r="ND337" s="42" t="s">
        <v>606</v>
      </c>
      <c r="NE337" s="42" t="s">
        <v>606</v>
      </c>
      <c r="NF337" s="42" t="s">
        <v>606</v>
      </c>
      <c r="NG337" s="42" t="s">
        <v>606</v>
      </c>
      <c r="NH337" s="42" t="s">
        <v>606</v>
      </c>
      <c r="NI337" s="42" t="s">
        <v>606</v>
      </c>
      <c r="NJ337" s="42" t="s">
        <v>606</v>
      </c>
      <c r="NK337" s="42" t="s">
        <v>606</v>
      </c>
      <c r="NL337" s="42" t="s">
        <v>606</v>
      </c>
      <c r="NM337" s="42" t="s">
        <v>606</v>
      </c>
      <c r="NN337" s="42" t="s">
        <v>606</v>
      </c>
      <c r="NO337" s="42" t="s">
        <v>606</v>
      </c>
      <c r="NP337" s="42" t="s">
        <v>606</v>
      </c>
      <c r="NQ337" s="42" t="s">
        <v>606</v>
      </c>
      <c r="NR337" s="42" t="s">
        <v>606</v>
      </c>
      <c r="NS337" s="42" t="s">
        <v>606</v>
      </c>
      <c r="NT337" s="42" t="s">
        <v>606</v>
      </c>
      <c r="NU337" s="42" t="s">
        <v>606</v>
      </c>
      <c r="NV337" s="42" t="s">
        <v>606</v>
      </c>
      <c r="NW337" s="42" t="s">
        <v>606</v>
      </c>
      <c r="NX337" s="42" t="s">
        <v>606</v>
      </c>
      <c r="NY337" s="42" t="s">
        <v>606</v>
      </c>
      <c r="NZ337" s="42" t="s">
        <v>606</v>
      </c>
      <c r="OA337" s="42" t="s">
        <v>606</v>
      </c>
      <c r="OB337" s="42" t="s">
        <v>606</v>
      </c>
      <c r="OC337" s="42" t="s">
        <v>606</v>
      </c>
      <c r="OD337" s="42" t="s">
        <v>606</v>
      </c>
      <c r="OE337" s="42" t="s">
        <v>606</v>
      </c>
      <c r="OF337" s="42" t="s">
        <v>606</v>
      </c>
      <c r="OG337" s="42" t="s">
        <v>606</v>
      </c>
      <c r="OH337" s="42" t="s">
        <v>606</v>
      </c>
      <c r="OI337" s="42" t="s">
        <v>606</v>
      </c>
      <c r="OJ337" s="42" t="s">
        <v>606</v>
      </c>
      <c r="OK337" s="42" t="s">
        <v>606</v>
      </c>
      <c r="OL337" s="42" t="s">
        <v>606</v>
      </c>
      <c r="OM337" s="42" t="s">
        <v>606</v>
      </c>
      <c r="ON337" s="42" t="s">
        <v>606</v>
      </c>
      <c r="OO337" s="42" t="s">
        <v>606</v>
      </c>
      <c r="OP337" s="42" t="s">
        <v>606</v>
      </c>
      <c r="OQ337" s="42" t="s">
        <v>606</v>
      </c>
      <c r="OR337" s="42" t="s">
        <v>606</v>
      </c>
      <c r="OS337" s="42" t="s">
        <v>606</v>
      </c>
      <c r="OT337" s="42" t="s">
        <v>606</v>
      </c>
      <c r="OU337" s="42" t="s">
        <v>606</v>
      </c>
      <c r="OV337" s="42" t="s">
        <v>606</v>
      </c>
      <c r="OW337" s="42" t="s">
        <v>606</v>
      </c>
      <c r="OX337" s="42" t="s">
        <v>606</v>
      </c>
      <c r="OY337" s="42" t="s">
        <v>606</v>
      </c>
      <c r="OZ337" s="42" t="s">
        <v>606</v>
      </c>
      <c r="PA337" s="42" t="s">
        <v>606</v>
      </c>
      <c r="PB337" s="42" t="s">
        <v>606</v>
      </c>
      <c r="PC337" s="42" t="s">
        <v>606</v>
      </c>
      <c r="PD337" s="42" t="s">
        <v>606</v>
      </c>
      <c r="PE337" s="42" t="s">
        <v>606</v>
      </c>
      <c r="PF337" s="42" t="s">
        <v>606</v>
      </c>
      <c r="PG337" s="42" t="s">
        <v>606</v>
      </c>
      <c r="PH337" s="42" t="s">
        <v>606</v>
      </c>
      <c r="PI337" s="42" t="s">
        <v>606</v>
      </c>
      <c r="PJ337" s="42" t="s">
        <v>606</v>
      </c>
      <c r="PK337" s="42" t="s">
        <v>606</v>
      </c>
      <c r="PL337" s="42" t="s">
        <v>606</v>
      </c>
      <c r="PM337" s="42" t="s">
        <v>606</v>
      </c>
      <c r="PN337" s="42" t="s">
        <v>606</v>
      </c>
      <c r="PO337" s="42" t="s">
        <v>606</v>
      </c>
      <c r="PP337" s="42" t="s">
        <v>606</v>
      </c>
      <c r="PQ337" s="42" t="s">
        <v>606</v>
      </c>
      <c r="PR337" s="42" t="s">
        <v>606</v>
      </c>
      <c r="PS337" s="42" t="s">
        <v>606</v>
      </c>
      <c r="PT337" s="42" t="s">
        <v>606</v>
      </c>
      <c r="PU337" s="42" t="s">
        <v>606</v>
      </c>
      <c r="PV337" s="42" t="s">
        <v>606</v>
      </c>
      <c r="PW337" s="42" t="s">
        <v>606</v>
      </c>
      <c r="PX337" s="42" t="s">
        <v>606</v>
      </c>
      <c r="PY337" s="42" t="s">
        <v>606</v>
      </c>
      <c r="PZ337" s="42" t="s">
        <v>606</v>
      </c>
      <c r="QA337" s="42" t="s">
        <v>606</v>
      </c>
      <c r="QB337" s="42" t="s">
        <v>606</v>
      </c>
      <c r="QC337" s="42" t="s">
        <v>606</v>
      </c>
      <c r="QD337" s="42" t="s">
        <v>606</v>
      </c>
      <c r="QE337" s="42" t="s">
        <v>606</v>
      </c>
      <c r="QF337" s="42" t="s">
        <v>606</v>
      </c>
      <c r="QG337" s="42" t="s">
        <v>606</v>
      </c>
      <c r="QH337" s="42" t="s">
        <v>606</v>
      </c>
      <c r="QI337" s="42" t="s">
        <v>606</v>
      </c>
      <c r="QJ337" s="42" t="s">
        <v>606</v>
      </c>
      <c r="QK337" s="42" t="s">
        <v>606</v>
      </c>
      <c r="QL337" s="42" t="s">
        <v>606</v>
      </c>
      <c r="QM337" s="42" t="s">
        <v>606</v>
      </c>
      <c r="QN337" s="42" t="s">
        <v>606</v>
      </c>
      <c r="QO337" s="42" t="s">
        <v>606</v>
      </c>
      <c r="QP337" s="42" t="s">
        <v>606</v>
      </c>
      <c r="QQ337" s="42" t="s">
        <v>606</v>
      </c>
      <c r="QR337" s="42" t="s">
        <v>606</v>
      </c>
      <c r="QS337" s="42" t="s">
        <v>606</v>
      </c>
      <c r="QT337" s="42" t="s">
        <v>606</v>
      </c>
      <c r="QU337" s="42" t="s">
        <v>606</v>
      </c>
      <c r="QV337" s="42" t="s">
        <v>606</v>
      </c>
      <c r="QW337" s="42" t="s">
        <v>606</v>
      </c>
      <c r="QX337" s="42" t="s">
        <v>606</v>
      </c>
      <c r="QY337" s="42" t="s">
        <v>606</v>
      </c>
      <c r="QZ337" s="42" t="s">
        <v>606</v>
      </c>
      <c r="RA337" s="42" t="s">
        <v>606</v>
      </c>
      <c r="RB337" s="42" t="s">
        <v>606</v>
      </c>
      <c r="RC337" s="42" t="s">
        <v>606</v>
      </c>
      <c r="RD337" s="42" t="s">
        <v>606</v>
      </c>
      <c r="RE337" s="42" t="s">
        <v>606</v>
      </c>
      <c r="RF337" s="42" t="s">
        <v>606</v>
      </c>
      <c r="RG337" s="42" t="s">
        <v>606</v>
      </c>
      <c r="RH337" s="42" t="s">
        <v>606</v>
      </c>
      <c r="RI337" s="42" t="s">
        <v>606</v>
      </c>
      <c r="RJ337" s="42" t="s">
        <v>606</v>
      </c>
      <c r="RK337" s="42" t="s">
        <v>606</v>
      </c>
      <c r="RL337" s="42" t="s">
        <v>606</v>
      </c>
      <c r="RM337" s="42" t="s">
        <v>606</v>
      </c>
      <c r="RN337" s="42" t="s">
        <v>606</v>
      </c>
      <c r="RO337" s="42" t="s">
        <v>606</v>
      </c>
      <c r="RP337" s="42" t="s">
        <v>606</v>
      </c>
      <c r="RQ337" s="42" t="s">
        <v>606</v>
      </c>
      <c r="RR337" s="42" t="s">
        <v>606</v>
      </c>
      <c r="RS337" s="42" t="s">
        <v>606</v>
      </c>
      <c r="RT337" s="42" t="s">
        <v>606</v>
      </c>
      <c r="RU337" s="42" t="s">
        <v>606</v>
      </c>
      <c r="RV337" s="42" t="s">
        <v>606</v>
      </c>
      <c r="RW337" s="42" t="s">
        <v>606</v>
      </c>
      <c r="RX337" s="42" t="s">
        <v>606</v>
      </c>
      <c r="RY337" s="42" t="s">
        <v>606</v>
      </c>
      <c r="RZ337" s="42" t="s">
        <v>606</v>
      </c>
      <c r="SA337" s="42" t="s">
        <v>606</v>
      </c>
      <c r="SB337" s="42" t="s">
        <v>606</v>
      </c>
      <c r="SC337" s="42" t="s">
        <v>606</v>
      </c>
      <c r="SD337" s="42" t="s">
        <v>606</v>
      </c>
      <c r="SE337" s="42" t="s">
        <v>606</v>
      </c>
      <c r="SF337" s="42" t="s">
        <v>606</v>
      </c>
      <c r="SG337" s="42" t="s">
        <v>606</v>
      </c>
      <c r="SH337" s="42" t="s">
        <v>606</v>
      </c>
      <c r="SI337" s="42" t="s">
        <v>606</v>
      </c>
      <c r="SJ337" s="42" t="s">
        <v>606</v>
      </c>
      <c r="SK337" s="42" t="s">
        <v>606</v>
      </c>
      <c r="SL337" s="42" t="s">
        <v>606</v>
      </c>
      <c r="SM337" s="42" t="s">
        <v>606</v>
      </c>
      <c r="SN337" s="42" t="s">
        <v>606</v>
      </c>
      <c r="SO337" s="42" t="s">
        <v>606</v>
      </c>
      <c r="SP337" s="42" t="s">
        <v>606</v>
      </c>
      <c r="SQ337" s="42" t="s">
        <v>606</v>
      </c>
      <c r="SR337" s="42" t="s">
        <v>606</v>
      </c>
      <c r="SS337" s="42" t="s">
        <v>606</v>
      </c>
      <c r="ST337" s="42" t="s">
        <v>606</v>
      </c>
      <c r="SU337" s="42" t="s">
        <v>606</v>
      </c>
      <c r="SV337" s="42" t="s">
        <v>606</v>
      </c>
      <c r="SW337" s="42" t="s">
        <v>606</v>
      </c>
      <c r="SX337" s="42" t="s">
        <v>606</v>
      </c>
      <c r="SY337" s="42" t="s">
        <v>606</v>
      </c>
      <c r="SZ337" s="42" t="s">
        <v>606</v>
      </c>
      <c r="TA337" s="42" t="s">
        <v>606</v>
      </c>
      <c r="TB337" s="42" t="s">
        <v>606</v>
      </c>
      <c r="TC337" s="42" t="s">
        <v>606</v>
      </c>
      <c r="TD337" s="42" t="s">
        <v>606</v>
      </c>
      <c r="TE337" s="42" t="s">
        <v>606</v>
      </c>
      <c r="TF337" s="42" t="s">
        <v>606</v>
      </c>
      <c r="TG337" s="42" t="s">
        <v>606</v>
      </c>
      <c r="TH337" s="42" t="s">
        <v>606</v>
      </c>
      <c r="TI337" s="42" t="s">
        <v>606</v>
      </c>
      <c r="TJ337" s="42" t="s">
        <v>606</v>
      </c>
      <c r="TK337" s="42" t="s">
        <v>606</v>
      </c>
      <c r="TL337" s="42" t="s">
        <v>606</v>
      </c>
      <c r="TM337" s="42" t="s">
        <v>606</v>
      </c>
      <c r="TN337" s="42" t="s">
        <v>606</v>
      </c>
      <c r="TO337" s="42" t="s">
        <v>606</v>
      </c>
      <c r="TP337" s="42" t="s">
        <v>606</v>
      </c>
      <c r="TQ337" s="42" t="s">
        <v>606</v>
      </c>
      <c r="TR337" s="42" t="s">
        <v>606</v>
      </c>
      <c r="TS337" s="42" t="s">
        <v>606</v>
      </c>
      <c r="TT337" s="42" t="s">
        <v>606</v>
      </c>
      <c r="TU337" s="42" t="s">
        <v>606</v>
      </c>
      <c r="TV337" s="42" t="s">
        <v>606</v>
      </c>
      <c r="TW337" s="42" t="s">
        <v>606</v>
      </c>
      <c r="TX337" s="42" t="s">
        <v>606</v>
      </c>
      <c r="TY337" s="42" t="s">
        <v>606</v>
      </c>
      <c r="TZ337" s="42" t="s">
        <v>606</v>
      </c>
      <c r="UA337" s="42" t="s">
        <v>606</v>
      </c>
      <c r="UB337" s="42" t="s">
        <v>606</v>
      </c>
      <c r="UC337" s="42" t="s">
        <v>606</v>
      </c>
      <c r="UD337" s="42" t="s">
        <v>606</v>
      </c>
      <c r="UE337" s="42" t="s">
        <v>606</v>
      </c>
      <c r="UF337" s="42" t="s">
        <v>606</v>
      </c>
      <c r="UG337" s="42" t="s">
        <v>606</v>
      </c>
      <c r="UH337" s="42" t="s">
        <v>606</v>
      </c>
      <c r="UI337" s="42" t="s">
        <v>606</v>
      </c>
      <c r="UJ337" s="42" t="s">
        <v>606</v>
      </c>
      <c r="UK337" s="42" t="s">
        <v>606</v>
      </c>
      <c r="UL337" s="42" t="s">
        <v>606</v>
      </c>
      <c r="UM337" s="42" t="s">
        <v>606</v>
      </c>
      <c r="UN337" s="42" t="s">
        <v>606</v>
      </c>
      <c r="UO337" s="42" t="s">
        <v>606</v>
      </c>
      <c r="UP337" s="42" t="s">
        <v>606</v>
      </c>
      <c r="UQ337" s="42" t="s">
        <v>606</v>
      </c>
      <c r="UR337" s="42" t="s">
        <v>606</v>
      </c>
      <c r="US337" s="42" t="s">
        <v>606</v>
      </c>
      <c r="UT337" s="42" t="s">
        <v>606</v>
      </c>
      <c r="UU337" s="42" t="s">
        <v>606</v>
      </c>
      <c r="UV337" s="42" t="s">
        <v>606</v>
      </c>
      <c r="UW337" s="42" t="s">
        <v>606</v>
      </c>
      <c r="UX337" s="42" t="s">
        <v>606</v>
      </c>
      <c r="UY337" s="42" t="s">
        <v>606</v>
      </c>
      <c r="UZ337" s="42" t="s">
        <v>606</v>
      </c>
      <c r="VA337" s="42" t="s">
        <v>606</v>
      </c>
      <c r="VB337" s="42" t="s">
        <v>606</v>
      </c>
      <c r="VC337" s="42" t="s">
        <v>606</v>
      </c>
      <c r="VD337" s="42" t="s">
        <v>606</v>
      </c>
      <c r="VE337" s="42" t="s">
        <v>606</v>
      </c>
      <c r="VF337" s="42" t="s">
        <v>606</v>
      </c>
      <c r="VG337" s="42" t="s">
        <v>606</v>
      </c>
      <c r="VH337" s="42" t="s">
        <v>606</v>
      </c>
      <c r="VI337" s="42" t="s">
        <v>606</v>
      </c>
      <c r="VJ337" s="42" t="s">
        <v>606</v>
      </c>
      <c r="VK337" s="42" t="s">
        <v>606</v>
      </c>
      <c r="VL337" s="42" t="s">
        <v>606</v>
      </c>
      <c r="VM337" s="42" t="s">
        <v>606</v>
      </c>
      <c r="VN337" s="42" t="s">
        <v>606</v>
      </c>
      <c r="VO337" s="42" t="s">
        <v>606</v>
      </c>
      <c r="VP337" s="42" t="s">
        <v>606</v>
      </c>
      <c r="VQ337" s="42" t="s">
        <v>606</v>
      </c>
      <c r="VR337" s="42" t="s">
        <v>606</v>
      </c>
      <c r="VS337" s="42" t="s">
        <v>606</v>
      </c>
      <c r="VT337" s="42" t="s">
        <v>606</v>
      </c>
      <c r="VU337" s="42" t="s">
        <v>606</v>
      </c>
      <c r="VV337" s="42" t="s">
        <v>606</v>
      </c>
      <c r="VW337" s="42" t="s">
        <v>606</v>
      </c>
      <c r="VX337" s="42" t="s">
        <v>606</v>
      </c>
      <c r="VY337" s="42" t="s">
        <v>606</v>
      </c>
      <c r="VZ337" s="42" t="s">
        <v>606</v>
      </c>
      <c r="WA337" s="42" t="s">
        <v>606</v>
      </c>
      <c r="WB337" s="42" t="s">
        <v>606</v>
      </c>
      <c r="WC337" s="42" t="s">
        <v>606</v>
      </c>
      <c r="WD337" s="42" t="s">
        <v>606</v>
      </c>
      <c r="WE337" s="42" t="s">
        <v>606</v>
      </c>
      <c r="WF337" s="42" t="s">
        <v>606</v>
      </c>
      <c r="WG337" s="42" t="s">
        <v>606</v>
      </c>
      <c r="WH337" s="42" t="s">
        <v>606</v>
      </c>
      <c r="WI337" s="42" t="s">
        <v>606</v>
      </c>
      <c r="WJ337" s="42" t="s">
        <v>606</v>
      </c>
      <c r="WK337" s="42" t="s">
        <v>606</v>
      </c>
      <c r="WL337" s="42" t="s">
        <v>606</v>
      </c>
      <c r="WM337" s="42" t="s">
        <v>606</v>
      </c>
      <c r="WN337" s="42" t="s">
        <v>606</v>
      </c>
      <c r="WO337" s="42" t="s">
        <v>606</v>
      </c>
      <c r="WP337" s="42" t="s">
        <v>606</v>
      </c>
      <c r="WQ337" s="42" t="s">
        <v>606</v>
      </c>
      <c r="WR337" s="42" t="s">
        <v>606</v>
      </c>
      <c r="WS337" s="42" t="s">
        <v>606</v>
      </c>
      <c r="WT337" s="42" t="s">
        <v>606</v>
      </c>
      <c r="WU337" s="42" t="s">
        <v>606</v>
      </c>
      <c r="WV337" s="42" t="s">
        <v>606</v>
      </c>
      <c r="WW337" s="42" t="s">
        <v>606</v>
      </c>
      <c r="WX337" s="42" t="s">
        <v>606</v>
      </c>
      <c r="WY337" s="42" t="s">
        <v>606</v>
      </c>
      <c r="WZ337" s="42" t="s">
        <v>606</v>
      </c>
      <c r="XA337" s="42" t="s">
        <v>606</v>
      </c>
      <c r="XB337" s="42" t="s">
        <v>606</v>
      </c>
      <c r="XC337" s="42" t="s">
        <v>606</v>
      </c>
      <c r="XD337" s="42" t="s">
        <v>606</v>
      </c>
      <c r="XE337" s="42" t="s">
        <v>606</v>
      </c>
      <c r="XF337" s="42" t="s">
        <v>606</v>
      </c>
      <c r="XG337" s="42" t="s">
        <v>606</v>
      </c>
      <c r="XH337" s="42" t="s">
        <v>606</v>
      </c>
      <c r="XI337" s="42" t="s">
        <v>606</v>
      </c>
      <c r="XJ337" s="42" t="s">
        <v>606</v>
      </c>
      <c r="XK337" s="42" t="s">
        <v>606</v>
      </c>
      <c r="XL337" s="42" t="s">
        <v>606</v>
      </c>
      <c r="XM337" s="42" t="s">
        <v>606</v>
      </c>
      <c r="XN337" s="42" t="s">
        <v>606</v>
      </c>
      <c r="XO337" s="42" t="s">
        <v>606</v>
      </c>
      <c r="XP337" s="42" t="s">
        <v>606</v>
      </c>
      <c r="XQ337" s="42" t="s">
        <v>606</v>
      </c>
      <c r="XR337" s="42" t="s">
        <v>606</v>
      </c>
      <c r="XS337" s="42" t="s">
        <v>606</v>
      </c>
      <c r="XT337" s="42" t="s">
        <v>606</v>
      </c>
      <c r="XU337" s="42" t="s">
        <v>606</v>
      </c>
      <c r="XV337" s="42" t="s">
        <v>606</v>
      </c>
      <c r="XW337" s="42" t="s">
        <v>606</v>
      </c>
      <c r="XX337" s="42" t="s">
        <v>606</v>
      </c>
      <c r="XY337" s="42" t="s">
        <v>606</v>
      </c>
      <c r="XZ337" s="42" t="s">
        <v>606</v>
      </c>
      <c r="YA337" s="42" t="s">
        <v>606</v>
      </c>
      <c r="YB337" s="42" t="s">
        <v>606</v>
      </c>
      <c r="YC337" s="42" t="s">
        <v>606</v>
      </c>
      <c r="YD337" s="42" t="s">
        <v>606</v>
      </c>
      <c r="YE337" s="42" t="s">
        <v>606</v>
      </c>
      <c r="YF337" s="42" t="s">
        <v>606</v>
      </c>
      <c r="YG337" s="42" t="s">
        <v>606</v>
      </c>
      <c r="YH337" s="42" t="s">
        <v>606</v>
      </c>
      <c r="YI337" s="42" t="s">
        <v>606</v>
      </c>
      <c r="YJ337" s="42" t="s">
        <v>606</v>
      </c>
      <c r="YK337" s="42" t="s">
        <v>606</v>
      </c>
      <c r="YL337" s="42" t="s">
        <v>606</v>
      </c>
      <c r="YM337" s="42" t="s">
        <v>606</v>
      </c>
      <c r="YN337" s="42" t="s">
        <v>606</v>
      </c>
      <c r="YO337" s="42" t="s">
        <v>606</v>
      </c>
      <c r="YP337" s="42" t="s">
        <v>606</v>
      </c>
      <c r="YQ337" s="42" t="s">
        <v>606</v>
      </c>
      <c r="YR337" s="42" t="s">
        <v>606</v>
      </c>
      <c r="YS337" s="42" t="s">
        <v>606</v>
      </c>
      <c r="YT337" s="42" t="s">
        <v>606</v>
      </c>
      <c r="YU337" s="42" t="s">
        <v>606</v>
      </c>
      <c r="YV337" s="42" t="s">
        <v>606</v>
      </c>
      <c r="YW337" s="42" t="s">
        <v>606</v>
      </c>
      <c r="YX337" s="42" t="s">
        <v>606</v>
      </c>
      <c r="YY337" s="42" t="s">
        <v>606</v>
      </c>
      <c r="YZ337" s="42" t="s">
        <v>606</v>
      </c>
      <c r="ZA337" s="42" t="s">
        <v>606</v>
      </c>
      <c r="ZB337" s="42" t="s">
        <v>606</v>
      </c>
      <c r="ZC337" s="42" t="s">
        <v>606</v>
      </c>
      <c r="ZD337" s="42" t="s">
        <v>606</v>
      </c>
      <c r="ZE337" s="42" t="s">
        <v>606</v>
      </c>
      <c r="ZF337" s="42" t="s">
        <v>606</v>
      </c>
      <c r="ZG337" s="42" t="s">
        <v>606</v>
      </c>
      <c r="ZH337" s="42" t="s">
        <v>606</v>
      </c>
      <c r="ZI337" s="42" t="s">
        <v>606</v>
      </c>
      <c r="ZJ337" s="42" t="s">
        <v>606</v>
      </c>
      <c r="ZK337" s="42" t="s">
        <v>606</v>
      </c>
      <c r="ZL337" s="42" t="s">
        <v>606</v>
      </c>
      <c r="ZM337" s="42" t="s">
        <v>606</v>
      </c>
      <c r="ZN337" s="42" t="s">
        <v>606</v>
      </c>
      <c r="ZO337" s="42" t="s">
        <v>606</v>
      </c>
      <c r="ZP337" s="42" t="s">
        <v>606</v>
      </c>
      <c r="ZQ337" s="42" t="s">
        <v>606</v>
      </c>
      <c r="ZR337" s="42" t="s">
        <v>606</v>
      </c>
      <c r="ZS337" s="42" t="s">
        <v>606</v>
      </c>
      <c r="ZT337" s="42" t="s">
        <v>606</v>
      </c>
      <c r="ZU337" s="42" t="s">
        <v>606</v>
      </c>
      <c r="ZV337" s="42" t="s">
        <v>606</v>
      </c>
      <c r="ZW337" s="42" t="s">
        <v>606</v>
      </c>
      <c r="ZX337" s="42" t="s">
        <v>606</v>
      </c>
      <c r="ZY337" s="42" t="s">
        <v>606</v>
      </c>
      <c r="ZZ337" s="42" t="s">
        <v>606</v>
      </c>
      <c r="AAA337" s="42" t="s">
        <v>606</v>
      </c>
      <c r="AAB337" s="42" t="s">
        <v>606</v>
      </c>
      <c r="AAC337" s="42" t="s">
        <v>606</v>
      </c>
      <c r="AAD337" s="42" t="s">
        <v>606</v>
      </c>
      <c r="AAE337" s="42" t="s">
        <v>606</v>
      </c>
      <c r="AAF337" s="42" t="s">
        <v>606</v>
      </c>
      <c r="AAG337" s="42" t="s">
        <v>606</v>
      </c>
      <c r="AAH337" s="42" t="s">
        <v>606</v>
      </c>
      <c r="AAI337" s="42" t="s">
        <v>606</v>
      </c>
      <c r="AAJ337" s="42" t="s">
        <v>606</v>
      </c>
      <c r="AAK337" s="42" t="s">
        <v>606</v>
      </c>
      <c r="AAL337" s="42" t="s">
        <v>606</v>
      </c>
      <c r="AAM337" s="42" t="s">
        <v>606</v>
      </c>
      <c r="AAN337" s="42" t="s">
        <v>606</v>
      </c>
      <c r="AAO337" s="42" t="s">
        <v>606</v>
      </c>
      <c r="AAP337" s="42" t="s">
        <v>606</v>
      </c>
      <c r="AAQ337" s="42" t="s">
        <v>606</v>
      </c>
      <c r="AAR337" s="42" t="s">
        <v>606</v>
      </c>
      <c r="AAS337" s="42" t="s">
        <v>606</v>
      </c>
      <c r="AAT337" s="42" t="s">
        <v>606</v>
      </c>
      <c r="AAU337" s="42" t="s">
        <v>606</v>
      </c>
      <c r="AAV337" s="42" t="s">
        <v>606</v>
      </c>
      <c r="AAW337" s="42" t="s">
        <v>606</v>
      </c>
      <c r="AAX337" s="42" t="s">
        <v>606</v>
      </c>
      <c r="AAY337" s="42" t="s">
        <v>606</v>
      </c>
      <c r="AAZ337" s="42" t="s">
        <v>606</v>
      </c>
      <c r="ABA337" s="42" t="s">
        <v>606</v>
      </c>
      <c r="ABB337" s="42" t="s">
        <v>606</v>
      </c>
      <c r="ABC337" s="42" t="s">
        <v>606</v>
      </c>
      <c r="ABD337" s="42" t="s">
        <v>606</v>
      </c>
      <c r="ABE337" s="42" t="s">
        <v>606</v>
      </c>
      <c r="ABF337" s="42" t="s">
        <v>606</v>
      </c>
      <c r="ABG337" s="42" t="s">
        <v>606</v>
      </c>
      <c r="ABH337" s="42" t="s">
        <v>606</v>
      </c>
      <c r="ABI337" s="42" t="s">
        <v>606</v>
      </c>
      <c r="ABJ337" s="42" t="s">
        <v>606</v>
      </c>
      <c r="ABK337" s="42" t="s">
        <v>606</v>
      </c>
      <c r="ABL337" s="42" t="s">
        <v>606</v>
      </c>
      <c r="ABM337" s="42" t="s">
        <v>606</v>
      </c>
      <c r="ABN337" s="42" t="s">
        <v>606</v>
      </c>
      <c r="ABO337" s="42" t="s">
        <v>606</v>
      </c>
      <c r="ABP337" s="42" t="s">
        <v>606</v>
      </c>
      <c r="ABQ337" s="42" t="s">
        <v>606</v>
      </c>
      <c r="ABR337" s="42" t="s">
        <v>606</v>
      </c>
      <c r="ABS337" s="42" t="s">
        <v>606</v>
      </c>
      <c r="ABT337" s="42" t="s">
        <v>606</v>
      </c>
      <c r="ABU337" s="42" t="s">
        <v>606</v>
      </c>
      <c r="ABV337" s="42" t="s">
        <v>606</v>
      </c>
      <c r="ABW337" s="42" t="s">
        <v>606</v>
      </c>
      <c r="ABX337" s="42" t="s">
        <v>606</v>
      </c>
      <c r="ABY337" s="42" t="s">
        <v>606</v>
      </c>
      <c r="ABZ337" s="42" t="s">
        <v>606</v>
      </c>
      <c r="ACA337" s="42" t="s">
        <v>606</v>
      </c>
      <c r="ACB337" s="42" t="s">
        <v>606</v>
      </c>
      <c r="ACC337" s="42" t="s">
        <v>606</v>
      </c>
      <c r="ACD337" s="42" t="s">
        <v>606</v>
      </c>
      <c r="ACE337" s="42" t="s">
        <v>606</v>
      </c>
      <c r="ACF337" s="42" t="s">
        <v>606</v>
      </c>
      <c r="ACG337" s="42" t="s">
        <v>606</v>
      </c>
      <c r="ACH337" s="42" t="s">
        <v>606</v>
      </c>
      <c r="ACI337" s="42" t="s">
        <v>606</v>
      </c>
      <c r="ACJ337" s="42" t="s">
        <v>606</v>
      </c>
      <c r="ACK337" s="42" t="s">
        <v>606</v>
      </c>
      <c r="ACL337" s="42" t="s">
        <v>606</v>
      </c>
      <c r="ACM337" s="42" t="s">
        <v>606</v>
      </c>
      <c r="ACN337" s="42" t="s">
        <v>606</v>
      </c>
      <c r="ACO337" s="42" t="s">
        <v>606</v>
      </c>
      <c r="ACP337" s="42" t="s">
        <v>606</v>
      </c>
      <c r="ACQ337" s="42" t="s">
        <v>606</v>
      </c>
      <c r="ACR337" s="42" t="s">
        <v>606</v>
      </c>
      <c r="ACS337" s="42" t="s">
        <v>606</v>
      </c>
      <c r="ACT337" s="42" t="s">
        <v>606</v>
      </c>
      <c r="ACU337" s="42" t="s">
        <v>606</v>
      </c>
      <c r="ACV337" s="42" t="s">
        <v>606</v>
      </c>
      <c r="ACW337" s="42" t="s">
        <v>606</v>
      </c>
      <c r="ACX337" s="42" t="s">
        <v>606</v>
      </c>
      <c r="ACY337" s="42" t="s">
        <v>606</v>
      </c>
      <c r="ACZ337" s="42" t="s">
        <v>606</v>
      </c>
      <c r="ADA337" s="42" t="s">
        <v>606</v>
      </c>
      <c r="ADB337" s="42" t="s">
        <v>606</v>
      </c>
      <c r="ADC337" s="42" t="s">
        <v>606</v>
      </c>
      <c r="ADD337" s="42" t="s">
        <v>606</v>
      </c>
      <c r="ADE337" s="42" t="s">
        <v>606</v>
      </c>
      <c r="ADF337" s="42" t="s">
        <v>606</v>
      </c>
      <c r="ADG337" s="42" t="s">
        <v>606</v>
      </c>
      <c r="ADH337" s="42" t="s">
        <v>606</v>
      </c>
      <c r="ADI337" s="42" t="s">
        <v>606</v>
      </c>
      <c r="ADJ337" s="42" t="s">
        <v>606</v>
      </c>
      <c r="ADK337" s="42" t="s">
        <v>606</v>
      </c>
      <c r="ADL337" s="42" t="s">
        <v>606</v>
      </c>
      <c r="ADM337" s="42" t="s">
        <v>606</v>
      </c>
      <c r="ADN337" s="42" t="s">
        <v>606</v>
      </c>
      <c r="ADO337" s="42" t="s">
        <v>606</v>
      </c>
      <c r="ADP337" s="42" t="s">
        <v>606</v>
      </c>
      <c r="ADQ337" s="42" t="s">
        <v>606</v>
      </c>
      <c r="ADR337" s="42" t="s">
        <v>606</v>
      </c>
      <c r="ADS337" s="42" t="s">
        <v>606</v>
      </c>
      <c r="ADT337" s="42" t="s">
        <v>606</v>
      </c>
      <c r="ADU337" s="42" t="s">
        <v>606</v>
      </c>
      <c r="ADV337" s="42" t="s">
        <v>606</v>
      </c>
      <c r="ADW337" s="42" t="s">
        <v>606</v>
      </c>
      <c r="ADX337" s="42" t="s">
        <v>606</v>
      </c>
      <c r="ADY337" s="42" t="s">
        <v>606</v>
      </c>
      <c r="ADZ337" s="42" t="s">
        <v>606</v>
      </c>
      <c r="AEA337" s="42" t="s">
        <v>606</v>
      </c>
      <c r="AEB337" s="42" t="s">
        <v>606</v>
      </c>
      <c r="AEC337" s="42" t="s">
        <v>606</v>
      </c>
      <c r="AED337" s="42" t="s">
        <v>606</v>
      </c>
      <c r="AEE337" s="42" t="s">
        <v>606</v>
      </c>
      <c r="AEF337" s="42" t="s">
        <v>606</v>
      </c>
      <c r="AEG337" s="42" t="s">
        <v>606</v>
      </c>
      <c r="AEH337" s="42" t="s">
        <v>606</v>
      </c>
      <c r="AEI337" s="42" t="s">
        <v>606</v>
      </c>
      <c r="AEJ337" s="42" t="s">
        <v>606</v>
      </c>
      <c r="AEK337" s="42" t="s">
        <v>606</v>
      </c>
      <c r="AEL337" s="42" t="s">
        <v>606</v>
      </c>
      <c r="AEM337" s="42" t="s">
        <v>606</v>
      </c>
      <c r="AEN337" s="42" t="s">
        <v>606</v>
      </c>
      <c r="AEO337" s="42" t="s">
        <v>606</v>
      </c>
      <c r="AEP337" s="42" t="s">
        <v>606</v>
      </c>
      <c r="AEQ337" s="42" t="s">
        <v>606</v>
      </c>
      <c r="AER337" s="42" t="s">
        <v>606</v>
      </c>
      <c r="AES337" s="42" t="s">
        <v>606</v>
      </c>
      <c r="AET337" s="42" t="s">
        <v>606</v>
      </c>
      <c r="AEU337" s="42" t="s">
        <v>606</v>
      </c>
      <c r="AEV337" s="42" t="s">
        <v>606</v>
      </c>
      <c r="AEW337" s="42" t="s">
        <v>606</v>
      </c>
      <c r="AEX337" s="42" t="s">
        <v>606</v>
      </c>
      <c r="AEY337" s="42" t="s">
        <v>606</v>
      </c>
      <c r="AEZ337" s="42" t="s">
        <v>606</v>
      </c>
      <c r="AFA337" s="42" t="s">
        <v>606</v>
      </c>
      <c r="AFB337" s="42" t="s">
        <v>606</v>
      </c>
      <c r="AFC337" s="42" t="s">
        <v>606</v>
      </c>
      <c r="AFD337" s="42" t="s">
        <v>606</v>
      </c>
      <c r="AFE337" s="42" t="s">
        <v>606</v>
      </c>
      <c r="AFF337" s="42" t="s">
        <v>606</v>
      </c>
      <c r="AFG337" s="42" t="s">
        <v>606</v>
      </c>
      <c r="AFH337" s="42" t="s">
        <v>606</v>
      </c>
      <c r="AFI337" s="42" t="s">
        <v>606</v>
      </c>
      <c r="AFJ337" s="42" t="s">
        <v>606</v>
      </c>
      <c r="AFK337" s="42" t="s">
        <v>606</v>
      </c>
      <c r="AFL337" s="42" t="s">
        <v>606</v>
      </c>
      <c r="AFM337" s="42" t="s">
        <v>606</v>
      </c>
      <c r="AFN337" s="42" t="s">
        <v>606</v>
      </c>
      <c r="AFO337" s="42" t="s">
        <v>606</v>
      </c>
      <c r="AFP337" s="42" t="s">
        <v>606</v>
      </c>
      <c r="AFQ337" s="42" t="s">
        <v>606</v>
      </c>
      <c r="AFR337" s="42" t="s">
        <v>606</v>
      </c>
      <c r="AFS337" s="42" t="s">
        <v>606</v>
      </c>
      <c r="AFT337" s="42" t="s">
        <v>606</v>
      </c>
      <c r="AFU337" s="42" t="s">
        <v>606</v>
      </c>
      <c r="AFV337" s="42" t="s">
        <v>606</v>
      </c>
      <c r="AFW337" s="42" t="s">
        <v>606</v>
      </c>
      <c r="AFX337" s="42" t="s">
        <v>606</v>
      </c>
      <c r="AFY337" s="42" t="s">
        <v>606</v>
      </c>
      <c r="AFZ337" s="42" t="s">
        <v>606</v>
      </c>
      <c r="AGA337" s="42" t="s">
        <v>606</v>
      </c>
      <c r="AGB337" s="42" t="s">
        <v>606</v>
      </c>
      <c r="AGC337" s="42" t="s">
        <v>606</v>
      </c>
      <c r="AGD337" s="42" t="s">
        <v>606</v>
      </c>
      <c r="AGE337" s="42" t="s">
        <v>606</v>
      </c>
      <c r="AGF337" s="42" t="s">
        <v>606</v>
      </c>
      <c r="AGG337" s="42" t="s">
        <v>606</v>
      </c>
      <c r="AGH337" s="42" t="s">
        <v>606</v>
      </c>
      <c r="AGI337" s="42" t="s">
        <v>606</v>
      </c>
      <c r="AGJ337" s="42" t="s">
        <v>606</v>
      </c>
      <c r="AGK337" s="42" t="s">
        <v>606</v>
      </c>
      <c r="AGL337" s="42" t="s">
        <v>606</v>
      </c>
      <c r="AGM337" s="42" t="s">
        <v>606</v>
      </c>
      <c r="AGN337" s="42" t="s">
        <v>606</v>
      </c>
      <c r="AGO337" s="42" t="s">
        <v>606</v>
      </c>
      <c r="AGP337" s="42" t="s">
        <v>606</v>
      </c>
      <c r="AGQ337" s="42" t="s">
        <v>606</v>
      </c>
      <c r="AGR337" s="42" t="s">
        <v>606</v>
      </c>
      <c r="AGS337" s="42" t="s">
        <v>606</v>
      </c>
      <c r="AGT337" s="42" t="s">
        <v>606</v>
      </c>
      <c r="AGU337" s="42" t="s">
        <v>606</v>
      </c>
      <c r="AGV337" s="42" t="s">
        <v>606</v>
      </c>
      <c r="AGW337" s="42" t="s">
        <v>606</v>
      </c>
      <c r="AGX337" s="42" t="s">
        <v>606</v>
      </c>
      <c r="AGY337" s="42" t="s">
        <v>606</v>
      </c>
      <c r="AGZ337" s="42" t="s">
        <v>606</v>
      </c>
      <c r="AHA337" s="42" t="s">
        <v>606</v>
      </c>
      <c r="AHB337" s="42" t="s">
        <v>606</v>
      </c>
      <c r="AHC337" s="42" t="s">
        <v>606</v>
      </c>
      <c r="AHD337" s="42" t="s">
        <v>606</v>
      </c>
      <c r="AHE337" s="42" t="s">
        <v>606</v>
      </c>
      <c r="AHF337" s="42" t="s">
        <v>606</v>
      </c>
      <c r="AHG337" s="42" t="s">
        <v>606</v>
      </c>
      <c r="AHH337" s="42" t="s">
        <v>606</v>
      </c>
      <c r="AHI337" s="42" t="s">
        <v>606</v>
      </c>
      <c r="AHJ337" s="42" t="s">
        <v>606</v>
      </c>
      <c r="AHK337" s="42" t="s">
        <v>606</v>
      </c>
      <c r="AHL337" s="42" t="s">
        <v>606</v>
      </c>
      <c r="AHM337" s="42" t="s">
        <v>606</v>
      </c>
      <c r="AHN337" s="42" t="s">
        <v>606</v>
      </c>
      <c r="AHO337" s="42" t="s">
        <v>606</v>
      </c>
      <c r="AHP337" s="42" t="s">
        <v>606</v>
      </c>
      <c r="AHQ337" s="42" t="s">
        <v>606</v>
      </c>
      <c r="AHR337" s="42" t="s">
        <v>606</v>
      </c>
      <c r="AHS337" s="42" t="s">
        <v>606</v>
      </c>
      <c r="AHT337" s="42" t="s">
        <v>606</v>
      </c>
      <c r="AHU337" s="42" t="s">
        <v>606</v>
      </c>
      <c r="AHV337" s="42" t="s">
        <v>606</v>
      </c>
      <c r="AHW337" s="42" t="s">
        <v>606</v>
      </c>
      <c r="AHX337" s="42" t="s">
        <v>606</v>
      </c>
      <c r="AHY337" s="42" t="s">
        <v>606</v>
      </c>
      <c r="AHZ337" s="42" t="s">
        <v>606</v>
      </c>
      <c r="AIA337" s="42" t="s">
        <v>606</v>
      </c>
      <c r="AIB337" s="42" t="s">
        <v>606</v>
      </c>
      <c r="AIC337" s="42" t="s">
        <v>606</v>
      </c>
      <c r="AID337" s="42" t="s">
        <v>606</v>
      </c>
      <c r="AIE337" s="42" t="s">
        <v>606</v>
      </c>
      <c r="AIF337" s="42" t="s">
        <v>606</v>
      </c>
      <c r="AIG337" s="42" t="s">
        <v>606</v>
      </c>
      <c r="AIH337" s="42" t="s">
        <v>606</v>
      </c>
      <c r="AII337" s="42" t="s">
        <v>606</v>
      </c>
      <c r="AIJ337" s="42" t="s">
        <v>606</v>
      </c>
      <c r="AIK337" s="42" t="s">
        <v>606</v>
      </c>
      <c r="AIL337" s="42" t="s">
        <v>606</v>
      </c>
      <c r="AIM337" s="42" t="s">
        <v>606</v>
      </c>
      <c r="AIN337" s="42" t="s">
        <v>606</v>
      </c>
      <c r="AIO337" s="42" t="s">
        <v>606</v>
      </c>
      <c r="AIP337" s="42" t="s">
        <v>606</v>
      </c>
      <c r="AIQ337" s="42" t="s">
        <v>606</v>
      </c>
      <c r="AIR337" s="42" t="s">
        <v>606</v>
      </c>
      <c r="AIS337" s="42" t="s">
        <v>606</v>
      </c>
      <c r="AIT337" s="42" t="s">
        <v>606</v>
      </c>
      <c r="AIU337" s="42" t="s">
        <v>606</v>
      </c>
      <c r="AIV337" s="42" t="s">
        <v>606</v>
      </c>
      <c r="AIW337" s="42" t="s">
        <v>606</v>
      </c>
      <c r="AIX337" s="42" t="s">
        <v>606</v>
      </c>
      <c r="AIY337" s="42" t="s">
        <v>606</v>
      </c>
      <c r="AIZ337" s="42" t="s">
        <v>606</v>
      </c>
      <c r="AJA337" s="42" t="s">
        <v>606</v>
      </c>
      <c r="AJB337" s="42" t="s">
        <v>606</v>
      </c>
      <c r="AJC337" s="42" t="s">
        <v>606</v>
      </c>
      <c r="AJD337" s="42" t="s">
        <v>606</v>
      </c>
      <c r="AJE337" s="42" t="s">
        <v>606</v>
      </c>
      <c r="AJF337" s="42" t="s">
        <v>606</v>
      </c>
      <c r="AJG337" s="42" t="s">
        <v>606</v>
      </c>
      <c r="AJH337" s="42" t="s">
        <v>606</v>
      </c>
      <c r="AJI337" s="42" t="s">
        <v>606</v>
      </c>
      <c r="AJJ337" s="42" t="s">
        <v>606</v>
      </c>
      <c r="AJK337" s="42" t="s">
        <v>606</v>
      </c>
      <c r="AJL337" s="42" t="s">
        <v>606</v>
      </c>
      <c r="AJM337" s="42" t="s">
        <v>606</v>
      </c>
      <c r="AJN337" s="42" t="s">
        <v>606</v>
      </c>
      <c r="AJO337" s="42" t="s">
        <v>606</v>
      </c>
      <c r="AJP337" s="42" t="s">
        <v>606</v>
      </c>
      <c r="AJQ337" s="42" t="s">
        <v>606</v>
      </c>
      <c r="AJR337" s="42" t="s">
        <v>606</v>
      </c>
      <c r="AJS337" s="42" t="s">
        <v>606</v>
      </c>
      <c r="AJT337" s="42" t="s">
        <v>606</v>
      </c>
      <c r="AJU337" s="42" t="s">
        <v>606</v>
      </c>
      <c r="AJV337" s="42" t="s">
        <v>606</v>
      </c>
      <c r="AJW337" s="42" t="s">
        <v>606</v>
      </c>
      <c r="AJX337" s="42" t="s">
        <v>606</v>
      </c>
      <c r="AJY337" s="42" t="s">
        <v>606</v>
      </c>
      <c r="AJZ337" s="42" t="s">
        <v>606</v>
      </c>
      <c r="AKA337" s="42" t="s">
        <v>606</v>
      </c>
      <c r="AKB337" s="42" t="s">
        <v>606</v>
      </c>
      <c r="AKC337" s="42" t="s">
        <v>606</v>
      </c>
      <c r="AKD337" s="42" t="s">
        <v>606</v>
      </c>
      <c r="AKE337" s="42" t="s">
        <v>606</v>
      </c>
      <c r="AKF337" s="42" t="s">
        <v>606</v>
      </c>
      <c r="AKG337" s="42" t="s">
        <v>606</v>
      </c>
      <c r="AKH337" s="42" t="s">
        <v>606</v>
      </c>
      <c r="AKI337" s="42" t="s">
        <v>606</v>
      </c>
      <c r="AKJ337" s="42" t="s">
        <v>606</v>
      </c>
      <c r="AKK337" s="42" t="s">
        <v>606</v>
      </c>
      <c r="AKL337" s="42" t="s">
        <v>606</v>
      </c>
      <c r="AKM337" s="42" t="s">
        <v>606</v>
      </c>
      <c r="AKN337" s="42" t="s">
        <v>606</v>
      </c>
      <c r="AKO337" s="42" t="s">
        <v>606</v>
      </c>
      <c r="AKP337" s="42" t="s">
        <v>606</v>
      </c>
      <c r="AKQ337" s="42" t="s">
        <v>606</v>
      </c>
      <c r="AKR337" s="42" t="s">
        <v>606</v>
      </c>
      <c r="AKS337" s="42" t="s">
        <v>606</v>
      </c>
      <c r="AKT337" s="42" t="s">
        <v>606</v>
      </c>
      <c r="AKU337" s="42" t="s">
        <v>606</v>
      </c>
      <c r="AKV337" s="42" t="s">
        <v>606</v>
      </c>
      <c r="AKW337" s="42" t="s">
        <v>606</v>
      </c>
      <c r="AKX337" s="42" t="s">
        <v>606</v>
      </c>
      <c r="AKY337" s="42" t="s">
        <v>606</v>
      </c>
      <c r="AKZ337" s="42" t="s">
        <v>606</v>
      </c>
      <c r="ALA337" s="42" t="s">
        <v>606</v>
      </c>
      <c r="ALB337" s="42" t="s">
        <v>606</v>
      </c>
      <c r="ALC337" s="42" t="s">
        <v>606</v>
      </c>
      <c r="ALD337" s="42" t="s">
        <v>606</v>
      </c>
      <c r="ALE337" s="42" t="s">
        <v>606</v>
      </c>
      <c r="ALF337" s="42" t="s">
        <v>606</v>
      </c>
      <c r="ALG337" s="42" t="s">
        <v>606</v>
      </c>
      <c r="ALH337" s="42" t="s">
        <v>606</v>
      </c>
      <c r="ALI337" s="42" t="s">
        <v>606</v>
      </c>
      <c r="ALJ337" s="42" t="s">
        <v>606</v>
      </c>
      <c r="ALK337" s="42" t="s">
        <v>606</v>
      </c>
      <c r="ALL337" s="42" t="s">
        <v>606</v>
      </c>
      <c r="ALM337" s="42" t="s">
        <v>606</v>
      </c>
      <c r="ALN337" s="42" t="s">
        <v>606</v>
      </c>
      <c r="ALO337" s="42" t="s">
        <v>606</v>
      </c>
      <c r="ALP337" s="42" t="s">
        <v>606</v>
      </c>
      <c r="ALQ337" s="42" t="s">
        <v>606</v>
      </c>
      <c r="ALR337" s="42" t="s">
        <v>606</v>
      </c>
      <c r="ALS337" s="42" t="s">
        <v>606</v>
      </c>
      <c r="ALT337" s="42" t="s">
        <v>606</v>
      </c>
      <c r="ALU337" s="42" t="s">
        <v>606</v>
      </c>
      <c r="ALV337" s="42" t="s">
        <v>606</v>
      </c>
      <c r="ALW337" s="42" t="s">
        <v>606</v>
      </c>
      <c r="ALX337" s="42" t="s">
        <v>606</v>
      </c>
      <c r="ALY337" s="42" t="s">
        <v>606</v>
      </c>
      <c r="ALZ337" s="42" t="s">
        <v>606</v>
      </c>
      <c r="AMA337" s="42" t="s">
        <v>606</v>
      </c>
      <c r="AMB337" s="42" t="s">
        <v>606</v>
      </c>
      <c r="AMC337" s="42" t="s">
        <v>606</v>
      </c>
      <c r="AMD337" s="42" t="s">
        <v>606</v>
      </c>
      <c r="AME337" s="42" t="s">
        <v>606</v>
      </c>
      <c r="AMF337" s="42" t="s">
        <v>606</v>
      </c>
      <c r="AMG337" s="42" t="s">
        <v>606</v>
      </c>
      <c r="AMH337" s="42" t="s">
        <v>606</v>
      </c>
      <c r="AMI337" s="42" t="s">
        <v>606</v>
      </c>
      <c r="AMJ337" s="42" t="s">
        <v>606</v>
      </c>
      <c r="AMK337" s="42" t="s">
        <v>606</v>
      </c>
      <c r="AML337" s="42" t="s">
        <v>606</v>
      </c>
      <c r="AMM337" s="42" t="s">
        <v>606</v>
      </c>
      <c r="AMN337" s="42" t="s">
        <v>606</v>
      </c>
      <c r="AMO337" s="42" t="s">
        <v>606</v>
      </c>
      <c r="AMP337" s="42" t="s">
        <v>606</v>
      </c>
      <c r="AMQ337" s="42" t="s">
        <v>606</v>
      </c>
      <c r="AMR337" s="42" t="s">
        <v>606</v>
      </c>
      <c r="AMS337" s="42" t="s">
        <v>606</v>
      </c>
      <c r="AMT337" s="42" t="s">
        <v>606</v>
      </c>
      <c r="AMU337" s="42" t="s">
        <v>606</v>
      </c>
      <c r="AMV337" s="42" t="s">
        <v>606</v>
      </c>
      <c r="AMW337" s="42" t="s">
        <v>606</v>
      </c>
      <c r="AMX337" s="42" t="s">
        <v>606</v>
      </c>
      <c r="AMY337" s="42" t="s">
        <v>606</v>
      </c>
      <c r="AMZ337" s="42" t="s">
        <v>606</v>
      </c>
      <c r="ANA337" s="42" t="s">
        <v>606</v>
      </c>
      <c r="ANB337" s="42" t="s">
        <v>606</v>
      </c>
      <c r="ANC337" s="42" t="s">
        <v>606</v>
      </c>
      <c r="AND337" s="42" t="s">
        <v>606</v>
      </c>
      <c r="ANE337" s="42" t="s">
        <v>606</v>
      </c>
      <c r="ANF337" s="42" t="s">
        <v>606</v>
      </c>
      <c r="ANG337" s="42" t="s">
        <v>606</v>
      </c>
      <c r="ANH337" s="42" t="s">
        <v>606</v>
      </c>
      <c r="ANI337" s="42" t="s">
        <v>606</v>
      </c>
      <c r="ANJ337" s="42" t="s">
        <v>606</v>
      </c>
      <c r="ANK337" s="42" t="s">
        <v>606</v>
      </c>
      <c r="ANL337" s="42" t="s">
        <v>606</v>
      </c>
      <c r="ANM337" s="42" t="s">
        <v>606</v>
      </c>
      <c r="ANN337" s="42" t="s">
        <v>606</v>
      </c>
      <c r="ANO337" s="42" t="s">
        <v>606</v>
      </c>
      <c r="ANP337" s="42" t="s">
        <v>606</v>
      </c>
      <c r="ANQ337" s="42" t="s">
        <v>606</v>
      </c>
      <c r="ANR337" s="42" t="s">
        <v>606</v>
      </c>
      <c r="ANS337" s="42" t="s">
        <v>606</v>
      </c>
      <c r="ANT337" s="42" t="s">
        <v>606</v>
      </c>
      <c r="ANU337" s="42" t="s">
        <v>606</v>
      </c>
      <c r="ANV337" s="42" t="s">
        <v>606</v>
      </c>
      <c r="ANW337" s="42" t="s">
        <v>606</v>
      </c>
      <c r="ANX337" s="42" t="s">
        <v>606</v>
      </c>
      <c r="ANY337" s="42" t="s">
        <v>606</v>
      </c>
      <c r="ANZ337" s="42" t="s">
        <v>606</v>
      </c>
      <c r="AOA337" s="42" t="s">
        <v>606</v>
      </c>
      <c r="AOB337" s="42" t="s">
        <v>606</v>
      </c>
      <c r="AOC337" s="42" t="s">
        <v>606</v>
      </c>
      <c r="AOD337" s="42" t="s">
        <v>606</v>
      </c>
      <c r="AOE337" s="42" t="s">
        <v>606</v>
      </c>
      <c r="AOF337" s="42" t="s">
        <v>606</v>
      </c>
      <c r="AOG337" s="42" t="s">
        <v>606</v>
      </c>
      <c r="AOH337" s="42" t="s">
        <v>606</v>
      </c>
      <c r="AOI337" s="42" t="s">
        <v>606</v>
      </c>
      <c r="AOJ337" s="42" t="s">
        <v>606</v>
      </c>
      <c r="AOK337" s="42" t="s">
        <v>606</v>
      </c>
      <c r="AOL337" s="42" t="s">
        <v>606</v>
      </c>
      <c r="AOM337" s="42" t="s">
        <v>606</v>
      </c>
      <c r="AON337" s="42" t="s">
        <v>606</v>
      </c>
      <c r="AOO337" s="42" t="s">
        <v>606</v>
      </c>
      <c r="AOP337" s="42" t="s">
        <v>606</v>
      </c>
      <c r="AOQ337" s="42" t="s">
        <v>606</v>
      </c>
      <c r="AOR337" s="42" t="s">
        <v>606</v>
      </c>
      <c r="AOS337" s="42" t="s">
        <v>606</v>
      </c>
      <c r="AOT337" s="42" t="s">
        <v>606</v>
      </c>
      <c r="AOU337" s="42" t="s">
        <v>606</v>
      </c>
      <c r="AOV337" s="42" t="s">
        <v>606</v>
      </c>
      <c r="AOW337" s="42" t="s">
        <v>606</v>
      </c>
      <c r="AOX337" s="42" t="s">
        <v>606</v>
      </c>
      <c r="AOY337" s="42" t="s">
        <v>606</v>
      </c>
      <c r="AOZ337" s="42" t="s">
        <v>606</v>
      </c>
      <c r="APA337" s="42" t="s">
        <v>606</v>
      </c>
      <c r="APB337" s="42" t="s">
        <v>606</v>
      </c>
      <c r="APC337" s="42" t="s">
        <v>606</v>
      </c>
      <c r="APD337" s="42" t="s">
        <v>606</v>
      </c>
      <c r="APE337" s="42" t="s">
        <v>606</v>
      </c>
      <c r="APF337" s="42" t="s">
        <v>606</v>
      </c>
      <c r="APG337" s="42" t="s">
        <v>606</v>
      </c>
      <c r="APH337" s="42" t="s">
        <v>606</v>
      </c>
      <c r="API337" s="42" t="s">
        <v>606</v>
      </c>
      <c r="APJ337" s="42" t="s">
        <v>606</v>
      </c>
      <c r="APK337" s="42" t="s">
        <v>606</v>
      </c>
      <c r="APL337" s="42" t="s">
        <v>606</v>
      </c>
      <c r="APM337" s="42" t="s">
        <v>606</v>
      </c>
      <c r="APN337" s="42" t="s">
        <v>606</v>
      </c>
      <c r="APO337" s="42" t="s">
        <v>606</v>
      </c>
      <c r="APP337" s="42" t="s">
        <v>606</v>
      </c>
      <c r="APQ337" s="42" t="s">
        <v>606</v>
      </c>
      <c r="APR337" s="42" t="s">
        <v>606</v>
      </c>
      <c r="APS337" s="42" t="s">
        <v>606</v>
      </c>
      <c r="APT337" s="42" t="s">
        <v>606</v>
      </c>
      <c r="APU337" s="42" t="s">
        <v>606</v>
      </c>
      <c r="APV337" s="42" t="s">
        <v>606</v>
      </c>
      <c r="APW337" s="42" t="s">
        <v>606</v>
      </c>
      <c r="APX337" s="42" t="s">
        <v>606</v>
      </c>
      <c r="APY337" s="42" t="s">
        <v>606</v>
      </c>
      <c r="APZ337" s="42" t="s">
        <v>606</v>
      </c>
      <c r="AQA337" s="42" t="s">
        <v>606</v>
      </c>
      <c r="AQB337" s="42" t="s">
        <v>606</v>
      </c>
      <c r="AQC337" s="42" t="s">
        <v>606</v>
      </c>
      <c r="AQD337" s="42" t="s">
        <v>606</v>
      </c>
      <c r="AQE337" s="42" t="s">
        <v>606</v>
      </c>
      <c r="AQF337" s="42" t="s">
        <v>606</v>
      </c>
      <c r="AQG337" s="42" t="s">
        <v>606</v>
      </c>
      <c r="AQH337" s="42" t="s">
        <v>606</v>
      </c>
      <c r="AQI337" s="42" t="s">
        <v>606</v>
      </c>
      <c r="AQJ337" s="42" t="s">
        <v>606</v>
      </c>
      <c r="AQK337" s="42" t="s">
        <v>606</v>
      </c>
      <c r="AQL337" s="42" t="s">
        <v>606</v>
      </c>
      <c r="AQM337" s="42" t="s">
        <v>606</v>
      </c>
      <c r="AQN337" s="42" t="s">
        <v>606</v>
      </c>
      <c r="AQO337" s="42" t="s">
        <v>606</v>
      </c>
      <c r="AQP337" s="42" t="s">
        <v>606</v>
      </c>
      <c r="AQQ337" s="42" t="s">
        <v>606</v>
      </c>
      <c r="AQR337" s="42" t="s">
        <v>606</v>
      </c>
      <c r="AQS337" s="42" t="s">
        <v>606</v>
      </c>
      <c r="AQT337" s="42" t="s">
        <v>606</v>
      </c>
      <c r="AQU337" s="42" t="s">
        <v>606</v>
      </c>
      <c r="AQV337" s="42" t="s">
        <v>606</v>
      </c>
      <c r="AQW337" s="42" t="s">
        <v>606</v>
      </c>
      <c r="AQX337" s="42" t="s">
        <v>606</v>
      </c>
      <c r="AQY337" s="42" t="s">
        <v>606</v>
      </c>
      <c r="AQZ337" s="42" t="s">
        <v>606</v>
      </c>
      <c r="ARA337" s="42" t="s">
        <v>606</v>
      </c>
      <c r="ARB337" s="42" t="s">
        <v>606</v>
      </c>
      <c r="ARC337" s="42" t="s">
        <v>606</v>
      </c>
      <c r="ARD337" s="42" t="s">
        <v>606</v>
      </c>
      <c r="ARE337" s="42" t="s">
        <v>606</v>
      </c>
      <c r="ARF337" s="42" t="s">
        <v>606</v>
      </c>
      <c r="ARG337" s="42" t="s">
        <v>606</v>
      </c>
      <c r="ARH337" s="42" t="s">
        <v>606</v>
      </c>
      <c r="ARI337" s="42" t="s">
        <v>606</v>
      </c>
      <c r="ARJ337" s="42" t="s">
        <v>606</v>
      </c>
      <c r="ARK337" s="42" t="s">
        <v>606</v>
      </c>
      <c r="ARL337" s="42" t="s">
        <v>606</v>
      </c>
      <c r="ARM337" s="42" t="s">
        <v>606</v>
      </c>
      <c r="ARN337" s="42" t="s">
        <v>606</v>
      </c>
      <c r="ARO337" s="42" t="s">
        <v>606</v>
      </c>
      <c r="ARP337" s="42" t="s">
        <v>606</v>
      </c>
      <c r="ARQ337" s="42" t="s">
        <v>606</v>
      </c>
      <c r="ARR337" s="42" t="s">
        <v>606</v>
      </c>
      <c r="ARS337" s="42" t="s">
        <v>606</v>
      </c>
      <c r="ART337" s="42" t="s">
        <v>606</v>
      </c>
      <c r="ARU337" s="42" t="s">
        <v>606</v>
      </c>
      <c r="ARV337" s="42" t="s">
        <v>606</v>
      </c>
      <c r="ARW337" s="42" t="s">
        <v>606</v>
      </c>
      <c r="ARX337" s="42" t="s">
        <v>606</v>
      </c>
      <c r="ARY337" s="42" t="s">
        <v>606</v>
      </c>
      <c r="ARZ337" s="42" t="s">
        <v>606</v>
      </c>
      <c r="ASA337" s="42" t="s">
        <v>606</v>
      </c>
      <c r="ASB337" s="42" t="s">
        <v>606</v>
      </c>
      <c r="ASC337" s="42" t="s">
        <v>606</v>
      </c>
      <c r="ASD337" s="42" t="s">
        <v>606</v>
      </c>
      <c r="ASE337" s="42" t="s">
        <v>606</v>
      </c>
      <c r="ASF337" s="42" t="s">
        <v>606</v>
      </c>
      <c r="ASG337" s="42" t="s">
        <v>606</v>
      </c>
      <c r="ASH337" s="42" t="s">
        <v>606</v>
      </c>
      <c r="ASI337" s="42" t="s">
        <v>606</v>
      </c>
      <c r="ASJ337" s="42" t="s">
        <v>606</v>
      </c>
      <c r="ASK337" s="42" t="s">
        <v>606</v>
      </c>
      <c r="ASL337" s="42" t="s">
        <v>606</v>
      </c>
      <c r="ASM337" s="42" t="s">
        <v>606</v>
      </c>
      <c r="ASN337" s="42" t="s">
        <v>606</v>
      </c>
      <c r="ASO337" s="42" t="s">
        <v>606</v>
      </c>
      <c r="ASP337" s="42" t="s">
        <v>606</v>
      </c>
      <c r="ASQ337" s="42" t="s">
        <v>606</v>
      </c>
      <c r="ASR337" s="42" t="s">
        <v>606</v>
      </c>
      <c r="ASS337" s="42" t="s">
        <v>606</v>
      </c>
      <c r="AST337" s="42" t="s">
        <v>606</v>
      </c>
      <c r="ASU337" s="42" t="s">
        <v>606</v>
      </c>
      <c r="ASV337" s="42" t="s">
        <v>606</v>
      </c>
      <c r="ASW337" s="42" t="s">
        <v>606</v>
      </c>
      <c r="ASX337" s="42" t="s">
        <v>606</v>
      </c>
      <c r="ASY337" s="42" t="s">
        <v>606</v>
      </c>
      <c r="ASZ337" s="42" t="s">
        <v>606</v>
      </c>
      <c r="ATA337" s="42" t="s">
        <v>606</v>
      </c>
      <c r="ATB337" s="42" t="s">
        <v>606</v>
      </c>
      <c r="ATC337" s="42" t="s">
        <v>606</v>
      </c>
      <c r="ATD337" s="42" t="s">
        <v>606</v>
      </c>
      <c r="ATE337" s="42" t="s">
        <v>606</v>
      </c>
      <c r="ATF337" s="42" t="s">
        <v>606</v>
      </c>
      <c r="ATG337" s="42" t="s">
        <v>606</v>
      </c>
      <c r="ATH337" s="42" t="s">
        <v>606</v>
      </c>
      <c r="ATI337" s="42" t="s">
        <v>606</v>
      </c>
      <c r="ATJ337" s="42" t="s">
        <v>606</v>
      </c>
      <c r="ATK337" s="42" t="s">
        <v>606</v>
      </c>
      <c r="ATL337" s="42" t="s">
        <v>606</v>
      </c>
      <c r="ATM337" s="42" t="s">
        <v>606</v>
      </c>
      <c r="ATN337" s="42" t="s">
        <v>606</v>
      </c>
      <c r="ATO337" s="42" t="s">
        <v>606</v>
      </c>
      <c r="ATP337" s="42" t="s">
        <v>606</v>
      </c>
      <c r="ATQ337" s="42" t="s">
        <v>606</v>
      </c>
      <c r="ATR337" s="42" t="s">
        <v>606</v>
      </c>
      <c r="ATS337" s="42" t="s">
        <v>606</v>
      </c>
      <c r="ATT337" s="42" t="s">
        <v>606</v>
      </c>
      <c r="ATU337" s="42" t="s">
        <v>606</v>
      </c>
      <c r="ATV337" s="42" t="s">
        <v>606</v>
      </c>
      <c r="ATW337" s="42" t="s">
        <v>606</v>
      </c>
      <c r="ATX337" s="42" t="s">
        <v>606</v>
      </c>
      <c r="ATY337" s="42" t="s">
        <v>606</v>
      </c>
      <c r="ATZ337" s="42" t="s">
        <v>606</v>
      </c>
      <c r="AUA337" s="42" t="s">
        <v>606</v>
      </c>
      <c r="AUB337" s="42" t="s">
        <v>606</v>
      </c>
      <c r="AUC337" s="42" t="s">
        <v>606</v>
      </c>
      <c r="AUD337" s="42" t="s">
        <v>606</v>
      </c>
      <c r="AUE337" s="42" t="s">
        <v>606</v>
      </c>
      <c r="AUF337" s="42" t="s">
        <v>606</v>
      </c>
      <c r="AUG337" s="42" t="s">
        <v>606</v>
      </c>
      <c r="AUH337" s="42" t="s">
        <v>606</v>
      </c>
      <c r="AUI337" s="42" t="s">
        <v>606</v>
      </c>
      <c r="AUJ337" s="42" t="s">
        <v>606</v>
      </c>
      <c r="AUK337" s="42" t="s">
        <v>606</v>
      </c>
      <c r="AUL337" s="42" t="s">
        <v>606</v>
      </c>
      <c r="AUM337" s="42" t="s">
        <v>606</v>
      </c>
      <c r="AUN337" s="42" t="s">
        <v>606</v>
      </c>
      <c r="AUO337" s="42" t="s">
        <v>606</v>
      </c>
      <c r="AUP337" s="42" t="s">
        <v>606</v>
      </c>
      <c r="AUQ337" s="42" t="s">
        <v>606</v>
      </c>
      <c r="AUR337" s="42" t="s">
        <v>606</v>
      </c>
      <c r="AUS337" s="42" t="s">
        <v>606</v>
      </c>
      <c r="AUT337" s="42" t="s">
        <v>606</v>
      </c>
      <c r="AUU337" s="42" t="s">
        <v>606</v>
      </c>
      <c r="AUV337" s="42" t="s">
        <v>606</v>
      </c>
      <c r="AUW337" s="42" t="s">
        <v>606</v>
      </c>
      <c r="AUX337" s="42" t="s">
        <v>606</v>
      </c>
      <c r="AUY337" s="42" t="s">
        <v>606</v>
      </c>
      <c r="AUZ337" s="42" t="s">
        <v>606</v>
      </c>
      <c r="AVA337" s="42" t="s">
        <v>606</v>
      </c>
      <c r="AVB337" s="42" t="s">
        <v>606</v>
      </c>
      <c r="AVC337" s="42" t="s">
        <v>606</v>
      </c>
      <c r="AVD337" s="42" t="s">
        <v>606</v>
      </c>
      <c r="AVE337" s="42" t="s">
        <v>606</v>
      </c>
      <c r="AVF337" s="42" t="s">
        <v>606</v>
      </c>
      <c r="AVG337" s="42" t="s">
        <v>606</v>
      </c>
      <c r="AVH337" s="42" t="s">
        <v>606</v>
      </c>
      <c r="AVI337" s="42" t="s">
        <v>606</v>
      </c>
      <c r="AVJ337" s="42" t="s">
        <v>606</v>
      </c>
      <c r="AVK337" s="42" t="s">
        <v>606</v>
      </c>
      <c r="AVL337" s="42" t="s">
        <v>606</v>
      </c>
      <c r="AVM337" s="42" t="s">
        <v>606</v>
      </c>
      <c r="AVN337" s="42" t="s">
        <v>606</v>
      </c>
      <c r="AVO337" s="42" t="s">
        <v>606</v>
      </c>
      <c r="AVP337" s="42" t="s">
        <v>606</v>
      </c>
      <c r="AVQ337" s="42" t="s">
        <v>606</v>
      </c>
      <c r="AVR337" s="42" t="s">
        <v>606</v>
      </c>
      <c r="AVS337" s="42" t="s">
        <v>606</v>
      </c>
      <c r="AVT337" s="42" t="s">
        <v>606</v>
      </c>
      <c r="AVU337" s="42" t="s">
        <v>606</v>
      </c>
      <c r="AVV337" s="42" t="s">
        <v>606</v>
      </c>
      <c r="AVW337" s="42" t="s">
        <v>606</v>
      </c>
      <c r="AVX337" s="42" t="s">
        <v>606</v>
      </c>
      <c r="AVY337" s="42" t="s">
        <v>606</v>
      </c>
      <c r="AVZ337" s="42" t="s">
        <v>606</v>
      </c>
      <c r="AWA337" s="42" t="s">
        <v>606</v>
      </c>
      <c r="AWB337" s="42" t="s">
        <v>606</v>
      </c>
      <c r="AWC337" s="42" t="s">
        <v>606</v>
      </c>
      <c r="AWD337" s="42" t="s">
        <v>606</v>
      </c>
      <c r="AWE337" s="42" t="s">
        <v>606</v>
      </c>
      <c r="AWF337" s="42" t="s">
        <v>606</v>
      </c>
      <c r="AWG337" s="42" t="s">
        <v>606</v>
      </c>
      <c r="AWH337" s="42" t="s">
        <v>606</v>
      </c>
      <c r="AWI337" s="42" t="s">
        <v>606</v>
      </c>
      <c r="AWJ337" s="42" t="s">
        <v>606</v>
      </c>
      <c r="AWK337" s="42" t="s">
        <v>606</v>
      </c>
      <c r="AWL337" s="42" t="s">
        <v>606</v>
      </c>
      <c r="AWM337" s="42" t="s">
        <v>606</v>
      </c>
      <c r="AWN337" s="42" t="s">
        <v>606</v>
      </c>
      <c r="AWO337" s="42" t="s">
        <v>606</v>
      </c>
      <c r="AWP337" s="42" t="s">
        <v>606</v>
      </c>
      <c r="AWQ337" s="42" t="s">
        <v>606</v>
      </c>
      <c r="AWR337" s="42" t="s">
        <v>606</v>
      </c>
      <c r="AWS337" s="42" t="s">
        <v>606</v>
      </c>
      <c r="AWT337" s="42" t="s">
        <v>606</v>
      </c>
      <c r="AWU337" s="42" t="s">
        <v>606</v>
      </c>
      <c r="AWV337" s="42" t="s">
        <v>606</v>
      </c>
      <c r="AWW337" s="42" t="s">
        <v>606</v>
      </c>
      <c r="AWX337" s="42" t="s">
        <v>606</v>
      </c>
      <c r="AWY337" s="42" t="s">
        <v>606</v>
      </c>
      <c r="AWZ337" s="42" t="s">
        <v>606</v>
      </c>
      <c r="AXA337" s="42" t="s">
        <v>606</v>
      </c>
      <c r="AXB337" s="42" t="s">
        <v>606</v>
      </c>
      <c r="AXC337" s="42" t="s">
        <v>606</v>
      </c>
      <c r="AXD337" s="42" t="s">
        <v>606</v>
      </c>
      <c r="AXE337" s="42" t="s">
        <v>606</v>
      </c>
      <c r="AXF337" s="42" t="s">
        <v>606</v>
      </c>
      <c r="AXG337" s="42" t="s">
        <v>606</v>
      </c>
      <c r="AXH337" s="42" t="s">
        <v>606</v>
      </c>
      <c r="AXI337" s="42" t="s">
        <v>606</v>
      </c>
      <c r="AXJ337" s="42" t="s">
        <v>606</v>
      </c>
      <c r="AXK337" s="42" t="s">
        <v>606</v>
      </c>
      <c r="AXL337" s="42" t="s">
        <v>606</v>
      </c>
      <c r="AXM337" s="42" t="s">
        <v>606</v>
      </c>
      <c r="AXN337" s="42" t="s">
        <v>606</v>
      </c>
      <c r="AXO337" s="42" t="s">
        <v>606</v>
      </c>
      <c r="AXP337" s="42" t="s">
        <v>606</v>
      </c>
      <c r="AXQ337" s="42" t="s">
        <v>606</v>
      </c>
      <c r="AXR337" s="42" t="s">
        <v>606</v>
      </c>
      <c r="AXS337" s="42" t="s">
        <v>606</v>
      </c>
      <c r="AXT337" s="42" t="s">
        <v>606</v>
      </c>
      <c r="AXU337" s="42" t="s">
        <v>606</v>
      </c>
      <c r="AXV337" s="42" t="s">
        <v>606</v>
      </c>
      <c r="AXW337" s="42" t="s">
        <v>606</v>
      </c>
      <c r="AXX337" s="42" t="s">
        <v>606</v>
      </c>
      <c r="AXY337" s="42" t="s">
        <v>606</v>
      </c>
      <c r="AXZ337" s="42" t="s">
        <v>606</v>
      </c>
      <c r="AYA337" s="42" t="s">
        <v>606</v>
      </c>
      <c r="AYB337" s="42" t="s">
        <v>606</v>
      </c>
      <c r="AYC337" s="42" t="s">
        <v>606</v>
      </c>
      <c r="AYD337" s="42" t="s">
        <v>606</v>
      </c>
      <c r="AYE337" s="42" t="s">
        <v>606</v>
      </c>
      <c r="AYF337" s="42" t="s">
        <v>606</v>
      </c>
      <c r="AYG337" s="42" t="s">
        <v>606</v>
      </c>
      <c r="AYH337" s="42" t="s">
        <v>606</v>
      </c>
      <c r="AYI337" s="42" t="s">
        <v>606</v>
      </c>
      <c r="AYJ337" s="42" t="s">
        <v>606</v>
      </c>
      <c r="AYK337" s="42" t="s">
        <v>606</v>
      </c>
      <c r="AYL337" s="42" t="s">
        <v>606</v>
      </c>
      <c r="AYM337" s="42" t="s">
        <v>606</v>
      </c>
      <c r="AYN337" s="42" t="s">
        <v>606</v>
      </c>
      <c r="AYO337" s="42" t="s">
        <v>606</v>
      </c>
      <c r="AYP337" s="42" t="s">
        <v>606</v>
      </c>
      <c r="AYQ337" s="42" t="s">
        <v>606</v>
      </c>
      <c r="AYR337" s="42" t="s">
        <v>606</v>
      </c>
      <c r="AYS337" s="42" t="s">
        <v>606</v>
      </c>
      <c r="AYT337" s="42" t="s">
        <v>606</v>
      </c>
      <c r="AYU337" s="42" t="s">
        <v>606</v>
      </c>
      <c r="AYV337" s="42" t="s">
        <v>606</v>
      </c>
      <c r="AYW337" s="42" t="s">
        <v>606</v>
      </c>
      <c r="AYX337" s="42" t="s">
        <v>606</v>
      </c>
      <c r="AYY337" s="42" t="s">
        <v>606</v>
      </c>
      <c r="AYZ337" s="42" t="s">
        <v>606</v>
      </c>
      <c r="AZA337" s="42" t="s">
        <v>606</v>
      </c>
      <c r="AZB337" s="42" t="s">
        <v>606</v>
      </c>
      <c r="AZC337" s="42" t="s">
        <v>606</v>
      </c>
      <c r="AZD337" s="42" t="s">
        <v>606</v>
      </c>
      <c r="AZE337" s="42" t="s">
        <v>606</v>
      </c>
      <c r="AZF337" s="42" t="s">
        <v>606</v>
      </c>
      <c r="AZG337" s="42" t="s">
        <v>606</v>
      </c>
      <c r="AZH337" s="42" t="s">
        <v>606</v>
      </c>
      <c r="AZI337" s="42" t="s">
        <v>606</v>
      </c>
      <c r="AZJ337" s="42" t="s">
        <v>606</v>
      </c>
      <c r="AZK337" s="42" t="s">
        <v>606</v>
      </c>
      <c r="AZL337" s="42" t="s">
        <v>606</v>
      </c>
      <c r="AZM337" s="42" t="s">
        <v>606</v>
      </c>
      <c r="AZN337" s="42" t="s">
        <v>606</v>
      </c>
      <c r="AZO337" s="42" t="s">
        <v>606</v>
      </c>
      <c r="AZP337" s="42" t="s">
        <v>606</v>
      </c>
      <c r="AZQ337" s="42" t="s">
        <v>606</v>
      </c>
      <c r="AZR337" s="42" t="s">
        <v>606</v>
      </c>
      <c r="AZS337" s="42" t="s">
        <v>606</v>
      </c>
      <c r="AZT337" s="42" t="s">
        <v>606</v>
      </c>
      <c r="AZU337" s="42" t="s">
        <v>606</v>
      </c>
      <c r="AZV337" s="42" t="s">
        <v>606</v>
      </c>
      <c r="AZW337" s="42" t="s">
        <v>606</v>
      </c>
      <c r="AZX337" s="42" t="s">
        <v>606</v>
      </c>
      <c r="AZY337" s="42" t="s">
        <v>606</v>
      </c>
      <c r="AZZ337" s="42" t="s">
        <v>606</v>
      </c>
      <c r="BAA337" s="42" t="s">
        <v>606</v>
      </c>
      <c r="BAB337" s="42" t="s">
        <v>606</v>
      </c>
      <c r="BAC337" s="42" t="s">
        <v>606</v>
      </c>
      <c r="BAD337" s="42" t="s">
        <v>606</v>
      </c>
      <c r="BAE337" s="42" t="s">
        <v>606</v>
      </c>
      <c r="BAF337" s="42" t="s">
        <v>606</v>
      </c>
      <c r="BAG337" s="42" t="s">
        <v>606</v>
      </c>
      <c r="BAH337" s="42" t="s">
        <v>606</v>
      </c>
      <c r="BAI337" s="42" t="s">
        <v>606</v>
      </c>
      <c r="BAJ337" s="42" t="s">
        <v>606</v>
      </c>
      <c r="BAK337" s="42" t="s">
        <v>606</v>
      </c>
      <c r="BAL337" s="42" t="s">
        <v>606</v>
      </c>
      <c r="BAM337" s="42" t="s">
        <v>606</v>
      </c>
      <c r="BAN337" s="42" t="s">
        <v>606</v>
      </c>
      <c r="BAO337" s="42" t="s">
        <v>606</v>
      </c>
      <c r="BAP337" s="42" t="s">
        <v>606</v>
      </c>
      <c r="BAQ337" s="42" t="s">
        <v>606</v>
      </c>
      <c r="BAR337" s="42" t="s">
        <v>606</v>
      </c>
      <c r="BAS337" s="42" t="s">
        <v>606</v>
      </c>
      <c r="BAT337" s="42" t="s">
        <v>606</v>
      </c>
      <c r="BAU337" s="42" t="s">
        <v>606</v>
      </c>
      <c r="BAV337" s="42" t="s">
        <v>606</v>
      </c>
      <c r="BAW337" s="42" t="s">
        <v>606</v>
      </c>
      <c r="BAX337" s="42" t="s">
        <v>606</v>
      </c>
      <c r="BAY337" s="42" t="s">
        <v>606</v>
      </c>
      <c r="BAZ337" s="42" t="s">
        <v>606</v>
      </c>
      <c r="BBA337" s="42" t="s">
        <v>606</v>
      </c>
      <c r="BBB337" s="42" t="s">
        <v>606</v>
      </c>
      <c r="BBC337" s="42" t="s">
        <v>606</v>
      </c>
      <c r="BBD337" s="42" t="s">
        <v>606</v>
      </c>
      <c r="BBE337" s="42" t="s">
        <v>606</v>
      </c>
      <c r="BBF337" s="42" t="s">
        <v>606</v>
      </c>
      <c r="BBG337" s="42" t="s">
        <v>606</v>
      </c>
      <c r="BBH337" s="42" t="s">
        <v>606</v>
      </c>
      <c r="BBI337" s="42" t="s">
        <v>606</v>
      </c>
      <c r="BBJ337" s="42" t="s">
        <v>606</v>
      </c>
      <c r="BBK337" s="42" t="s">
        <v>606</v>
      </c>
      <c r="BBL337" s="42" t="s">
        <v>606</v>
      </c>
      <c r="BBM337" s="42" t="s">
        <v>606</v>
      </c>
      <c r="BBN337" s="42" t="s">
        <v>606</v>
      </c>
      <c r="BBO337" s="42" t="s">
        <v>606</v>
      </c>
      <c r="BBP337" s="42" t="s">
        <v>606</v>
      </c>
      <c r="BBQ337" s="42" t="s">
        <v>606</v>
      </c>
      <c r="BBR337" s="42" t="s">
        <v>606</v>
      </c>
      <c r="BBS337" s="42" t="s">
        <v>606</v>
      </c>
      <c r="BBT337" s="42" t="s">
        <v>606</v>
      </c>
      <c r="BBU337" s="42" t="s">
        <v>606</v>
      </c>
      <c r="BBV337" s="42" t="s">
        <v>606</v>
      </c>
      <c r="BBW337" s="42" t="s">
        <v>606</v>
      </c>
      <c r="BBX337" s="42" t="s">
        <v>606</v>
      </c>
      <c r="BBY337" s="42" t="s">
        <v>606</v>
      </c>
      <c r="BBZ337" s="42" t="s">
        <v>606</v>
      </c>
      <c r="BCA337" s="42" t="s">
        <v>606</v>
      </c>
      <c r="BCB337" s="42" t="s">
        <v>606</v>
      </c>
      <c r="BCC337" s="42" t="s">
        <v>606</v>
      </c>
      <c r="BCD337" s="42" t="s">
        <v>606</v>
      </c>
      <c r="BCE337" s="42" t="s">
        <v>606</v>
      </c>
      <c r="BCF337" s="42" t="s">
        <v>606</v>
      </c>
      <c r="BCG337" s="42" t="s">
        <v>606</v>
      </c>
      <c r="BCH337" s="42" t="s">
        <v>606</v>
      </c>
      <c r="BCI337" s="42" t="s">
        <v>606</v>
      </c>
      <c r="BCJ337" s="42" t="s">
        <v>606</v>
      </c>
      <c r="BCK337" s="42" t="s">
        <v>606</v>
      </c>
      <c r="BCL337" s="42" t="s">
        <v>606</v>
      </c>
      <c r="BCM337" s="42" t="s">
        <v>606</v>
      </c>
      <c r="BCN337" s="42" t="s">
        <v>606</v>
      </c>
      <c r="BCO337" s="42" t="s">
        <v>606</v>
      </c>
      <c r="BCP337" s="42" t="s">
        <v>606</v>
      </c>
      <c r="BCQ337" s="42" t="s">
        <v>606</v>
      </c>
      <c r="BCR337" s="42" t="s">
        <v>606</v>
      </c>
      <c r="BCS337" s="42" t="s">
        <v>606</v>
      </c>
      <c r="BCT337" s="42" t="s">
        <v>606</v>
      </c>
      <c r="BCU337" s="42" t="s">
        <v>606</v>
      </c>
      <c r="BCV337" s="42" t="s">
        <v>606</v>
      </c>
      <c r="BCW337" s="42" t="s">
        <v>606</v>
      </c>
      <c r="BCX337" s="42" t="s">
        <v>606</v>
      </c>
      <c r="BCY337" s="42" t="s">
        <v>606</v>
      </c>
      <c r="BCZ337" s="42" t="s">
        <v>606</v>
      </c>
      <c r="BDA337" s="42" t="s">
        <v>606</v>
      </c>
      <c r="BDB337" s="42" t="s">
        <v>606</v>
      </c>
      <c r="BDC337" s="42" t="s">
        <v>606</v>
      </c>
      <c r="BDD337" s="42" t="s">
        <v>606</v>
      </c>
      <c r="BDE337" s="42" t="s">
        <v>606</v>
      </c>
      <c r="BDF337" s="42" t="s">
        <v>606</v>
      </c>
      <c r="BDG337" s="42" t="s">
        <v>606</v>
      </c>
      <c r="BDH337" s="42" t="s">
        <v>606</v>
      </c>
      <c r="BDI337" s="42" t="s">
        <v>606</v>
      </c>
      <c r="BDJ337" s="42" t="s">
        <v>606</v>
      </c>
      <c r="BDK337" s="42" t="s">
        <v>606</v>
      </c>
      <c r="BDL337" s="42" t="s">
        <v>606</v>
      </c>
      <c r="BDM337" s="42" t="s">
        <v>606</v>
      </c>
      <c r="BDN337" s="42" t="s">
        <v>606</v>
      </c>
      <c r="BDO337" s="42" t="s">
        <v>606</v>
      </c>
      <c r="BDP337" s="42" t="s">
        <v>606</v>
      </c>
      <c r="BDQ337" s="42" t="s">
        <v>606</v>
      </c>
      <c r="BDR337" s="42" t="s">
        <v>606</v>
      </c>
      <c r="BDS337" s="42" t="s">
        <v>606</v>
      </c>
      <c r="BDT337" s="42" t="s">
        <v>606</v>
      </c>
      <c r="BDU337" s="42" t="s">
        <v>606</v>
      </c>
      <c r="BDV337" s="42" t="s">
        <v>606</v>
      </c>
      <c r="BDW337" s="42" t="s">
        <v>606</v>
      </c>
      <c r="BDX337" s="42" t="s">
        <v>606</v>
      </c>
      <c r="BDY337" s="42" t="s">
        <v>606</v>
      </c>
      <c r="BDZ337" s="42" t="s">
        <v>606</v>
      </c>
      <c r="BEA337" s="42" t="s">
        <v>606</v>
      </c>
      <c r="BEB337" s="42" t="s">
        <v>606</v>
      </c>
      <c r="BEC337" s="42" t="s">
        <v>606</v>
      </c>
      <c r="BED337" s="42" t="s">
        <v>606</v>
      </c>
      <c r="BEE337" s="42" t="s">
        <v>606</v>
      </c>
      <c r="BEF337" s="42" t="s">
        <v>606</v>
      </c>
      <c r="BEG337" s="42" t="s">
        <v>606</v>
      </c>
      <c r="BEH337" s="42" t="s">
        <v>606</v>
      </c>
      <c r="BEI337" s="42" t="s">
        <v>606</v>
      </c>
      <c r="BEJ337" s="42" t="s">
        <v>606</v>
      </c>
      <c r="BEK337" s="42" t="s">
        <v>606</v>
      </c>
      <c r="BEL337" s="42" t="s">
        <v>606</v>
      </c>
      <c r="BEM337" s="42" t="s">
        <v>606</v>
      </c>
      <c r="BEN337" s="42" t="s">
        <v>606</v>
      </c>
      <c r="BEO337" s="42" t="s">
        <v>606</v>
      </c>
      <c r="BEP337" s="42" t="s">
        <v>606</v>
      </c>
      <c r="BEQ337" s="42" t="s">
        <v>606</v>
      </c>
      <c r="BER337" s="42" t="s">
        <v>606</v>
      </c>
      <c r="BES337" s="42" t="s">
        <v>606</v>
      </c>
      <c r="BET337" s="42" t="s">
        <v>606</v>
      </c>
      <c r="BEU337" s="42" t="s">
        <v>606</v>
      </c>
      <c r="BEV337" s="42" t="s">
        <v>606</v>
      </c>
      <c r="BEW337" s="42" t="s">
        <v>606</v>
      </c>
      <c r="BEX337" s="42" t="s">
        <v>606</v>
      </c>
      <c r="BEY337" s="42" t="s">
        <v>606</v>
      </c>
      <c r="BEZ337" s="42" t="s">
        <v>606</v>
      </c>
      <c r="BFA337" s="42" t="s">
        <v>606</v>
      </c>
      <c r="BFB337" s="42" t="s">
        <v>606</v>
      </c>
      <c r="BFC337" s="42" t="s">
        <v>606</v>
      </c>
      <c r="BFD337" s="42" t="s">
        <v>606</v>
      </c>
      <c r="BFE337" s="42" t="s">
        <v>606</v>
      </c>
      <c r="BFF337" s="42" t="s">
        <v>606</v>
      </c>
      <c r="BFG337" s="42" t="s">
        <v>606</v>
      </c>
      <c r="BFH337" s="42" t="s">
        <v>606</v>
      </c>
      <c r="BFI337" s="42" t="s">
        <v>606</v>
      </c>
      <c r="BFJ337" s="42" t="s">
        <v>606</v>
      </c>
      <c r="BFK337" s="42" t="s">
        <v>606</v>
      </c>
      <c r="BFL337" s="42" t="s">
        <v>606</v>
      </c>
      <c r="BFM337" s="42" t="s">
        <v>606</v>
      </c>
      <c r="BFN337" s="42" t="s">
        <v>606</v>
      </c>
      <c r="BFO337" s="42" t="s">
        <v>606</v>
      </c>
      <c r="BFP337" s="42" t="s">
        <v>606</v>
      </c>
      <c r="BFQ337" s="42" t="s">
        <v>606</v>
      </c>
      <c r="BFR337" s="42" t="s">
        <v>606</v>
      </c>
      <c r="BFS337" s="42" t="s">
        <v>606</v>
      </c>
      <c r="BFT337" s="42" t="s">
        <v>606</v>
      </c>
      <c r="BFU337" s="42" t="s">
        <v>606</v>
      </c>
      <c r="BFV337" s="42" t="s">
        <v>606</v>
      </c>
      <c r="BFW337" s="42" t="s">
        <v>606</v>
      </c>
      <c r="BFX337" s="42" t="s">
        <v>606</v>
      </c>
      <c r="BFY337" s="42" t="s">
        <v>606</v>
      </c>
      <c r="BFZ337" s="42" t="s">
        <v>606</v>
      </c>
      <c r="BGA337" s="42" t="s">
        <v>606</v>
      </c>
      <c r="BGB337" s="42" t="s">
        <v>606</v>
      </c>
      <c r="BGC337" s="42" t="s">
        <v>606</v>
      </c>
      <c r="BGD337" s="42" t="s">
        <v>606</v>
      </c>
      <c r="BGE337" s="42" t="s">
        <v>606</v>
      </c>
      <c r="BGF337" s="42" t="s">
        <v>606</v>
      </c>
      <c r="BGG337" s="42" t="s">
        <v>606</v>
      </c>
      <c r="BGH337" s="42" t="s">
        <v>606</v>
      </c>
      <c r="BGI337" s="42" t="s">
        <v>606</v>
      </c>
      <c r="BGJ337" s="42" t="s">
        <v>606</v>
      </c>
      <c r="BGK337" s="42" t="s">
        <v>606</v>
      </c>
      <c r="BGL337" s="42" t="s">
        <v>606</v>
      </c>
      <c r="BGM337" s="42" t="s">
        <v>606</v>
      </c>
      <c r="BGN337" s="42" t="s">
        <v>606</v>
      </c>
      <c r="BGO337" s="42" t="s">
        <v>606</v>
      </c>
      <c r="BGP337" s="42" t="s">
        <v>606</v>
      </c>
      <c r="BGQ337" s="42" t="s">
        <v>606</v>
      </c>
      <c r="BGR337" s="42" t="s">
        <v>606</v>
      </c>
      <c r="BGS337" s="42" t="s">
        <v>606</v>
      </c>
      <c r="BGT337" s="42" t="s">
        <v>606</v>
      </c>
      <c r="BGU337" s="42" t="s">
        <v>606</v>
      </c>
      <c r="BGV337" s="42" t="s">
        <v>606</v>
      </c>
      <c r="BGW337" s="42" t="s">
        <v>606</v>
      </c>
      <c r="BGX337" s="42" t="s">
        <v>606</v>
      </c>
      <c r="BGY337" s="42" t="s">
        <v>606</v>
      </c>
      <c r="BGZ337" s="42" t="s">
        <v>606</v>
      </c>
      <c r="BHA337" s="42" t="s">
        <v>606</v>
      </c>
      <c r="BHB337" s="42" t="s">
        <v>606</v>
      </c>
      <c r="BHC337" s="42" t="s">
        <v>606</v>
      </c>
      <c r="BHD337" s="42" t="s">
        <v>606</v>
      </c>
      <c r="BHE337" s="42" t="s">
        <v>606</v>
      </c>
      <c r="BHF337" s="42" t="s">
        <v>606</v>
      </c>
      <c r="BHG337" s="42" t="s">
        <v>606</v>
      </c>
      <c r="BHH337" s="42" t="s">
        <v>606</v>
      </c>
      <c r="BHI337" s="42" t="s">
        <v>606</v>
      </c>
      <c r="BHJ337" s="42" t="s">
        <v>606</v>
      </c>
      <c r="BHK337" s="42" t="s">
        <v>606</v>
      </c>
      <c r="BHL337" s="42" t="s">
        <v>606</v>
      </c>
      <c r="BHM337" s="42" t="s">
        <v>606</v>
      </c>
      <c r="BHN337" s="42" t="s">
        <v>606</v>
      </c>
      <c r="BHO337" s="42" t="s">
        <v>606</v>
      </c>
      <c r="BHP337" s="42" t="s">
        <v>606</v>
      </c>
      <c r="BHQ337" s="42" t="s">
        <v>606</v>
      </c>
      <c r="BHR337" s="42" t="s">
        <v>606</v>
      </c>
      <c r="BHS337" s="42" t="s">
        <v>606</v>
      </c>
      <c r="BHT337" s="42" t="s">
        <v>606</v>
      </c>
      <c r="BHU337" s="42" t="s">
        <v>606</v>
      </c>
      <c r="BHV337" s="42" t="s">
        <v>606</v>
      </c>
      <c r="BHW337" s="42" t="s">
        <v>606</v>
      </c>
      <c r="BHX337" s="42" t="s">
        <v>606</v>
      </c>
      <c r="BHY337" s="42" t="s">
        <v>606</v>
      </c>
      <c r="BHZ337" s="42" t="s">
        <v>606</v>
      </c>
      <c r="BIA337" s="42" t="s">
        <v>606</v>
      </c>
      <c r="BIB337" s="42" t="s">
        <v>606</v>
      </c>
      <c r="BIC337" s="42" t="s">
        <v>606</v>
      </c>
      <c r="BID337" s="42" t="s">
        <v>606</v>
      </c>
      <c r="BIE337" s="42" t="s">
        <v>606</v>
      </c>
      <c r="BIF337" s="42" t="s">
        <v>606</v>
      </c>
      <c r="BIG337" s="42" t="s">
        <v>606</v>
      </c>
      <c r="BIH337" s="42" t="s">
        <v>606</v>
      </c>
      <c r="BII337" s="42" t="s">
        <v>606</v>
      </c>
      <c r="BIJ337" s="42" t="s">
        <v>606</v>
      </c>
      <c r="BIK337" s="42" t="s">
        <v>606</v>
      </c>
      <c r="BIL337" s="42" t="s">
        <v>606</v>
      </c>
      <c r="BIM337" s="42" t="s">
        <v>606</v>
      </c>
      <c r="BIN337" s="42" t="s">
        <v>606</v>
      </c>
      <c r="BIO337" s="42" t="s">
        <v>606</v>
      </c>
      <c r="BIP337" s="42" t="s">
        <v>606</v>
      </c>
      <c r="BIQ337" s="42" t="s">
        <v>606</v>
      </c>
      <c r="BIR337" s="42" t="s">
        <v>606</v>
      </c>
      <c r="BIS337" s="42" t="s">
        <v>606</v>
      </c>
      <c r="BIT337" s="42" t="s">
        <v>606</v>
      </c>
      <c r="BIU337" s="42" t="s">
        <v>606</v>
      </c>
      <c r="BIV337" s="42" t="s">
        <v>606</v>
      </c>
      <c r="BIW337" s="42" t="s">
        <v>606</v>
      </c>
      <c r="BIX337" s="42" t="s">
        <v>606</v>
      </c>
      <c r="BIY337" s="42" t="s">
        <v>606</v>
      </c>
      <c r="BIZ337" s="42" t="s">
        <v>606</v>
      </c>
      <c r="BJA337" s="42" t="s">
        <v>606</v>
      </c>
      <c r="BJB337" s="42" t="s">
        <v>606</v>
      </c>
      <c r="BJC337" s="42" t="s">
        <v>606</v>
      </c>
      <c r="BJD337" s="42" t="s">
        <v>606</v>
      </c>
      <c r="BJE337" s="42" t="s">
        <v>606</v>
      </c>
      <c r="BJF337" s="42" t="s">
        <v>606</v>
      </c>
      <c r="BJG337" s="42" t="s">
        <v>606</v>
      </c>
      <c r="BJH337" s="42" t="s">
        <v>606</v>
      </c>
      <c r="BJI337" s="42" t="s">
        <v>606</v>
      </c>
      <c r="BJJ337" s="42" t="s">
        <v>606</v>
      </c>
      <c r="BJK337" s="42" t="s">
        <v>606</v>
      </c>
      <c r="BJL337" s="42" t="s">
        <v>606</v>
      </c>
      <c r="BJM337" s="42" t="s">
        <v>606</v>
      </c>
      <c r="BJN337" s="42" t="s">
        <v>606</v>
      </c>
      <c r="BJO337" s="42" t="s">
        <v>606</v>
      </c>
      <c r="BJP337" s="42" t="s">
        <v>606</v>
      </c>
      <c r="BJQ337" s="42" t="s">
        <v>606</v>
      </c>
      <c r="BJR337" s="42" t="s">
        <v>606</v>
      </c>
      <c r="BJS337" s="42" t="s">
        <v>606</v>
      </c>
      <c r="BJT337" s="42" t="s">
        <v>606</v>
      </c>
      <c r="BJU337" s="42" t="s">
        <v>606</v>
      </c>
      <c r="BJV337" s="42" t="s">
        <v>606</v>
      </c>
      <c r="BJW337" s="42" t="s">
        <v>606</v>
      </c>
      <c r="BJX337" s="42" t="s">
        <v>606</v>
      </c>
      <c r="BJY337" s="42" t="s">
        <v>606</v>
      </c>
      <c r="BJZ337" s="42" t="s">
        <v>606</v>
      </c>
      <c r="BKA337" s="42" t="s">
        <v>606</v>
      </c>
      <c r="BKB337" s="42" t="s">
        <v>606</v>
      </c>
      <c r="BKC337" s="42" t="s">
        <v>606</v>
      </c>
      <c r="BKD337" s="42" t="s">
        <v>606</v>
      </c>
      <c r="BKE337" s="42" t="s">
        <v>606</v>
      </c>
      <c r="BKF337" s="42" t="s">
        <v>606</v>
      </c>
      <c r="BKG337" s="42" t="s">
        <v>606</v>
      </c>
      <c r="BKH337" s="42" t="s">
        <v>606</v>
      </c>
      <c r="BKI337" s="42" t="s">
        <v>606</v>
      </c>
      <c r="BKJ337" s="42" t="s">
        <v>606</v>
      </c>
      <c r="BKK337" s="42" t="s">
        <v>606</v>
      </c>
      <c r="BKL337" s="42" t="s">
        <v>606</v>
      </c>
      <c r="BKM337" s="42" t="s">
        <v>606</v>
      </c>
      <c r="BKN337" s="42" t="s">
        <v>606</v>
      </c>
      <c r="BKO337" s="42" t="s">
        <v>606</v>
      </c>
      <c r="BKP337" s="42" t="s">
        <v>606</v>
      </c>
      <c r="BKQ337" s="42" t="s">
        <v>606</v>
      </c>
      <c r="BKR337" s="42" t="s">
        <v>606</v>
      </c>
      <c r="BKS337" s="42" t="s">
        <v>606</v>
      </c>
      <c r="BKT337" s="42" t="s">
        <v>606</v>
      </c>
      <c r="BKU337" s="42" t="s">
        <v>606</v>
      </c>
      <c r="BKV337" s="42" t="s">
        <v>606</v>
      </c>
      <c r="BKW337" s="42" t="s">
        <v>606</v>
      </c>
      <c r="BKX337" s="42" t="s">
        <v>606</v>
      </c>
      <c r="BKY337" s="42" t="s">
        <v>606</v>
      </c>
      <c r="BKZ337" s="42" t="s">
        <v>606</v>
      </c>
      <c r="BLA337" s="42" t="s">
        <v>606</v>
      </c>
      <c r="BLB337" s="42" t="s">
        <v>606</v>
      </c>
      <c r="BLC337" s="42" t="s">
        <v>606</v>
      </c>
      <c r="BLD337" s="42" t="s">
        <v>606</v>
      </c>
      <c r="BLE337" s="42" t="s">
        <v>606</v>
      </c>
      <c r="BLF337" s="42" t="s">
        <v>606</v>
      </c>
      <c r="BLG337" s="42" t="s">
        <v>606</v>
      </c>
      <c r="BLH337" s="42" t="s">
        <v>606</v>
      </c>
      <c r="BLI337" s="42" t="s">
        <v>606</v>
      </c>
      <c r="BLJ337" s="42" t="s">
        <v>606</v>
      </c>
      <c r="BLK337" s="42" t="s">
        <v>606</v>
      </c>
      <c r="BLL337" s="42" t="s">
        <v>606</v>
      </c>
      <c r="BLM337" s="42" t="s">
        <v>606</v>
      </c>
      <c r="BLN337" s="42" t="s">
        <v>606</v>
      </c>
      <c r="BLO337" s="42" t="s">
        <v>606</v>
      </c>
      <c r="BLP337" s="42" t="s">
        <v>606</v>
      </c>
      <c r="BLQ337" s="42" t="s">
        <v>606</v>
      </c>
      <c r="BLR337" s="42" t="s">
        <v>606</v>
      </c>
      <c r="BLS337" s="42" t="s">
        <v>606</v>
      </c>
      <c r="BLT337" s="42" t="s">
        <v>606</v>
      </c>
      <c r="BLU337" s="42" t="s">
        <v>606</v>
      </c>
      <c r="BLV337" s="42" t="s">
        <v>606</v>
      </c>
      <c r="BLW337" s="42" t="s">
        <v>606</v>
      </c>
      <c r="BLX337" s="42" t="s">
        <v>606</v>
      </c>
      <c r="BLY337" s="42" t="s">
        <v>606</v>
      </c>
      <c r="BLZ337" s="42" t="s">
        <v>606</v>
      </c>
      <c r="BMA337" s="42" t="s">
        <v>606</v>
      </c>
      <c r="BMB337" s="42" t="s">
        <v>606</v>
      </c>
      <c r="BMC337" s="42" t="s">
        <v>606</v>
      </c>
      <c r="BMD337" s="42" t="s">
        <v>606</v>
      </c>
      <c r="BME337" s="42" t="s">
        <v>606</v>
      </c>
      <c r="BMF337" s="42" t="s">
        <v>606</v>
      </c>
      <c r="BMG337" s="42" t="s">
        <v>606</v>
      </c>
      <c r="BMH337" s="42" t="s">
        <v>606</v>
      </c>
      <c r="BMI337" s="42" t="s">
        <v>606</v>
      </c>
      <c r="BMJ337" s="42" t="s">
        <v>606</v>
      </c>
      <c r="BMK337" s="42" t="s">
        <v>606</v>
      </c>
      <c r="BML337" s="42" t="s">
        <v>606</v>
      </c>
      <c r="BMM337" s="42" t="s">
        <v>606</v>
      </c>
      <c r="BMN337" s="42" t="s">
        <v>606</v>
      </c>
      <c r="BMO337" s="42" t="s">
        <v>606</v>
      </c>
      <c r="BMP337" s="42" t="s">
        <v>606</v>
      </c>
      <c r="BMQ337" s="42" t="s">
        <v>606</v>
      </c>
      <c r="BMR337" s="42" t="s">
        <v>606</v>
      </c>
      <c r="BMS337" s="42" t="s">
        <v>606</v>
      </c>
      <c r="BMT337" s="42" t="s">
        <v>606</v>
      </c>
      <c r="BMU337" s="42" t="s">
        <v>606</v>
      </c>
      <c r="BMV337" s="42" t="s">
        <v>606</v>
      </c>
      <c r="BMW337" s="42" t="s">
        <v>606</v>
      </c>
      <c r="BMX337" s="42" t="s">
        <v>606</v>
      </c>
      <c r="BMY337" s="42" t="s">
        <v>606</v>
      </c>
      <c r="BMZ337" s="42" t="s">
        <v>606</v>
      </c>
      <c r="BNA337" s="42" t="s">
        <v>606</v>
      </c>
      <c r="BNB337" s="42" t="s">
        <v>606</v>
      </c>
      <c r="BNC337" s="42" t="s">
        <v>606</v>
      </c>
      <c r="BND337" s="42" t="s">
        <v>606</v>
      </c>
      <c r="BNE337" s="42" t="s">
        <v>606</v>
      </c>
      <c r="BNF337" s="42" t="s">
        <v>606</v>
      </c>
      <c r="BNG337" s="42" t="s">
        <v>606</v>
      </c>
      <c r="BNH337" s="42" t="s">
        <v>606</v>
      </c>
      <c r="BNI337" s="42" t="s">
        <v>606</v>
      </c>
      <c r="BNJ337" s="42" t="s">
        <v>606</v>
      </c>
      <c r="BNK337" s="42" t="s">
        <v>606</v>
      </c>
      <c r="BNL337" s="42" t="s">
        <v>606</v>
      </c>
      <c r="BNM337" s="42" t="s">
        <v>606</v>
      </c>
      <c r="BNN337" s="42" t="s">
        <v>606</v>
      </c>
      <c r="BNO337" s="42" t="s">
        <v>606</v>
      </c>
      <c r="BNP337" s="42" t="s">
        <v>606</v>
      </c>
      <c r="BNQ337" s="42" t="s">
        <v>606</v>
      </c>
      <c r="BNR337" s="42" t="s">
        <v>606</v>
      </c>
      <c r="BNS337" s="42" t="s">
        <v>606</v>
      </c>
      <c r="BNT337" s="42" t="s">
        <v>606</v>
      </c>
      <c r="BNU337" s="42" t="s">
        <v>606</v>
      </c>
      <c r="BNV337" s="42" t="s">
        <v>606</v>
      </c>
      <c r="BNW337" s="42" t="s">
        <v>606</v>
      </c>
      <c r="BNX337" s="42" t="s">
        <v>606</v>
      </c>
      <c r="BNY337" s="42" t="s">
        <v>606</v>
      </c>
      <c r="BNZ337" s="42" t="s">
        <v>606</v>
      </c>
      <c r="BOA337" s="42" t="s">
        <v>606</v>
      </c>
      <c r="BOB337" s="42" t="s">
        <v>606</v>
      </c>
      <c r="BOC337" s="42" t="s">
        <v>606</v>
      </c>
      <c r="BOD337" s="42" t="s">
        <v>606</v>
      </c>
      <c r="BOE337" s="42" t="s">
        <v>606</v>
      </c>
      <c r="BOF337" s="42" t="s">
        <v>606</v>
      </c>
      <c r="BOG337" s="42" t="s">
        <v>606</v>
      </c>
      <c r="BOH337" s="42" t="s">
        <v>606</v>
      </c>
      <c r="BOI337" s="42" t="s">
        <v>606</v>
      </c>
      <c r="BOJ337" s="42" t="s">
        <v>606</v>
      </c>
      <c r="BOK337" s="42" t="s">
        <v>606</v>
      </c>
      <c r="BOL337" s="42" t="s">
        <v>606</v>
      </c>
      <c r="BOM337" s="42" t="s">
        <v>606</v>
      </c>
      <c r="BON337" s="42" t="s">
        <v>606</v>
      </c>
      <c r="BOO337" s="42" t="s">
        <v>606</v>
      </c>
      <c r="BOP337" s="42" t="s">
        <v>606</v>
      </c>
      <c r="BOQ337" s="42" t="s">
        <v>606</v>
      </c>
      <c r="BOR337" s="42" t="s">
        <v>606</v>
      </c>
      <c r="BOS337" s="42" t="s">
        <v>606</v>
      </c>
      <c r="BOT337" s="42" t="s">
        <v>606</v>
      </c>
      <c r="BOU337" s="42" t="s">
        <v>606</v>
      </c>
      <c r="BOV337" s="42" t="s">
        <v>606</v>
      </c>
      <c r="BOW337" s="42" t="s">
        <v>606</v>
      </c>
      <c r="BOX337" s="42" t="s">
        <v>606</v>
      </c>
      <c r="BOY337" s="42" t="s">
        <v>606</v>
      </c>
      <c r="BOZ337" s="42" t="s">
        <v>606</v>
      </c>
      <c r="BPA337" s="42" t="s">
        <v>606</v>
      </c>
      <c r="BPB337" s="42" t="s">
        <v>606</v>
      </c>
      <c r="BPC337" s="42" t="s">
        <v>606</v>
      </c>
      <c r="BPD337" s="42" t="s">
        <v>606</v>
      </c>
      <c r="BPE337" s="42" t="s">
        <v>606</v>
      </c>
      <c r="BPF337" s="42" t="s">
        <v>606</v>
      </c>
      <c r="BPG337" s="42" t="s">
        <v>606</v>
      </c>
      <c r="BPH337" s="42" t="s">
        <v>606</v>
      </c>
      <c r="BPI337" s="42" t="s">
        <v>606</v>
      </c>
      <c r="BPJ337" s="42" t="s">
        <v>606</v>
      </c>
      <c r="BPK337" s="42" t="s">
        <v>606</v>
      </c>
      <c r="BPL337" s="42" t="s">
        <v>606</v>
      </c>
      <c r="BPM337" s="42" t="s">
        <v>606</v>
      </c>
      <c r="BPN337" s="42" t="s">
        <v>606</v>
      </c>
      <c r="BPO337" s="42" t="s">
        <v>606</v>
      </c>
      <c r="BPP337" s="42" t="s">
        <v>606</v>
      </c>
      <c r="BPQ337" s="42" t="s">
        <v>606</v>
      </c>
      <c r="BPR337" s="42" t="s">
        <v>606</v>
      </c>
      <c r="BPS337" s="42" t="s">
        <v>606</v>
      </c>
      <c r="BPT337" s="42" t="s">
        <v>606</v>
      </c>
      <c r="BPU337" s="42" t="s">
        <v>606</v>
      </c>
      <c r="BPV337" s="42" t="s">
        <v>606</v>
      </c>
      <c r="BPW337" s="42" t="s">
        <v>606</v>
      </c>
      <c r="BPX337" s="42" t="s">
        <v>606</v>
      </c>
      <c r="BPY337" s="42" t="s">
        <v>606</v>
      </c>
      <c r="BPZ337" s="42" t="s">
        <v>606</v>
      </c>
      <c r="BQA337" s="42" t="s">
        <v>606</v>
      </c>
      <c r="BQB337" s="42" t="s">
        <v>606</v>
      </c>
      <c r="BQC337" s="42" t="s">
        <v>606</v>
      </c>
      <c r="BQD337" s="42" t="s">
        <v>606</v>
      </c>
      <c r="BQE337" s="42" t="s">
        <v>606</v>
      </c>
      <c r="BQF337" s="42" t="s">
        <v>606</v>
      </c>
      <c r="BQG337" s="42" t="s">
        <v>606</v>
      </c>
      <c r="BQH337" s="42" t="s">
        <v>606</v>
      </c>
      <c r="BQI337" s="42" t="s">
        <v>606</v>
      </c>
      <c r="BQJ337" s="42" t="s">
        <v>606</v>
      </c>
      <c r="BQK337" s="42" t="s">
        <v>606</v>
      </c>
      <c r="BQL337" s="42" t="s">
        <v>606</v>
      </c>
      <c r="BQM337" s="42" t="s">
        <v>606</v>
      </c>
      <c r="BQN337" s="42" t="s">
        <v>606</v>
      </c>
      <c r="BQO337" s="42" t="s">
        <v>606</v>
      </c>
      <c r="BQP337" s="42" t="s">
        <v>606</v>
      </c>
      <c r="BQQ337" s="42" t="s">
        <v>606</v>
      </c>
      <c r="BQR337" s="42" t="s">
        <v>606</v>
      </c>
      <c r="BQS337" s="42" t="s">
        <v>606</v>
      </c>
      <c r="BQT337" s="42" t="s">
        <v>606</v>
      </c>
      <c r="BQU337" s="42" t="s">
        <v>606</v>
      </c>
      <c r="BQV337" s="42" t="s">
        <v>606</v>
      </c>
      <c r="BQW337" s="42" t="s">
        <v>606</v>
      </c>
      <c r="BQX337" s="42" t="s">
        <v>606</v>
      </c>
      <c r="BQY337" s="42" t="s">
        <v>606</v>
      </c>
      <c r="BQZ337" s="42" t="s">
        <v>606</v>
      </c>
      <c r="BRA337" s="42" t="s">
        <v>606</v>
      </c>
      <c r="BRB337" s="42" t="s">
        <v>606</v>
      </c>
      <c r="BRC337" s="42" t="s">
        <v>606</v>
      </c>
      <c r="BRD337" s="42" t="s">
        <v>606</v>
      </c>
      <c r="BRE337" s="42" t="s">
        <v>606</v>
      </c>
      <c r="BRF337" s="42" t="s">
        <v>606</v>
      </c>
      <c r="BRG337" s="42" t="s">
        <v>606</v>
      </c>
      <c r="BRH337" s="42" t="s">
        <v>606</v>
      </c>
      <c r="BRI337" s="42" t="s">
        <v>606</v>
      </c>
      <c r="BRJ337" s="42" t="s">
        <v>606</v>
      </c>
      <c r="BRK337" s="42" t="s">
        <v>606</v>
      </c>
      <c r="BRL337" s="42" t="s">
        <v>606</v>
      </c>
      <c r="BRM337" s="42" t="s">
        <v>606</v>
      </c>
      <c r="BRN337" s="42" t="s">
        <v>606</v>
      </c>
      <c r="BRO337" s="42" t="s">
        <v>606</v>
      </c>
      <c r="BRP337" s="42" t="s">
        <v>606</v>
      </c>
      <c r="BRQ337" s="42" t="s">
        <v>606</v>
      </c>
      <c r="BRR337" s="42" t="s">
        <v>606</v>
      </c>
      <c r="BRS337" s="42" t="s">
        <v>606</v>
      </c>
      <c r="BRT337" s="42" t="s">
        <v>606</v>
      </c>
      <c r="BRU337" s="42" t="s">
        <v>606</v>
      </c>
      <c r="BRV337" s="42" t="s">
        <v>606</v>
      </c>
      <c r="BRW337" s="42" t="s">
        <v>606</v>
      </c>
      <c r="BRX337" s="42" t="s">
        <v>606</v>
      </c>
      <c r="BRY337" s="42" t="s">
        <v>606</v>
      </c>
      <c r="BRZ337" s="42" t="s">
        <v>606</v>
      </c>
      <c r="BSA337" s="42" t="s">
        <v>606</v>
      </c>
      <c r="BSB337" s="42" t="s">
        <v>606</v>
      </c>
      <c r="BSC337" s="42" t="s">
        <v>606</v>
      </c>
      <c r="BSD337" s="42" t="s">
        <v>606</v>
      </c>
      <c r="BSE337" s="42" t="s">
        <v>606</v>
      </c>
      <c r="BSF337" s="42" t="s">
        <v>606</v>
      </c>
      <c r="BSG337" s="42" t="s">
        <v>606</v>
      </c>
      <c r="BSH337" s="42" t="s">
        <v>606</v>
      </c>
      <c r="BSI337" s="42" t="s">
        <v>606</v>
      </c>
      <c r="BSJ337" s="42" t="s">
        <v>606</v>
      </c>
      <c r="BSK337" s="42" t="s">
        <v>606</v>
      </c>
      <c r="BSL337" s="42" t="s">
        <v>606</v>
      </c>
      <c r="BSM337" s="42" t="s">
        <v>606</v>
      </c>
      <c r="BSN337" s="42" t="s">
        <v>606</v>
      </c>
      <c r="BSO337" s="42" t="s">
        <v>606</v>
      </c>
      <c r="BSP337" s="42" t="s">
        <v>606</v>
      </c>
      <c r="BSQ337" s="42" t="s">
        <v>606</v>
      </c>
      <c r="BSR337" s="42" t="s">
        <v>606</v>
      </c>
      <c r="BSS337" s="42" t="s">
        <v>606</v>
      </c>
      <c r="BST337" s="42" t="s">
        <v>606</v>
      </c>
      <c r="BSU337" s="42" t="s">
        <v>606</v>
      </c>
      <c r="BSV337" s="42" t="s">
        <v>606</v>
      </c>
      <c r="BSW337" s="42" t="s">
        <v>606</v>
      </c>
      <c r="BSX337" s="42" t="s">
        <v>606</v>
      </c>
      <c r="BSY337" s="42" t="s">
        <v>606</v>
      </c>
      <c r="BSZ337" s="42" t="s">
        <v>606</v>
      </c>
      <c r="BTA337" s="42" t="s">
        <v>606</v>
      </c>
      <c r="BTB337" s="42" t="s">
        <v>606</v>
      </c>
      <c r="BTC337" s="42" t="s">
        <v>606</v>
      </c>
      <c r="BTD337" s="42" t="s">
        <v>606</v>
      </c>
      <c r="BTE337" s="42" t="s">
        <v>606</v>
      </c>
      <c r="BTF337" s="42" t="s">
        <v>606</v>
      </c>
      <c r="BTG337" s="42" t="s">
        <v>606</v>
      </c>
      <c r="BTH337" s="42" t="s">
        <v>606</v>
      </c>
      <c r="BTI337" s="42" t="s">
        <v>606</v>
      </c>
      <c r="BTJ337" s="42" t="s">
        <v>606</v>
      </c>
      <c r="BTK337" s="42" t="s">
        <v>606</v>
      </c>
      <c r="BTL337" s="42" t="s">
        <v>606</v>
      </c>
      <c r="BTM337" s="42" t="s">
        <v>606</v>
      </c>
      <c r="BTN337" s="42" t="s">
        <v>606</v>
      </c>
      <c r="BTO337" s="42" t="s">
        <v>606</v>
      </c>
      <c r="BTP337" s="42" t="s">
        <v>606</v>
      </c>
      <c r="BTQ337" s="42" t="s">
        <v>606</v>
      </c>
      <c r="BTR337" s="42" t="s">
        <v>606</v>
      </c>
      <c r="BTS337" s="42" t="s">
        <v>606</v>
      </c>
      <c r="BTT337" s="42" t="s">
        <v>606</v>
      </c>
      <c r="BTU337" s="42" t="s">
        <v>606</v>
      </c>
      <c r="BTV337" s="42" t="s">
        <v>606</v>
      </c>
      <c r="BTW337" s="42" t="s">
        <v>606</v>
      </c>
      <c r="BTX337" s="42" t="s">
        <v>606</v>
      </c>
      <c r="BTY337" s="42" t="s">
        <v>606</v>
      </c>
      <c r="BTZ337" s="42" t="s">
        <v>606</v>
      </c>
      <c r="BUA337" s="42" t="s">
        <v>606</v>
      </c>
      <c r="BUB337" s="42" t="s">
        <v>606</v>
      </c>
      <c r="BUC337" s="42" t="s">
        <v>606</v>
      </c>
      <c r="BUD337" s="42" t="s">
        <v>606</v>
      </c>
      <c r="BUE337" s="42" t="s">
        <v>606</v>
      </c>
      <c r="BUF337" s="42" t="s">
        <v>606</v>
      </c>
      <c r="BUG337" s="42" t="s">
        <v>606</v>
      </c>
      <c r="BUH337" s="42" t="s">
        <v>606</v>
      </c>
      <c r="BUI337" s="42" t="s">
        <v>606</v>
      </c>
      <c r="BUJ337" s="42" t="s">
        <v>606</v>
      </c>
      <c r="BUK337" s="42" t="s">
        <v>606</v>
      </c>
      <c r="BUL337" s="42" t="s">
        <v>606</v>
      </c>
      <c r="BUM337" s="42" t="s">
        <v>606</v>
      </c>
      <c r="BUN337" s="42" t="s">
        <v>606</v>
      </c>
      <c r="BUO337" s="42" t="s">
        <v>606</v>
      </c>
      <c r="BUP337" s="42" t="s">
        <v>606</v>
      </c>
      <c r="BUQ337" s="42" t="s">
        <v>606</v>
      </c>
      <c r="BUR337" s="42" t="s">
        <v>606</v>
      </c>
      <c r="BUS337" s="42" t="s">
        <v>606</v>
      </c>
      <c r="BUT337" s="42" t="s">
        <v>606</v>
      </c>
      <c r="BUU337" s="42" t="s">
        <v>606</v>
      </c>
      <c r="BUV337" s="42" t="s">
        <v>606</v>
      </c>
      <c r="BUW337" s="42" t="s">
        <v>606</v>
      </c>
      <c r="BUX337" s="42" t="s">
        <v>606</v>
      </c>
      <c r="BUY337" s="42" t="s">
        <v>606</v>
      </c>
      <c r="BUZ337" s="42" t="s">
        <v>606</v>
      </c>
      <c r="BVA337" s="42" t="s">
        <v>606</v>
      </c>
      <c r="BVB337" s="42" t="s">
        <v>606</v>
      </c>
      <c r="BVC337" s="42" t="s">
        <v>606</v>
      </c>
      <c r="BVD337" s="42" t="s">
        <v>606</v>
      </c>
      <c r="BVE337" s="42" t="s">
        <v>606</v>
      </c>
      <c r="BVF337" s="42" t="s">
        <v>606</v>
      </c>
      <c r="BVG337" s="42" t="s">
        <v>606</v>
      </c>
      <c r="BVH337" s="42" t="s">
        <v>606</v>
      </c>
      <c r="BVI337" s="42" t="s">
        <v>606</v>
      </c>
      <c r="BVJ337" s="42" t="s">
        <v>606</v>
      </c>
      <c r="BVK337" s="42" t="s">
        <v>606</v>
      </c>
      <c r="BVL337" s="42" t="s">
        <v>606</v>
      </c>
      <c r="BVM337" s="42" t="s">
        <v>606</v>
      </c>
      <c r="BVN337" s="42" t="s">
        <v>606</v>
      </c>
      <c r="BVO337" s="42" t="s">
        <v>606</v>
      </c>
      <c r="BVP337" s="42" t="s">
        <v>606</v>
      </c>
      <c r="BVQ337" s="42" t="s">
        <v>606</v>
      </c>
      <c r="BVR337" s="42" t="s">
        <v>606</v>
      </c>
      <c r="BVS337" s="42" t="s">
        <v>606</v>
      </c>
      <c r="BVT337" s="42" t="s">
        <v>606</v>
      </c>
      <c r="BVU337" s="42" t="s">
        <v>606</v>
      </c>
      <c r="BVV337" s="42" t="s">
        <v>606</v>
      </c>
      <c r="BVW337" s="42" t="s">
        <v>606</v>
      </c>
      <c r="BVX337" s="42" t="s">
        <v>606</v>
      </c>
      <c r="BVY337" s="42" t="s">
        <v>606</v>
      </c>
      <c r="BVZ337" s="42" t="s">
        <v>606</v>
      </c>
      <c r="BWA337" s="42" t="s">
        <v>606</v>
      </c>
      <c r="BWB337" s="42" t="s">
        <v>606</v>
      </c>
      <c r="BWC337" s="42" t="s">
        <v>606</v>
      </c>
      <c r="BWD337" s="42" t="s">
        <v>606</v>
      </c>
      <c r="BWE337" s="42" t="s">
        <v>606</v>
      </c>
      <c r="BWF337" s="42" t="s">
        <v>606</v>
      </c>
      <c r="BWG337" s="42" t="s">
        <v>606</v>
      </c>
      <c r="BWH337" s="42" t="s">
        <v>606</v>
      </c>
      <c r="BWI337" s="42" t="s">
        <v>606</v>
      </c>
      <c r="BWJ337" s="42" t="s">
        <v>606</v>
      </c>
      <c r="BWK337" s="42" t="s">
        <v>606</v>
      </c>
      <c r="BWL337" s="42" t="s">
        <v>606</v>
      </c>
      <c r="BWM337" s="42" t="s">
        <v>606</v>
      </c>
      <c r="BWN337" s="42" t="s">
        <v>606</v>
      </c>
      <c r="BWO337" s="42" t="s">
        <v>606</v>
      </c>
      <c r="BWP337" s="42" t="s">
        <v>606</v>
      </c>
      <c r="BWQ337" s="42" t="s">
        <v>606</v>
      </c>
      <c r="BWR337" s="42" t="s">
        <v>606</v>
      </c>
      <c r="BWS337" s="42" t="s">
        <v>606</v>
      </c>
      <c r="BWT337" s="42" t="s">
        <v>606</v>
      </c>
      <c r="BWU337" s="42" t="s">
        <v>606</v>
      </c>
      <c r="BWV337" s="42" t="s">
        <v>606</v>
      </c>
      <c r="BWW337" s="42" t="s">
        <v>606</v>
      </c>
      <c r="BWX337" s="42" t="s">
        <v>606</v>
      </c>
      <c r="BWY337" s="42" t="s">
        <v>606</v>
      </c>
      <c r="BWZ337" s="42" t="s">
        <v>606</v>
      </c>
      <c r="BXA337" s="42" t="s">
        <v>606</v>
      </c>
      <c r="BXB337" s="42" t="s">
        <v>606</v>
      </c>
      <c r="BXC337" s="42" t="s">
        <v>606</v>
      </c>
      <c r="BXD337" s="42" t="s">
        <v>606</v>
      </c>
      <c r="BXE337" s="42" t="s">
        <v>606</v>
      </c>
      <c r="BXF337" s="42" t="s">
        <v>606</v>
      </c>
      <c r="BXG337" s="42" t="s">
        <v>606</v>
      </c>
      <c r="BXH337" s="42" t="s">
        <v>606</v>
      </c>
      <c r="BXI337" s="42" t="s">
        <v>606</v>
      </c>
      <c r="BXJ337" s="42" t="s">
        <v>606</v>
      </c>
      <c r="BXK337" s="42" t="s">
        <v>606</v>
      </c>
      <c r="BXL337" s="42" t="s">
        <v>606</v>
      </c>
      <c r="BXM337" s="42" t="s">
        <v>606</v>
      </c>
      <c r="BXN337" s="42" t="s">
        <v>606</v>
      </c>
      <c r="BXO337" s="42" t="s">
        <v>606</v>
      </c>
      <c r="BXP337" s="42" t="s">
        <v>606</v>
      </c>
      <c r="BXQ337" s="42" t="s">
        <v>606</v>
      </c>
      <c r="BXR337" s="42" t="s">
        <v>606</v>
      </c>
      <c r="BXS337" s="42" t="s">
        <v>606</v>
      </c>
      <c r="BXT337" s="42" t="s">
        <v>606</v>
      </c>
      <c r="BXU337" s="42" t="s">
        <v>606</v>
      </c>
      <c r="BXV337" s="42" t="s">
        <v>606</v>
      </c>
      <c r="BXW337" s="42" t="s">
        <v>606</v>
      </c>
      <c r="BXX337" s="42" t="s">
        <v>606</v>
      </c>
      <c r="BXY337" s="42" t="s">
        <v>606</v>
      </c>
      <c r="BXZ337" s="42" t="s">
        <v>606</v>
      </c>
      <c r="BYA337" s="42" t="s">
        <v>606</v>
      </c>
      <c r="BYB337" s="42" t="s">
        <v>606</v>
      </c>
      <c r="BYC337" s="42" t="s">
        <v>606</v>
      </c>
      <c r="BYD337" s="42" t="s">
        <v>606</v>
      </c>
      <c r="BYE337" s="42" t="s">
        <v>606</v>
      </c>
      <c r="BYF337" s="42" t="s">
        <v>606</v>
      </c>
      <c r="BYG337" s="42" t="s">
        <v>606</v>
      </c>
      <c r="BYH337" s="42" t="s">
        <v>606</v>
      </c>
      <c r="BYI337" s="42" t="s">
        <v>606</v>
      </c>
      <c r="BYJ337" s="42" t="s">
        <v>606</v>
      </c>
      <c r="BYK337" s="42" t="s">
        <v>606</v>
      </c>
      <c r="BYL337" s="42" t="s">
        <v>606</v>
      </c>
      <c r="BYM337" s="42" t="s">
        <v>606</v>
      </c>
      <c r="BYN337" s="42" t="s">
        <v>606</v>
      </c>
      <c r="BYO337" s="42" t="s">
        <v>606</v>
      </c>
      <c r="BYP337" s="42" t="s">
        <v>606</v>
      </c>
      <c r="BYQ337" s="42" t="s">
        <v>606</v>
      </c>
      <c r="BYR337" s="42" t="s">
        <v>606</v>
      </c>
      <c r="BYS337" s="42" t="s">
        <v>606</v>
      </c>
      <c r="BYT337" s="42" t="s">
        <v>606</v>
      </c>
      <c r="BYU337" s="42" t="s">
        <v>606</v>
      </c>
      <c r="BYV337" s="42" t="s">
        <v>606</v>
      </c>
      <c r="BYW337" s="42" t="s">
        <v>606</v>
      </c>
      <c r="BYX337" s="42" t="s">
        <v>606</v>
      </c>
      <c r="BYY337" s="42" t="s">
        <v>606</v>
      </c>
      <c r="BYZ337" s="42" t="s">
        <v>606</v>
      </c>
      <c r="BZA337" s="42" t="s">
        <v>606</v>
      </c>
      <c r="BZB337" s="42" t="s">
        <v>606</v>
      </c>
      <c r="BZC337" s="42" t="s">
        <v>606</v>
      </c>
      <c r="BZD337" s="42" t="s">
        <v>606</v>
      </c>
      <c r="BZE337" s="42" t="s">
        <v>606</v>
      </c>
      <c r="BZF337" s="42" t="s">
        <v>606</v>
      </c>
      <c r="BZG337" s="42" t="s">
        <v>606</v>
      </c>
      <c r="BZH337" s="42" t="s">
        <v>606</v>
      </c>
      <c r="BZI337" s="42" t="s">
        <v>606</v>
      </c>
      <c r="BZJ337" s="42" t="s">
        <v>606</v>
      </c>
      <c r="BZK337" s="42" t="s">
        <v>606</v>
      </c>
      <c r="BZL337" s="42" t="s">
        <v>606</v>
      </c>
      <c r="BZM337" s="42" t="s">
        <v>606</v>
      </c>
      <c r="BZN337" s="42" t="s">
        <v>606</v>
      </c>
      <c r="BZO337" s="42" t="s">
        <v>606</v>
      </c>
      <c r="BZP337" s="42" t="s">
        <v>606</v>
      </c>
      <c r="BZQ337" s="42" t="s">
        <v>606</v>
      </c>
      <c r="BZR337" s="42" t="s">
        <v>606</v>
      </c>
      <c r="BZS337" s="42" t="s">
        <v>606</v>
      </c>
      <c r="BZT337" s="42" t="s">
        <v>606</v>
      </c>
      <c r="BZU337" s="42" t="s">
        <v>606</v>
      </c>
      <c r="BZV337" s="42" t="s">
        <v>606</v>
      </c>
      <c r="BZW337" s="42" t="s">
        <v>606</v>
      </c>
      <c r="BZX337" s="42" t="s">
        <v>606</v>
      </c>
      <c r="BZY337" s="42" t="s">
        <v>606</v>
      </c>
      <c r="BZZ337" s="42" t="s">
        <v>606</v>
      </c>
      <c r="CAA337" s="42" t="s">
        <v>606</v>
      </c>
      <c r="CAB337" s="42" t="s">
        <v>606</v>
      </c>
      <c r="CAC337" s="42" t="s">
        <v>606</v>
      </c>
      <c r="CAD337" s="42" t="s">
        <v>606</v>
      </c>
      <c r="CAE337" s="42" t="s">
        <v>606</v>
      </c>
      <c r="CAF337" s="42" t="s">
        <v>606</v>
      </c>
      <c r="CAG337" s="42" t="s">
        <v>606</v>
      </c>
      <c r="CAH337" s="42" t="s">
        <v>606</v>
      </c>
      <c r="CAI337" s="42" t="s">
        <v>606</v>
      </c>
      <c r="CAJ337" s="42" t="s">
        <v>606</v>
      </c>
      <c r="CAK337" s="42" t="s">
        <v>606</v>
      </c>
      <c r="CAL337" s="42" t="s">
        <v>606</v>
      </c>
      <c r="CAM337" s="42" t="s">
        <v>606</v>
      </c>
      <c r="CAN337" s="42" t="s">
        <v>606</v>
      </c>
      <c r="CAO337" s="42" t="s">
        <v>606</v>
      </c>
      <c r="CAP337" s="42" t="s">
        <v>606</v>
      </c>
      <c r="CAQ337" s="42" t="s">
        <v>606</v>
      </c>
      <c r="CAR337" s="42" t="s">
        <v>606</v>
      </c>
      <c r="CAS337" s="42" t="s">
        <v>606</v>
      </c>
      <c r="CAT337" s="42" t="s">
        <v>606</v>
      </c>
      <c r="CAU337" s="42" t="s">
        <v>606</v>
      </c>
      <c r="CAV337" s="42" t="s">
        <v>606</v>
      </c>
      <c r="CAW337" s="42" t="s">
        <v>606</v>
      </c>
      <c r="CAX337" s="42" t="s">
        <v>606</v>
      </c>
      <c r="CAY337" s="42" t="s">
        <v>606</v>
      </c>
      <c r="CAZ337" s="42" t="s">
        <v>606</v>
      </c>
      <c r="CBA337" s="42" t="s">
        <v>606</v>
      </c>
      <c r="CBB337" s="42" t="s">
        <v>606</v>
      </c>
      <c r="CBC337" s="42" t="s">
        <v>606</v>
      </c>
      <c r="CBD337" s="42" t="s">
        <v>606</v>
      </c>
      <c r="CBE337" s="42" t="s">
        <v>606</v>
      </c>
      <c r="CBF337" s="42" t="s">
        <v>606</v>
      </c>
      <c r="CBG337" s="42" t="s">
        <v>606</v>
      </c>
      <c r="CBH337" s="42" t="s">
        <v>606</v>
      </c>
      <c r="CBI337" s="42" t="s">
        <v>606</v>
      </c>
      <c r="CBJ337" s="42" t="s">
        <v>606</v>
      </c>
      <c r="CBK337" s="42" t="s">
        <v>606</v>
      </c>
      <c r="CBL337" s="42" t="s">
        <v>606</v>
      </c>
      <c r="CBM337" s="42" t="s">
        <v>606</v>
      </c>
      <c r="CBN337" s="42" t="s">
        <v>606</v>
      </c>
      <c r="CBO337" s="42" t="s">
        <v>606</v>
      </c>
      <c r="CBP337" s="42" t="s">
        <v>606</v>
      </c>
      <c r="CBQ337" s="42" t="s">
        <v>606</v>
      </c>
      <c r="CBR337" s="42" t="s">
        <v>606</v>
      </c>
      <c r="CBS337" s="42" t="s">
        <v>606</v>
      </c>
      <c r="CBT337" s="42" t="s">
        <v>606</v>
      </c>
      <c r="CBU337" s="42" t="s">
        <v>606</v>
      </c>
      <c r="CBV337" s="42" t="s">
        <v>606</v>
      </c>
      <c r="CBW337" s="42" t="s">
        <v>606</v>
      </c>
      <c r="CBX337" s="42" t="s">
        <v>606</v>
      </c>
      <c r="CBY337" s="42" t="s">
        <v>606</v>
      </c>
      <c r="CBZ337" s="42" t="s">
        <v>606</v>
      </c>
      <c r="CCA337" s="42" t="s">
        <v>606</v>
      </c>
      <c r="CCB337" s="42" t="s">
        <v>606</v>
      </c>
      <c r="CCC337" s="42" t="s">
        <v>606</v>
      </c>
      <c r="CCD337" s="42" t="s">
        <v>606</v>
      </c>
      <c r="CCE337" s="42" t="s">
        <v>606</v>
      </c>
      <c r="CCF337" s="42" t="s">
        <v>606</v>
      </c>
      <c r="CCG337" s="42" t="s">
        <v>606</v>
      </c>
      <c r="CCH337" s="42" t="s">
        <v>606</v>
      </c>
      <c r="CCI337" s="42" t="s">
        <v>606</v>
      </c>
      <c r="CCJ337" s="42" t="s">
        <v>606</v>
      </c>
      <c r="CCK337" s="42" t="s">
        <v>606</v>
      </c>
      <c r="CCL337" s="42" t="s">
        <v>606</v>
      </c>
      <c r="CCM337" s="42" t="s">
        <v>606</v>
      </c>
      <c r="CCN337" s="42" t="s">
        <v>606</v>
      </c>
      <c r="CCO337" s="42" t="s">
        <v>606</v>
      </c>
      <c r="CCP337" s="42" t="s">
        <v>606</v>
      </c>
      <c r="CCQ337" s="42" t="s">
        <v>606</v>
      </c>
      <c r="CCR337" s="42" t="s">
        <v>606</v>
      </c>
      <c r="CCS337" s="42" t="s">
        <v>606</v>
      </c>
      <c r="CCT337" s="42" t="s">
        <v>606</v>
      </c>
      <c r="CCU337" s="42" t="s">
        <v>606</v>
      </c>
      <c r="CCV337" s="42" t="s">
        <v>606</v>
      </c>
      <c r="CCW337" s="42" t="s">
        <v>606</v>
      </c>
      <c r="CCX337" s="42" t="s">
        <v>606</v>
      </c>
      <c r="CCY337" s="42" t="s">
        <v>606</v>
      </c>
      <c r="CCZ337" s="42" t="s">
        <v>606</v>
      </c>
      <c r="CDA337" s="42" t="s">
        <v>606</v>
      </c>
      <c r="CDB337" s="42" t="s">
        <v>606</v>
      </c>
      <c r="CDC337" s="42" t="s">
        <v>606</v>
      </c>
      <c r="CDD337" s="42" t="s">
        <v>606</v>
      </c>
      <c r="CDE337" s="42" t="s">
        <v>606</v>
      </c>
      <c r="CDF337" s="42" t="s">
        <v>606</v>
      </c>
      <c r="CDG337" s="42" t="s">
        <v>606</v>
      </c>
      <c r="CDH337" s="42" t="s">
        <v>606</v>
      </c>
      <c r="CDI337" s="42" t="s">
        <v>606</v>
      </c>
      <c r="CDJ337" s="42" t="s">
        <v>606</v>
      </c>
      <c r="CDK337" s="42" t="s">
        <v>606</v>
      </c>
      <c r="CDL337" s="42" t="s">
        <v>606</v>
      </c>
      <c r="CDM337" s="42" t="s">
        <v>606</v>
      </c>
      <c r="CDN337" s="42" t="s">
        <v>606</v>
      </c>
      <c r="CDO337" s="42" t="s">
        <v>606</v>
      </c>
      <c r="CDP337" s="42" t="s">
        <v>606</v>
      </c>
      <c r="CDQ337" s="42" t="s">
        <v>606</v>
      </c>
      <c r="CDR337" s="42" t="s">
        <v>606</v>
      </c>
      <c r="CDS337" s="42" t="s">
        <v>606</v>
      </c>
      <c r="CDT337" s="42" t="s">
        <v>606</v>
      </c>
      <c r="CDU337" s="42" t="s">
        <v>606</v>
      </c>
      <c r="CDV337" s="42" t="s">
        <v>606</v>
      </c>
      <c r="CDW337" s="42" t="s">
        <v>606</v>
      </c>
      <c r="CDX337" s="42" t="s">
        <v>606</v>
      </c>
      <c r="CDY337" s="42" t="s">
        <v>606</v>
      </c>
      <c r="CDZ337" s="42" t="s">
        <v>606</v>
      </c>
      <c r="CEA337" s="42" t="s">
        <v>606</v>
      </c>
      <c r="CEB337" s="42" t="s">
        <v>606</v>
      </c>
      <c r="CEC337" s="42" t="s">
        <v>606</v>
      </c>
      <c r="CED337" s="42" t="s">
        <v>606</v>
      </c>
      <c r="CEE337" s="42" t="s">
        <v>606</v>
      </c>
      <c r="CEF337" s="42" t="s">
        <v>606</v>
      </c>
      <c r="CEG337" s="42" t="s">
        <v>606</v>
      </c>
      <c r="CEH337" s="42" t="s">
        <v>606</v>
      </c>
      <c r="CEI337" s="42" t="s">
        <v>606</v>
      </c>
      <c r="CEJ337" s="42" t="s">
        <v>606</v>
      </c>
      <c r="CEK337" s="42" t="s">
        <v>606</v>
      </c>
      <c r="CEL337" s="42" t="s">
        <v>606</v>
      </c>
      <c r="CEM337" s="42" t="s">
        <v>606</v>
      </c>
      <c r="CEN337" s="42" t="s">
        <v>606</v>
      </c>
      <c r="CEO337" s="42" t="s">
        <v>606</v>
      </c>
      <c r="CEP337" s="42" t="s">
        <v>606</v>
      </c>
      <c r="CEQ337" s="42" t="s">
        <v>606</v>
      </c>
      <c r="CER337" s="42" t="s">
        <v>606</v>
      </c>
      <c r="CES337" s="42" t="s">
        <v>606</v>
      </c>
      <c r="CET337" s="42" t="s">
        <v>606</v>
      </c>
      <c r="CEU337" s="42" t="s">
        <v>606</v>
      </c>
      <c r="CEV337" s="42" t="s">
        <v>606</v>
      </c>
      <c r="CEW337" s="42" t="s">
        <v>606</v>
      </c>
      <c r="CEX337" s="42" t="s">
        <v>606</v>
      </c>
      <c r="CEY337" s="42" t="s">
        <v>606</v>
      </c>
      <c r="CEZ337" s="42" t="s">
        <v>606</v>
      </c>
      <c r="CFA337" s="42" t="s">
        <v>606</v>
      </c>
      <c r="CFB337" s="42" t="s">
        <v>606</v>
      </c>
      <c r="CFC337" s="42" t="s">
        <v>606</v>
      </c>
      <c r="CFD337" s="42" t="s">
        <v>606</v>
      </c>
      <c r="CFE337" s="42" t="s">
        <v>606</v>
      </c>
      <c r="CFF337" s="42" t="s">
        <v>606</v>
      </c>
      <c r="CFG337" s="42" t="s">
        <v>606</v>
      </c>
      <c r="CFH337" s="42" t="s">
        <v>606</v>
      </c>
      <c r="CFI337" s="42" t="s">
        <v>606</v>
      </c>
      <c r="CFJ337" s="42" t="s">
        <v>606</v>
      </c>
      <c r="CFK337" s="42" t="s">
        <v>606</v>
      </c>
      <c r="CFL337" s="42" t="s">
        <v>606</v>
      </c>
      <c r="CFM337" s="42" t="s">
        <v>606</v>
      </c>
      <c r="CFN337" s="42" t="s">
        <v>606</v>
      </c>
      <c r="CFO337" s="42" t="s">
        <v>606</v>
      </c>
      <c r="CFP337" s="42" t="s">
        <v>606</v>
      </c>
      <c r="CFQ337" s="42" t="s">
        <v>606</v>
      </c>
      <c r="CFR337" s="42" t="s">
        <v>606</v>
      </c>
      <c r="CFS337" s="42" t="s">
        <v>606</v>
      </c>
      <c r="CFT337" s="42" t="s">
        <v>606</v>
      </c>
      <c r="CFU337" s="42" t="s">
        <v>606</v>
      </c>
      <c r="CFV337" s="42" t="s">
        <v>606</v>
      </c>
      <c r="CFW337" s="42" t="s">
        <v>606</v>
      </c>
      <c r="CFX337" s="42" t="s">
        <v>606</v>
      </c>
      <c r="CFY337" s="42" t="s">
        <v>606</v>
      </c>
      <c r="CFZ337" s="42" t="s">
        <v>606</v>
      </c>
      <c r="CGA337" s="42" t="s">
        <v>606</v>
      </c>
      <c r="CGB337" s="42" t="s">
        <v>606</v>
      </c>
      <c r="CGC337" s="42" t="s">
        <v>606</v>
      </c>
      <c r="CGD337" s="42" t="s">
        <v>606</v>
      </c>
      <c r="CGE337" s="42" t="s">
        <v>606</v>
      </c>
      <c r="CGF337" s="42" t="s">
        <v>606</v>
      </c>
      <c r="CGG337" s="42" t="s">
        <v>606</v>
      </c>
      <c r="CGH337" s="42" t="s">
        <v>606</v>
      </c>
      <c r="CGI337" s="42" t="s">
        <v>606</v>
      </c>
      <c r="CGJ337" s="42" t="s">
        <v>606</v>
      </c>
      <c r="CGK337" s="42" t="s">
        <v>606</v>
      </c>
      <c r="CGL337" s="42" t="s">
        <v>606</v>
      </c>
      <c r="CGM337" s="42" t="s">
        <v>606</v>
      </c>
      <c r="CGN337" s="42" t="s">
        <v>606</v>
      </c>
      <c r="CGO337" s="42" t="s">
        <v>606</v>
      </c>
      <c r="CGP337" s="42" t="s">
        <v>606</v>
      </c>
      <c r="CGQ337" s="42" t="s">
        <v>606</v>
      </c>
      <c r="CGR337" s="42" t="s">
        <v>606</v>
      </c>
      <c r="CGS337" s="42" t="s">
        <v>606</v>
      </c>
      <c r="CGT337" s="42" t="s">
        <v>606</v>
      </c>
      <c r="CGU337" s="42" t="s">
        <v>606</v>
      </c>
      <c r="CGV337" s="42" t="s">
        <v>606</v>
      </c>
      <c r="CGW337" s="42" t="s">
        <v>606</v>
      </c>
      <c r="CGX337" s="42" t="s">
        <v>606</v>
      </c>
      <c r="CGY337" s="42" t="s">
        <v>606</v>
      </c>
      <c r="CGZ337" s="42" t="s">
        <v>606</v>
      </c>
      <c r="CHA337" s="42" t="s">
        <v>606</v>
      </c>
      <c r="CHB337" s="42" t="s">
        <v>606</v>
      </c>
      <c r="CHC337" s="42" t="s">
        <v>606</v>
      </c>
      <c r="CHD337" s="42" t="s">
        <v>606</v>
      </c>
      <c r="CHE337" s="42" t="s">
        <v>606</v>
      </c>
      <c r="CHF337" s="42" t="s">
        <v>606</v>
      </c>
      <c r="CHG337" s="42" t="s">
        <v>606</v>
      </c>
      <c r="CHH337" s="42" t="s">
        <v>606</v>
      </c>
      <c r="CHI337" s="42" t="s">
        <v>606</v>
      </c>
      <c r="CHJ337" s="42" t="s">
        <v>606</v>
      </c>
      <c r="CHK337" s="42" t="s">
        <v>606</v>
      </c>
      <c r="CHL337" s="42" t="s">
        <v>606</v>
      </c>
      <c r="CHM337" s="42" t="s">
        <v>606</v>
      </c>
      <c r="CHN337" s="42" t="s">
        <v>606</v>
      </c>
      <c r="CHO337" s="42" t="s">
        <v>606</v>
      </c>
      <c r="CHP337" s="42" t="s">
        <v>606</v>
      </c>
      <c r="CHQ337" s="42" t="s">
        <v>606</v>
      </c>
      <c r="CHR337" s="42" t="s">
        <v>606</v>
      </c>
      <c r="CHS337" s="42" t="s">
        <v>606</v>
      </c>
      <c r="CHT337" s="42" t="s">
        <v>606</v>
      </c>
      <c r="CHU337" s="42" t="s">
        <v>606</v>
      </c>
      <c r="CHV337" s="42" t="s">
        <v>606</v>
      </c>
      <c r="CHW337" s="42" t="s">
        <v>606</v>
      </c>
      <c r="CHX337" s="42" t="s">
        <v>606</v>
      </c>
      <c r="CHY337" s="42" t="s">
        <v>606</v>
      </c>
      <c r="CHZ337" s="42" t="s">
        <v>606</v>
      </c>
      <c r="CIA337" s="42" t="s">
        <v>606</v>
      </c>
      <c r="CIB337" s="42" t="s">
        <v>606</v>
      </c>
      <c r="CIC337" s="42" t="s">
        <v>606</v>
      </c>
      <c r="CID337" s="42" t="s">
        <v>606</v>
      </c>
      <c r="CIE337" s="42" t="s">
        <v>606</v>
      </c>
      <c r="CIF337" s="42" t="s">
        <v>606</v>
      </c>
      <c r="CIG337" s="42" t="s">
        <v>606</v>
      </c>
      <c r="CIH337" s="42" t="s">
        <v>606</v>
      </c>
      <c r="CII337" s="42" t="s">
        <v>606</v>
      </c>
      <c r="CIJ337" s="42" t="s">
        <v>606</v>
      </c>
      <c r="CIK337" s="42" t="s">
        <v>606</v>
      </c>
      <c r="CIL337" s="42" t="s">
        <v>606</v>
      </c>
      <c r="CIM337" s="42" t="s">
        <v>606</v>
      </c>
      <c r="CIN337" s="42" t="s">
        <v>606</v>
      </c>
      <c r="CIO337" s="42" t="s">
        <v>606</v>
      </c>
      <c r="CIP337" s="42" t="s">
        <v>606</v>
      </c>
      <c r="CIQ337" s="42" t="s">
        <v>606</v>
      </c>
      <c r="CIR337" s="42" t="s">
        <v>606</v>
      </c>
      <c r="CIS337" s="42" t="s">
        <v>606</v>
      </c>
      <c r="CIT337" s="42" t="s">
        <v>606</v>
      </c>
      <c r="CIU337" s="42" t="s">
        <v>606</v>
      </c>
      <c r="CIV337" s="42" t="s">
        <v>606</v>
      </c>
      <c r="CIW337" s="42" t="s">
        <v>606</v>
      </c>
      <c r="CIX337" s="42" t="s">
        <v>606</v>
      </c>
      <c r="CIY337" s="42" t="s">
        <v>606</v>
      </c>
      <c r="CIZ337" s="42" t="s">
        <v>606</v>
      </c>
      <c r="CJA337" s="42" t="s">
        <v>606</v>
      </c>
      <c r="CJB337" s="42" t="s">
        <v>606</v>
      </c>
      <c r="CJC337" s="42" t="s">
        <v>606</v>
      </c>
      <c r="CJD337" s="42" t="s">
        <v>606</v>
      </c>
      <c r="CJE337" s="42" t="s">
        <v>606</v>
      </c>
      <c r="CJF337" s="42" t="s">
        <v>606</v>
      </c>
      <c r="CJG337" s="42" t="s">
        <v>606</v>
      </c>
      <c r="CJH337" s="42" t="s">
        <v>606</v>
      </c>
      <c r="CJI337" s="42" t="s">
        <v>606</v>
      </c>
      <c r="CJJ337" s="42" t="s">
        <v>606</v>
      </c>
      <c r="CJK337" s="42" t="s">
        <v>606</v>
      </c>
      <c r="CJL337" s="42" t="s">
        <v>606</v>
      </c>
      <c r="CJM337" s="42" t="s">
        <v>606</v>
      </c>
      <c r="CJN337" s="42" t="s">
        <v>606</v>
      </c>
      <c r="CJO337" s="42" t="s">
        <v>606</v>
      </c>
      <c r="CJP337" s="42" t="s">
        <v>606</v>
      </c>
      <c r="CJQ337" s="42" t="s">
        <v>606</v>
      </c>
      <c r="CJR337" s="42" t="s">
        <v>606</v>
      </c>
      <c r="CJS337" s="42" t="s">
        <v>606</v>
      </c>
      <c r="CJT337" s="42" t="s">
        <v>606</v>
      </c>
      <c r="CJU337" s="42" t="s">
        <v>606</v>
      </c>
      <c r="CJV337" s="42" t="s">
        <v>606</v>
      </c>
      <c r="CJW337" s="42" t="s">
        <v>606</v>
      </c>
      <c r="CJX337" s="42" t="s">
        <v>606</v>
      </c>
      <c r="CJY337" s="42" t="s">
        <v>606</v>
      </c>
      <c r="CJZ337" s="42" t="s">
        <v>606</v>
      </c>
      <c r="CKA337" s="42" t="s">
        <v>606</v>
      </c>
      <c r="CKB337" s="42" t="s">
        <v>606</v>
      </c>
      <c r="CKC337" s="42" t="s">
        <v>606</v>
      </c>
      <c r="CKD337" s="42" t="s">
        <v>606</v>
      </c>
      <c r="CKE337" s="42" t="s">
        <v>606</v>
      </c>
      <c r="CKF337" s="42" t="s">
        <v>606</v>
      </c>
      <c r="CKG337" s="42" t="s">
        <v>606</v>
      </c>
      <c r="CKH337" s="42" t="s">
        <v>606</v>
      </c>
      <c r="CKI337" s="42" t="s">
        <v>606</v>
      </c>
      <c r="CKJ337" s="42" t="s">
        <v>606</v>
      </c>
      <c r="CKK337" s="42" t="s">
        <v>606</v>
      </c>
      <c r="CKL337" s="42" t="s">
        <v>606</v>
      </c>
      <c r="CKM337" s="42" t="s">
        <v>606</v>
      </c>
      <c r="CKN337" s="42" t="s">
        <v>606</v>
      </c>
      <c r="CKO337" s="42" t="s">
        <v>606</v>
      </c>
      <c r="CKP337" s="42" t="s">
        <v>606</v>
      </c>
      <c r="CKQ337" s="42" t="s">
        <v>606</v>
      </c>
      <c r="CKR337" s="42" t="s">
        <v>606</v>
      </c>
      <c r="CKS337" s="42" t="s">
        <v>606</v>
      </c>
      <c r="CKT337" s="42" t="s">
        <v>606</v>
      </c>
      <c r="CKU337" s="42" t="s">
        <v>606</v>
      </c>
      <c r="CKV337" s="42" t="s">
        <v>606</v>
      </c>
      <c r="CKW337" s="42" t="s">
        <v>606</v>
      </c>
      <c r="CKX337" s="42" t="s">
        <v>606</v>
      </c>
      <c r="CKY337" s="42" t="s">
        <v>606</v>
      </c>
      <c r="CKZ337" s="42" t="s">
        <v>606</v>
      </c>
      <c r="CLA337" s="42" t="s">
        <v>606</v>
      </c>
      <c r="CLB337" s="42" t="s">
        <v>606</v>
      </c>
      <c r="CLC337" s="42" t="s">
        <v>606</v>
      </c>
      <c r="CLD337" s="42" t="s">
        <v>606</v>
      </c>
      <c r="CLE337" s="42" t="s">
        <v>606</v>
      </c>
      <c r="CLF337" s="42" t="s">
        <v>606</v>
      </c>
      <c r="CLG337" s="42" t="s">
        <v>606</v>
      </c>
      <c r="CLH337" s="42" t="s">
        <v>606</v>
      </c>
      <c r="CLI337" s="42" t="s">
        <v>606</v>
      </c>
      <c r="CLJ337" s="42" t="s">
        <v>606</v>
      </c>
      <c r="CLK337" s="42" t="s">
        <v>606</v>
      </c>
      <c r="CLL337" s="42" t="s">
        <v>606</v>
      </c>
      <c r="CLM337" s="42" t="s">
        <v>606</v>
      </c>
      <c r="CLN337" s="42" t="s">
        <v>606</v>
      </c>
      <c r="CLO337" s="42" t="s">
        <v>606</v>
      </c>
      <c r="CLP337" s="42" t="s">
        <v>606</v>
      </c>
      <c r="CLQ337" s="42" t="s">
        <v>606</v>
      </c>
      <c r="CLR337" s="42" t="s">
        <v>606</v>
      </c>
      <c r="CLS337" s="42" t="s">
        <v>606</v>
      </c>
      <c r="CLT337" s="42" t="s">
        <v>606</v>
      </c>
      <c r="CLU337" s="42" t="s">
        <v>606</v>
      </c>
      <c r="CLV337" s="42" t="s">
        <v>606</v>
      </c>
      <c r="CLW337" s="42" t="s">
        <v>606</v>
      </c>
      <c r="CLX337" s="42" t="s">
        <v>606</v>
      </c>
      <c r="CLY337" s="42" t="s">
        <v>606</v>
      </c>
      <c r="CLZ337" s="42" t="s">
        <v>606</v>
      </c>
      <c r="CMA337" s="42" t="s">
        <v>606</v>
      </c>
      <c r="CMB337" s="42" t="s">
        <v>606</v>
      </c>
      <c r="CMC337" s="42" t="s">
        <v>606</v>
      </c>
      <c r="CMD337" s="42" t="s">
        <v>606</v>
      </c>
      <c r="CME337" s="42" t="s">
        <v>606</v>
      </c>
      <c r="CMF337" s="42" t="s">
        <v>606</v>
      </c>
      <c r="CMG337" s="42" t="s">
        <v>606</v>
      </c>
      <c r="CMH337" s="42" t="s">
        <v>606</v>
      </c>
      <c r="CMI337" s="42" t="s">
        <v>606</v>
      </c>
      <c r="CMJ337" s="42" t="s">
        <v>606</v>
      </c>
      <c r="CMK337" s="42" t="s">
        <v>606</v>
      </c>
      <c r="CML337" s="42" t="s">
        <v>606</v>
      </c>
      <c r="CMM337" s="42" t="s">
        <v>606</v>
      </c>
      <c r="CMN337" s="42" t="s">
        <v>606</v>
      </c>
      <c r="CMO337" s="42" t="s">
        <v>606</v>
      </c>
      <c r="CMP337" s="42" t="s">
        <v>606</v>
      </c>
      <c r="CMQ337" s="42" t="s">
        <v>606</v>
      </c>
      <c r="CMR337" s="42" t="s">
        <v>606</v>
      </c>
      <c r="CMS337" s="42" t="s">
        <v>606</v>
      </c>
      <c r="CMT337" s="42" t="s">
        <v>606</v>
      </c>
      <c r="CMU337" s="42" t="s">
        <v>606</v>
      </c>
      <c r="CMV337" s="42" t="s">
        <v>606</v>
      </c>
      <c r="CMW337" s="42" t="s">
        <v>606</v>
      </c>
      <c r="CMX337" s="42" t="s">
        <v>606</v>
      </c>
      <c r="CMY337" s="42" t="s">
        <v>606</v>
      </c>
      <c r="CMZ337" s="42" t="s">
        <v>606</v>
      </c>
      <c r="CNA337" s="42" t="s">
        <v>606</v>
      </c>
      <c r="CNB337" s="42" t="s">
        <v>606</v>
      </c>
      <c r="CNC337" s="42" t="s">
        <v>606</v>
      </c>
      <c r="CND337" s="42" t="s">
        <v>606</v>
      </c>
      <c r="CNE337" s="42" t="s">
        <v>606</v>
      </c>
      <c r="CNF337" s="42" t="s">
        <v>606</v>
      </c>
      <c r="CNG337" s="42" t="s">
        <v>606</v>
      </c>
      <c r="CNH337" s="42" t="s">
        <v>606</v>
      </c>
      <c r="CNI337" s="42" t="s">
        <v>606</v>
      </c>
      <c r="CNJ337" s="42" t="s">
        <v>606</v>
      </c>
      <c r="CNK337" s="42" t="s">
        <v>606</v>
      </c>
      <c r="CNL337" s="42" t="s">
        <v>606</v>
      </c>
      <c r="CNM337" s="42" t="s">
        <v>606</v>
      </c>
      <c r="CNN337" s="42" t="s">
        <v>606</v>
      </c>
      <c r="CNO337" s="42" t="s">
        <v>606</v>
      </c>
      <c r="CNP337" s="42" t="s">
        <v>606</v>
      </c>
      <c r="CNQ337" s="42" t="s">
        <v>606</v>
      </c>
      <c r="CNR337" s="42" t="s">
        <v>606</v>
      </c>
      <c r="CNS337" s="42" t="s">
        <v>606</v>
      </c>
      <c r="CNT337" s="42" t="s">
        <v>606</v>
      </c>
      <c r="CNU337" s="42" t="s">
        <v>606</v>
      </c>
      <c r="CNV337" s="42" t="s">
        <v>606</v>
      </c>
      <c r="CNW337" s="42" t="s">
        <v>606</v>
      </c>
      <c r="CNX337" s="42" t="s">
        <v>606</v>
      </c>
      <c r="CNY337" s="42" t="s">
        <v>606</v>
      </c>
      <c r="CNZ337" s="42" t="s">
        <v>606</v>
      </c>
      <c r="COA337" s="42" t="s">
        <v>606</v>
      </c>
      <c r="COB337" s="42" t="s">
        <v>606</v>
      </c>
      <c r="COC337" s="42" t="s">
        <v>606</v>
      </c>
      <c r="COD337" s="42" t="s">
        <v>606</v>
      </c>
      <c r="COE337" s="42" t="s">
        <v>606</v>
      </c>
      <c r="COF337" s="42" t="s">
        <v>606</v>
      </c>
      <c r="COG337" s="42" t="s">
        <v>606</v>
      </c>
      <c r="COH337" s="42" t="s">
        <v>606</v>
      </c>
      <c r="COI337" s="42" t="s">
        <v>606</v>
      </c>
      <c r="COJ337" s="42" t="s">
        <v>606</v>
      </c>
      <c r="COK337" s="42" t="s">
        <v>606</v>
      </c>
      <c r="COL337" s="42" t="s">
        <v>606</v>
      </c>
      <c r="COM337" s="42" t="s">
        <v>606</v>
      </c>
      <c r="CON337" s="42" t="s">
        <v>606</v>
      </c>
      <c r="COO337" s="42" t="s">
        <v>606</v>
      </c>
      <c r="COP337" s="42" t="s">
        <v>606</v>
      </c>
      <c r="COQ337" s="42" t="s">
        <v>606</v>
      </c>
      <c r="COR337" s="42" t="s">
        <v>606</v>
      </c>
      <c r="COS337" s="42" t="s">
        <v>606</v>
      </c>
      <c r="COT337" s="42" t="s">
        <v>606</v>
      </c>
      <c r="COU337" s="42" t="s">
        <v>606</v>
      </c>
      <c r="COV337" s="42" t="s">
        <v>606</v>
      </c>
      <c r="COW337" s="42" t="s">
        <v>606</v>
      </c>
      <c r="COX337" s="42" t="s">
        <v>606</v>
      </c>
      <c r="COY337" s="42" t="s">
        <v>606</v>
      </c>
      <c r="COZ337" s="42" t="s">
        <v>606</v>
      </c>
      <c r="CPA337" s="42" t="s">
        <v>606</v>
      </c>
      <c r="CPB337" s="42" t="s">
        <v>606</v>
      </c>
      <c r="CPC337" s="42" t="s">
        <v>606</v>
      </c>
      <c r="CPD337" s="42" t="s">
        <v>606</v>
      </c>
      <c r="CPE337" s="42" t="s">
        <v>606</v>
      </c>
      <c r="CPF337" s="42" t="s">
        <v>606</v>
      </c>
      <c r="CPG337" s="42" t="s">
        <v>606</v>
      </c>
      <c r="CPH337" s="42" t="s">
        <v>606</v>
      </c>
      <c r="CPI337" s="42" t="s">
        <v>606</v>
      </c>
      <c r="CPJ337" s="42" t="s">
        <v>606</v>
      </c>
      <c r="CPK337" s="42" t="s">
        <v>606</v>
      </c>
      <c r="CPL337" s="42" t="s">
        <v>606</v>
      </c>
      <c r="CPM337" s="42" t="s">
        <v>606</v>
      </c>
      <c r="CPN337" s="42" t="s">
        <v>606</v>
      </c>
      <c r="CPO337" s="42" t="s">
        <v>606</v>
      </c>
      <c r="CPP337" s="42" t="s">
        <v>606</v>
      </c>
      <c r="CPQ337" s="42" t="s">
        <v>606</v>
      </c>
      <c r="CPR337" s="42" t="s">
        <v>606</v>
      </c>
      <c r="CPS337" s="42" t="s">
        <v>606</v>
      </c>
      <c r="CPT337" s="42" t="s">
        <v>606</v>
      </c>
      <c r="CPU337" s="42" t="s">
        <v>606</v>
      </c>
      <c r="CPV337" s="42" t="s">
        <v>606</v>
      </c>
      <c r="CPW337" s="42" t="s">
        <v>606</v>
      </c>
      <c r="CPX337" s="42" t="s">
        <v>606</v>
      </c>
      <c r="CPY337" s="42" t="s">
        <v>606</v>
      </c>
      <c r="CPZ337" s="42" t="s">
        <v>606</v>
      </c>
      <c r="CQA337" s="42" t="s">
        <v>606</v>
      </c>
      <c r="CQB337" s="42" t="s">
        <v>606</v>
      </c>
      <c r="CQC337" s="42" t="s">
        <v>606</v>
      </c>
      <c r="CQD337" s="42" t="s">
        <v>606</v>
      </c>
      <c r="CQE337" s="42" t="s">
        <v>606</v>
      </c>
      <c r="CQF337" s="42" t="s">
        <v>606</v>
      </c>
      <c r="CQG337" s="42" t="s">
        <v>606</v>
      </c>
      <c r="CQH337" s="42" t="s">
        <v>606</v>
      </c>
      <c r="CQI337" s="42" t="s">
        <v>606</v>
      </c>
      <c r="CQJ337" s="42" t="s">
        <v>606</v>
      </c>
      <c r="CQK337" s="42" t="s">
        <v>606</v>
      </c>
      <c r="CQL337" s="42" t="s">
        <v>606</v>
      </c>
      <c r="CQM337" s="42" t="s">
        <v>606</v>
      </c>
      <c r="CQN337" s="42" t="s">
        <v>606</v>
      </c>
      <c r="CQO337" s="42" t="s">
        <v>606</v>
      </c>
      <c r="CQP337" s="42" t="s">
        <v>606</v>
      </c>
      <c r="CQQ337" s="42" t="s">
        <v>606</v>
      </c>
      <c r="CQR337" s="42" t="s">
        <v>606</v>
      </c>
      <c r="CQS337" s="42" t="s">
        <v>606</v>
      </c>
      <c r="CQT337" s="42" t="s">
        <v>606</v>
      </c>
      <c r="CQU337" s="42" t="s">
        <v>606</v>
      </c>
      <c r="CQV337" s="42" t="s">
        <v>606</v>
      </c>
      <c r="CQW337" s="42" t="s">
        <v>606</v>
      </c>
      <c r="CQX337" s="42" t="s">
        <v>606</v>
      </c>
      <c r="CQY337" s="42" t="s">
        <v>606</v>
      </c>
      <c r="CQZ337" s="42" t="s">
        <v>606</v>
      </c>
      <c r="CRA337" s="42" t="s">
        <v>606</v>
      </c>
      <c r="CRB337" s="42" t="s">
        <v>606</v>
      </c>
      <c r="CRC337" s="42" t="s">
        <v>606</v>
      </c>
      <c r="CRD337" s="42" t="s">
        <v>606</v>
      </c>
      <c r="CRE337" s="42" t="s">
        <v>606</v>
      </c>
      <c r="CRF337" s="42" t="s">
        <v>606</v>
      </c>
      <c r="CRG337" s="42" t="s">
        <v>606</v>
      </c>
      <c r="CRH337" s="42" t="s">
        <v>606</v>
      </c>
      <c r="CRI337" s="42" t="s">
        <v>606</v>
      </c>
      <c r="CRJ337" s="42" t="s">
        <v>606</v>
      </c>
      <c r="CRK337" s="42" t="s">
        <v>606</v>
      </c>
      <c r="CRL337" s="42" t="s">
        <v>606</v>
      </c>
      <c r="CRM337" s="42" t="s">
        <v>606</v>
      </c>
      <c r="CRN337" s="42" t="s">
        <v>606</v>
      </c>
      <c r="CRO337" s="42" t="s">
        <v>606</v>
      </c>
      <c r="CRP337" s="42" t="s">
        <v>606</v>
      </c>
      <c r="CRQ337" s="42" t="s">
        <v>606</v>
      </c>
      <c r="CRR337" s="42" t="s">
        <v>606</v>
      </c>
      <c r="CRS337" s="42" t="s">
        <v>606</v>
      </c>
      <c r="CRT337" s="42" t="s">
        <v>606</v>
      </c>
      <c r="CRU337" s="42" t="s">
        <v>606</v>
      </c>
      <c r="CRV337" s="42" t="s">
        <v>606</v>
      </c>
      <c r="CRW337" s="42" t="s">
        <v>606</v>
      </c>
      <c r="CRX337" s="42" t="s">
        <v>606</v>
      </c>
      <c r="CRY337" s="42" t="s">
        <v>606</v>
      </c>
      <c r="CRZ337" s="42" t="s">
        <v>606</v>
      </c>
      <c r="CSA337" s="42" t="s">
        <v>606</v>
      </c>
      <c r="CSB337" s="42" t="s">
        <v>606</v>
      </c>
      <c r="CSC337" s="42" t="s">
        <v>606</v>
      </c>
      <c r="CSD337" s="42" t="s">
        <v>606</v>
      </c>
      <c r="CSE337" s="42" t="s">
        <v>606</v>
      </c>
      <c r="CSF337" s="42" t="s">
        <v>606</v>
      </c>
      <c r="CSG337" s="42" t="s">
        <v>606</v>
      </c>
      <c r="CSH337" s="42" t="s">
        <v>606</v>
      </c>
      <c r="CSI337" s="42" t="s">
        <v>606</v>
      </c>
      <c r="CSJ337" s="42" t="s">
        <v>606</v>
      </c>
      <c r="CSK337" s="42" t="s">
        <v>606</v>
      </c>
      <c r="CSL337" s="42" t="s">
        <v>606</v>
      </c>
      <c r="CSM337" s="42" t="s">
        <v>606</v>
      </c>
      <c r="CSN337" s="42" t="s">
        <v>606</v>
      </c>
      <c r="CSO337" s="42" t="s">
        <v>606</v>
      </c>
      <c r="CSP337" s="42" t="s">
        <v>606</v>
      </c>
      <c r="CSQ337" s="42" t="s">
        <v>606</v>
      </c>
      <c r="CSR337" s="42" t="s">
        <v>606</v>
      </c>
      <c r="CSS337" s="42" t="s">
        <v>606</v>
      </c>
      <c r="CST337" s="42" t="s">
        <v>606</v>
      </c>
      <c r="CSU337" s="42" t="s">
        <v>606</v>
      </c>
      <c r="CSV337" s="42" t="s">
        <v>606</v>
      </c>
      <c r="CSW337" s="42" t="s">
        <v>606</v>
      </c>
      <c r="CSX337" s="42" t="s">
        <v>606</v>
      </c>
      <c r="CSY337" s="42" t="s">
        <v>606</v>
      </c>
      <c r="CSZ337" s="42" t="s">
        <v>606</v>
      </c>
      <c r="CTA337" s="42" t="s">
        <v>606</v>
      </c>
      <c r="CTB337" s="42" t="s">
        <v>606</v>
      </c>
      <c r="CTC337" s="42" t="s">
        <v>606</v>
      </c>
      <c r="CTD337" s="42" t="s">
        <v>606</v>
      </c>
      <c r="CTE337" s="42" t="s">
        <v>606</v>
      </c>
      <c r="CTF337" s="42" t="s">
        <v>606</v>
      </c>
      <c r="CTG337" s="42" t="s">
        <v>606</v>
      </c>
      <c r="CTH337" s="42" t="s">
        <v>606</v>
      </c>
      <c r="CTI337" s="42" t="s">
        <v>606</v>
      </c>
      <c r="CTJ337" s="42" t="s">
        <v>606</v>
      </c>
      <c r="CTK337" s="42" t="s">
        <v>606</v>
      </c>
      <c r="CTL337" s="42" t="s">
        <v>606</v>
      </c>
      <c r="CTM337" s="42" t="s">
        <v>606</v>
      </c>
      <c r="CTN337" s="42" t="s">
        <v>606</v>
      </c>
      <c r="CTO337" s="42" t="s">
        <v>606</v>
      </c>
      <c r="CTP337" s="42" t="s">
        <v>606</v>
      </c>
      <c r="CTQ337" s="42" t="s">
        <v>606</v>
      </c>
      <c r="CTR337" s="42" t="s">
        <v>606</v>
      </c>
      <c r="CTS337" s="42" t="s">
        <v>606</v>
      </c>
      <c r="CTT337" s="42" t="s">
        <v>606</v>
      </c>
      <c r="CTU337" s="42" t="s">
        <v>606</v>
      </c>
      <c r="CTV337" s="42" t="s">
        <v>606</v>
      </c>
      <c r="CTW337" s="42" t="s">
        <v>606</v>
      </c>
      <c r="CTX337" s="42" t="s">
        <v>606</v>
      </c>
      <c r="CTY337" s="42" t="s">
        <v>606</v>
      </c>
      <c r="CTZ337" s="42" t="s">
        <v>606</v>
      </c>
      <c r="CUA337" s="42" t="s">
        <v>606</v>
      </c>
      <c r="CUB337" s="42" t="s">
        <v>606</v>
      </c>
      <c r="CUC337" s="42" t="s">
        <v>606</v>
      </c>
      <c r="CUD337" s="42" t="s">
        <v>606</v>
      </c>
      <c r="CUE337" s="42" t="s">
        <v>606</v>
      </c>
      <c r="CUF337" s="42" t="s">
        <v>606</v>
      </c>
      <c r="CUG337" s="42" t="s">
        <v>606</v>
      </c>
      <c r="CUH337" s="42" t="s">
        <v>606</v>
      </c>
      <c r="CUI337" s="42" t="s">
        <v>606</v>
      </c>
      <c r="CUJ337" s="42" t="s">
        <v>606</v>
      </c>
      <c r="CUK337" s="42" t="s">
        <v>606</v>
      </c>
      <c r="CUL337" s="42" t="s">
        <v>606</v>
      </c>
      <c r="CUM337" s="42" t="s">
        <v>606</v>
      </c>
      <c r="CUN337" s="42" t="s">
        <v>606</v>
      </c>
      <c r="CUO337" s="42" t="s">
        <v>606</v>
      </c>
      <c r="CUP337" s="42" t="s">
        <v>606</v>
      </c>
      <c r="CUQ337" s="42" t="s">
        <v>606</v>
      </c>
      <c r="CUR337" s="42" t="s">
        <v>606</v>
      </c>
      <c r="CUS337" s="42" t="s">
        <v>606</v>
      </c>
      <c r="CUT337" s="42" t="s">
        <v>606</v>
      </c>
      <c r="CUU337" s="42" t="s">
        <v>606</v>
      </c>
      <c r="CUV337" s="42" t="s">
        <v>606</v>
      </c>
      <c r="CUW337" s="42" t="s">
        <v>606</v>
      </c>
      <c r="CUX337" s="42" t="s">
        <v>606</v>
      </c>
      <c r="CUY337" s="42" t="s">
        <v>606</v>
      </c>
      <c r="CUZ337" s="42" t="s">
        <v>606</v>
      </c>
      <c r="CVA337" s="42" t="s">
        <v>606</v>
      </c>
      <c r="CVB337" s="42" t="s">
        <v>606</v>
      </c>
      <c r="CVC337" s="42" t="s">
        <v>606</v>
      </c>
      <c r="CVD337" s="42" t="s">
        <v>606</v>
      </c>
      <c r="CVE337" s="42" t="s">
        <v>606</v>
      </c>
      <c r="CVF337" s="42" t="s">
        <v>606</v>
      </c>
      <c r="CVG337" s="42" t="s">
        <v>606</v>
      </c>
      <c r="CVH337" s="42" t="s">
        <v>606</v>
      </c>
      <c r="CVI337" s="42" t="s">
        <v>606</v>
      </c>
      <c r="CVJ337" s="42" t="s">
        <v>606</v>
      </c>
      <c r="CVK337" s="42" t="s">
        <v>606</v>
      </c>
      <c r="CVL337" s="42" t="s">
        <v>606</v>
      </c>
      <c r="CVM337" s="42" t="s">
        <v>606</v>
      </c>
      <c r="CVN337" s="42" t="s">
        <v>606</v>
      </c>
      <c r="CVO337" s="42" t="s">
        <v>606</v>
      </c>
      <c r="CVP337" s="42" t="s">
        <v>606</v>
      </c>
      <c r="CVQ337" s="42" t="s">
        <v>606</v>
      </c>
      <c r="CVR337" s="42" t="s">
        <v>606</v>
      </c>
      <c r="CVS337" s="42" t="s">
        <v>606</v>
      </c>
      <c r="CVT337" s="42" t="s">
        <v>606</v>
      </c>
      <c r="CVU337" s="42" t="s">
        <v>606</v>
      </c>
      <c r="CVV337" s="42" t="s">
        <v>606</v>
      </c>
      <c r="CVW337" s="42" t="s">
        <v>606</v>
      </c>
      <c r="CVX337" s="42" t="s">
        <v>606</v>
      </c>
      <c r="CVY337" s="42" t="s">
        <v>606</v>
      </c>
      <c r="CVZ337" s="42" t="s">
        <v>606</v>
      </c>
      <c r="CWA337" s="42" t="s">
        <v>606</v>
      </c>
      <c r="CWB337" s="42" t="s">
        <v>606</v>
      </c>
      <c r="CWC337" s="42" t="s">
        <v>606</v>
      </c>
      <c r="CWD337" s="42" t="s">
        <v>606</v>
      </c>
      <c r="CWE337" s="42" t="s">
        <v>606</v>
      </c>
      <c r="CWF337" s="42" t="s">
        <v>606</v>
      </c>
      <c r="CWG337" s="42" t="s">
        <v>606</v>
      </c>
      <c r="CWH337" s="42" t="s">
        <v>606</v>
      </c>
      <c r="CWI337" s="42" t="s">
        <v>606</v>
      </c>
      <c r="CWJ337" s="42" t="s">
        <v>606</v>
      </c>
      <c r="CWK337" s="42" t="s">
        <v>606</v>
      </c>
      <c r="CWL337" s="42" t="s">
        <v>606</v>
      </c>
      <c r="CWM337" s="42" t="s">
        <v>606</v>
      </c>
      <c r="CWN337" s="42" t="s">
        <v>606</v>
      </c>
      <c r="CWO337" s="42" t="s">
        <v>606</v>
      </c>
      <c r="CWP337" s="42" t="s">
        <v>606</v>
      </c>
      <c r="CWQ337" s="42" t="s">
        <v>606</v>
      </c>
      <c r="CWR337" s="42" t="s">
        <v>606</v>
      </c>
      <c r="CWS337" s="42" t="s">
        <v>606</v>
      </c>
      <c r="CWT337" s="42" t="s">
        <v>606</v>
      </c>
      <c r="CWU337" s="42" t="s">
        <v>606</v>
      </c>
      <c r="CWV337" s="42" t="s">
        <v>606</v>
      </c>
      <c r="CWW337" s="42" t="s">
        <v>606</v>
      </c>
      <c r="CWX337" s="42" t="s">
        <v>606</v>
      </c>
      <c r="CWY337" s="42" t="s">
        <v>606</v>
      </c>
      <c r="CWZ337" s="42" t="s">
        <v>606</v>
      </c>
      <c r="CXA337" s="42" t="s">
        <v>606</v>
      </c>
      <c r="CXB337" s="42" t="s">
        <v>606</v>
      </c>
      <c r="CXC337" s="42" t="s">
        <v>606</v>
      </c>
      <c r="CXD337" s="42" t="s">
        <v>606</v>
      </c>
      <c r="CXE337" s="42" t="s">
        <v>606</v>
      </c>
      <c r="CXF337" s="42" t="s">
        <v>606</v>
      </c>
      <c r="CXG337" s="42" t="s">
        <v>606</v>
      </c>
      <c r="CXH337" s="42" t="s">
        <v>606</v>
      </c>
      <c r="CXI337" s="42" t="s">
        <v>606</v>
      </c>
      <c r="CXJ337" s="42" t="s">
        <v>606</v>
      </c>
      <c r="CXK337" s="42" t="s">
        <v>606</v>
      </c>
      <c r="CXL337" s="42" t="s">
        <v>606</v>
      </c>
      <c r="CXM337" s="42" t="s">
        <v>606</v>
      </c>
      <c r="CXN337" s="42" t="s">
        <v>606</v>
      </c>
      <c r="CXO337" s="42" t="s">
        <v>606</v>
      </c>
      <c r="CXP337" s="42" t="s">
        <v>606</v>
      </c>
      <c r="CXQ337" s="42" t="s">
        <v>606</v>
      </c>
      <c r="CXR337" s="42" t="s">
        <v>606</v>
      </c>
      <c r="CXS337" s="42" t="s">
        <v>606</v>
      </c>
      <c r="CXT337" s="42" t="s">
        <v>606</v>
      </c>
      <c r="CXU337" s="42" t="s">
        <v>606</v>
      </c>
      <c r="CXV337" s="42" t="s">
        <v>606</v>
      </c>
      <c r="CXW337" s="42" t="s">
        <v>606</v>
      </c>
      <c r="CXX337" s="42" t="s">
        <v>606</v>
      </c>
      <c r="CXY337" s="42" t="s">
        <v>606</v>
      </c>
      <c r="CXZ337" s="42" t="s">
        <v>606</v>
      </c>
      <c r="CYA337" s="42" t="s">
        <v>606</v>
      </c>
      <c r="CYB337" s="42" t="s">
        <v>606</v>
      </c>
      <c r="CYC337" s="42" t="s">
        <v>606</v>
      </c>
      <c r="CYD337" s="42" t="s">
        <v>606</v>
      </c>
      <c r="CYE337" s="42" t="s">
        <v>606</v>
      </c>
      <c r="CYF337" s="42" t="s">
        <v>606</v>
      </c>
      <c r="CYG337" s="42" t="s">
        <v>606</v>
      </c>
      <c r="CYH337" s="42" t="s">
        <v>606</v>
      </c>
      <c r="CYI337" s="42" t="s">
        <v>606</v>
      </c>
      <c r="CYJ337" s="42" t="s">
        <v>606</v>
      </c>
      <c r="CYK337" s="42" t="s">
        <v>606</v>
      </c>
      <c r="CYL337" s="42" t="s">
        <v>606</v>
      </c>
      <c r="CYM337" s="42" t="s">
        <v>606</v>
      </c>
      <c r="CYN337" s="42" t="s">
        <v>606</v>
      </c>
      <c r="CYO337" s="42" t="s">
        <v>606</v>
      </c>
      <c r="CYP337" s="42" t="s">
        <v>606</v>
      </c>
      <c r="CYQ337" s="42" t="s">
        <v>606</v>
      </c>
      <c r="CYR337" s="42" t="s">
        <v>606</v>
      </c>
      <c r="CYS337" s="42" t="s">
        <v>606</v>
      </c>
      <c r="CYT337" s="42" t="s">
        <v>606</v>
      </c>
      <c r="CYU337" s="42" t="s">
        <v>606</v>
      </c>
      <c r="CYV337" s="42" t="s">
        <v>606</v>
      </c>
      <c r="CYW337" s="42" t="s">
        <v>606</v>
      </c>
      <c r="CYX337" s="42" t="s">
        <v>606</v>
      </c>
      <c r="CYY337" s="42" t="s">
        <v>606</v>
      </c>
      <c r="CYZ337" s="42" t="s">
        <v>606</v>
      </c>
      <c r="CZA337" s="42" t="s">
        <v>606</v>
      </c>
      <c r="CZB337" s="42" t="s">
        <v>606</v>
      </c>
      <c r="CZC337" s="42" t="s">
        <v>606</v>
      </c>
      <c r="CZD337" s="42" t="s">
        <v>606</v>
      </c>
      <c r="CZE337" s="42" t="s">
        <v>606</v>
      </c>
      <c r="CZF337" s="42" t="s">
        <v>606</v>
      </c>
      <c r="CZG337" s="42" t="s">
        <v>606</v>
      </c>
      <c r="CZH337" s="42" t="s">
        <v>606</v>
      </c>
      <c r="CZI337" s="42" t="s">
        <v>606</v>
      </c>
      <c r="CZJ337" s="42" t="s">
        <v>606</v>
      </c>
      <c r="CZK337" s="42" t="s">
        <v>606</v>
      </c>
      <c r="CZL337" s="42" t="s">
        <v>606</v>
      </c>
      <c r="CZM337" s="42" t="s">
        <v>606</v>
      </c>
      <c r="CZN337" s="42" t="s">
        <v>606</v>
      </c>
      <c r="CZO337" s="42" t="s">
        <v>606</v>
      </c>
      <c r="CZP337" s="42" t="s">
        <v>606</v>
      </c>
      <c r="CZQ337" s="42" t="s">
        <v>606</v>
      </c>
      <c r="CZR337" s="42" t="s">
        <v>606</v>
      </c>
      <c r="CZS337" s="42" t="s">
        <v>606</v>
      </c>
      <c r="CZT337" s="42" t="s">
        <v>606</v>
      </c>
      <c r="CZU337" s="42" t="s">
        <v>606</v>
      </c>
      <c r="CZV337" s="42" t="s">
        <v>606</v>
      </c>
      <c r="CZW337" s="42" t="s">
        <v>606</v>
      </c>
      <c r="CZX337" s="42" t="s">
        <v>606</v>
      </c>
      <c r="CZY337" s="42" t="s">
        <v>606</v>
      </c>
      <c r="CZZ337" s="42" t="s">
        <v>606</v>
      </c>
      <c r="DAA337" s="42" t="s">
        <v>606</v>
      </c>
      <c r="DAB337" s="42" t="s">
        <v>606</v>
      </c>
      <c r="DAC337" s="42" t="s">
        <v>606</v>
      </c>
      <c r="DAD337" s="42" t="s">
        <v>606</v>
      </c>
      <c r="DAE337" s="42" t="s">
        <v>606</v>
      </c>
      <c r="DAF337" s="42" t="s">
        <v>606</v>
      </c>
      <c r="DAG337" s="42" t="s">
        <v>606</v>
      </c>
      <c r="DAH337" s="42" t="s">
        <v>606</v>
      </c>
      <c r="DAI337" s="42" t="s">
        <v>606</v>
      </c>
      <c r="DAJ337" s="42" t="s">
        <v>606</v>
      </c>
      <c r="DAK337" s="42" t="s">
        <v>606</v>
      </c>
      <c r="DAL337" s="42" t="s">
        <v>606</v>
      </c>
      <c r="DAM337" s="42" t="s">
        <v>606</v>
      </c>
      <c r="DAN337" s="42" t="s">
        <v>606</v>
      </c>
      <c r="DAO337" s="42" t="s">
        <v>606</v>
      </c>
      <c r="DAP337" s="42" t="s">
        <v>606</v>
      </c>
      <c r="DAQ337" s="42" t="s">
        <v>606</v>
      </c>
      <c r="DAR337" s="42" t="s">
        <v>606</v>
      </c>
      <c r="DAS337" s="42" t="s">
        <v>606</v>
      </c>
      <c r="DAT337" s="42" t="s">
        <v>606</v>
      </c>
      <c r="DAU337" s="42" t="s">
        <v>606</v>
      </c>
      <c r="DAV337" s="42" t="s">
        <v>606</v>
      </c>
      <c r="DAW337" s="42" t="s">
        <v>606</v>
      </c>
      <c r="DAX337" s="42" t="s">
        <v>606</v>
      </c>
      <c r="DAY337" s="42" t="s">
        <v>606</v>
      </c>
      <c r="DAZ337" s="42" t="s">
        <v>606</v>
      </c>
      <c r="DBA337" s="42" t="s">
        <v>606</v>
      </c>
      <c r="DBB337" s="42" t="s">
        <v>606</v>
      </c>
      <c r="DBC337" s="42" t="s">
        <v>606</v>
      </c>
      <c r="DBD337" s="42" t="s">
        <v>606</v>
      </c>
      <c r="DBE337" s="42" t="s">
        <v>606</v>
      </c>
      <c r="DBF337" s="42" t="s">
        <v>606</v>
      </c>
      <c r="DBG337" s="42" t="s">
        <v>606</v>
      </c>
      <c r="DBH337" s="42" t="s">
        <v>606</v>
      </c>
      <c r="DBI337" s="42" t="s">
        <v>606</v>
      </c>
      <c r="DBJ337" s="42" t="s">
        <v>606</v>
      </c>
      <c r="DBK337" s="42" t="s">
        <v>606</v>
      </c>
      <c r="DBL337" s="42" t="s">
        <v>606</v>
      </c>
      <c r="DBM337" s="42" t="s">
        <v>606</v>
      </c>
      <c r="DBN337" s="42" t="s">
        <v>606</v>
      </c>
      <c r="DBO337" s="42" t="s">
        <v>606</v>
      </c>
      <c r="DBP337" s="42" t="s">
        <v>606</v>
      </c>
      <c r="DBQ337" s="42" t="s">
        <v>606</v>
      </c>
      <c r="DBR337" s="42" t="s">
        <v>606</v>
      </c>
      <c r="DBS337" s="42" t="s">
        <v>606</v>
      </c>
      <c r="DBT337" s="42" t="s">
        <v>606</v>
      </c>
      <c r="DBU337" s="42" t="s">
        <v>606</v>
      </c>
      <c r="DBV337" s="42" t="s">
        <v>606</v>
      </c>
      <c r="DBW337" s="42" t="s">
        <v>606</v>
      </c>
      <c r="DBX337" s="42" t="s">
        <v>606</v>
      </c>
      <c r="DBY337" s="42" t="s">
        <v>606</v>
      </c>
      <c r="DBZ337" s="42" t="s">
        <v>606</v>
      </c>
      <c r="DCA337" s="42" t="s">
        <v>606</v>
      </c>
      <c r="DCB337" s="42" t="s">
        <v>606</v>
      </c>
      <c r="DCC337" s="42" t="s">
        <v>606</v>
      </c>
      <c r="DCD337" s="42" t="s">
        <v>606</v>
      </c>
      <c r="DCE337" s="42" t="s">
        <v>606</v>
      </c>
      <c r="DCF337" s="42" t="s">
        <v>606</v>
      </c>
      <c r="DCG337" s="42" t="s">
        <v>606</v>
      </c>
      <c r="DCH337" s="42" t="s">
        <v>606</v>
      </c>
      <c r="DCI337" s="42" t="s">
        <v>606</v>
      </c>
      <c r="DCJ337" s="42" t="s">
        <v>606</v>
      </c>
      <c r="DCK337" s="42" t="s">
        <v>606</v>
      </c>
      <c r="DCL337" s="42" t="s">
        <v>606</v>
      </c>
      <c r="DCM337" s="42" t="s">
        <v>606</v>
      </c>
      <c r="DCN337" s="42" t="s">
        <v>606</v>
      </c>
      <c r="DCO337" s="42" t="s">
        <v>606</v>
      </c>
      <c r="DCP337" s="42" t="s">
        <v>606</v>
      </c>
      <c r="DCQ337" s="42" t="s">
        <v>606</v>
      </c>
      <c r="DCR337" s="42" t="s">
        <v>606</v>
      </c>
      <c r="DCS337" s="42" t="s">
        <v>606</v>
      </c>
      <c r="DCT337" s="42" t="s">
        <v>606</v>
      </c>
      <c r="DCU337" s="42" t="s">
        <v>606</v>
      </c>
      <c r="DCV337" s="42" t="s">
        <v>606</v>
      </c>
      <c r="DCW337" s="42" t="s">
        <v>606</v>
      </c>
      <c r="DCX337" s="42" t="s">
        <v>606</v>
      </c>
      <c r="DCY337" s="42" t="s">
        <v>606</v>
      </c>
      <c r="DCZ337" s="42" t="s">
        <v>606</v>
      </c>
      <c r="DDA337" s="42" t="s">
        <v>606</v>
      </c>
      <c r="DDB337" s="42" t="s">
        <v>606</v>
      </c>
      <c r="DDC337" s="42" t="s">
        <v>606</v>
      </c>
      <c r="DDD337" s="42" t="s">
        <v>606</v>
      </c>
      <c r="DDE337" s="42" t="s">
        <v>606</v>
      </c>
      <c r="DDF337" s="42" t="s">
        <v>606</v>
      </c>
      <c r="DDG337" s="42" t="s">
        <v>606</v>
      </c>
      <c r="DDH337" s="42" t="s">
        <v>606</v>
      </c>
      <c r="DDI337" s="42" t="s">
        <v>606</v>
      </c>
      <c r="DDJ337" s="42" t="s">
        <v>606</v>
      </c>
      <c r="DDK337" s="42" t="s">
        <v>606</v>
      </c>
      <c r="DDL337" s="42" t="s">
        <v>606</v>
      </c>
      <c r="DDM337" s="42" t="s">
        <v>606</v>
      </c>
      <c r="DDN337" s="42" t="s">
        <v>606</v>
      </c>
      <c r="DDO337" s="42" t="s">
        <v>606</v>
      </c>
      <c r="DDP337" s="42" t="s">
        <v>606</v>
      </c>
      <c r="DDQ337" s="42" t="s">
        <v>606</v>
      </c>
      <c r="DDR337" s="42" t="s">
        <v>606</v>
      </c>
      <c r="DDS337" s="42" t="s">
        <v>606</v>
      </c>
      <c r="DDT337" s="42" t="s">
        <v>606</v>
      </c>
      <c r="DDU337" s="42" t="s">
        <v>606</v>
      </c>
      <c r="DDV337" s="42" t="s">
        <v>606</v>
      </c>
      <c r="DDW337" s="42" t="s">
        <v>606</v>
      </c>
      <c r="DDX337" s="42" t="s">
        <v>606</v>
      </c>
      <c r="DDY337" s="42" t="s">
        <v>606</v>
      </c>
      <c r="DDZ337" s="42" t="s">
        <v>606</v>
      </c>
      <c r="DEA337" s="42" t="s">
        <v>606</v>
      </c>
      <c r="DEB337" s="42" t="s">
        <v>606</v>
      </c>
      <c r="DEC337" s="42" t="s">
        <v>606</v>
      </c>
      <c r="DED337" s="42" t="s">
        <v>606</v>
      </c>
      <c r="DEE337" s="42" t="s">
        <v>606</v>
      </c>
      <c r="DEF337" s="42" t="s">
        <v>606</v>
      </c>
      <c r="DEG337" s="42" t="s">
        <v>606</v>
      </c>
      <c r="DEH337" s="42" t="s">
        <v>606</v>
      </c>
      <c r="DEI337" s="42" t="s">
        <v>606</v>
      </c>
      <c r="DEJ337" s="42" t="s">
        <v>606</v>
      </c>
      <c r="DEK337" s="42" t="s">
        <v>606</v>
      </c>
      <c r="DEL337" s="42" t="s">
        <v>606</v>
      </c>
      <c r="DEM337" s="42" t="s">
        <v>606</v>
      </c>
      <c r="DEN337" s="42" t="s">
        <v>606</v>
      </c>
      <c r="DEO337" s="42" t="s">
        <v>606</v>
      </c>
      <c r="DEP337" s="42" t="s">
        <v>606</v>
      </c>
      <c r="DEQ337" s="42" t="s">
        <v>606</v>
      </c>
      <c r="DER337" s="42" t="s">
        <v>606</v>
      </c>
      <c r="DES337" s="42" t="s">
        <v>606</v>
      </c>
      <c r="DET337" s="42" t="s">
        <v>606</v>
      </c>
      <c r="DEU337" s="42" t="s">
        <v>606</v>
      </c>
      <c r="DEV337" s="42" t="s">
        <v>606</v>
      </c>
      <c r="DEW337" s="42" t="s">
        <v>606</v>
      </c>
      <c r="DEX337" s="42" t="s">
        <v>606</v>
      </c>
      <c r="DEY337" s="42" t="s">
        <v>606</v>
      </c>
      <c r="DEZ337" s="42" t="s">
        <v>606</v>
      </c>
      <c r="DFA337" s="42" t="s">
        <v>606</v>
      </c>
      <c r="DFB337" s="42" t="s">
        <v>606</v>
      </c>
      <c r="DFC337" s="42" t="s">
        <v>606</v>
      </c>
      <c r="DFD337" s="42" t="s">
        <v>606</v>
      </c>
      <c r="DFE337" s="42" t="s">
        <v>606</v>
      </c>
      <c r="DFF337" s="42" t="s">
        <v>606</v>
      </c>
      <c r="DFG337" s="42" t="s">
        <v>606</v>
      </c>
      <c r="DFH337" s="42" t="s">
        <v>606</v>
      </c>
      <c r="DFI337" s="42" t="s">
        <v>606</v>
      </c>
      <c r="DFJ337" s="42" t="s">
        <v>606</v>
      </c>
      <c r="DFK337" s="42" t="s">
        <v>606</v>
      </c>
      <c r="DFL337" s="42" t="s">
        <v>606</v>
      </c>
      <c r="DFM337" s="42" t="s">
        <v>606</v>
      </c>
      <c r="DFN337" s="42" t="s">
        <v>606</v>
      </c>
      <c r="DFO337" s="42" t="s">
        <v>606</v>
      </c>
      <c r="DFP337" s="42" t="s">
        <v>606</v>
      </c>
      <c r="DFQ337" s="42" t="s">
        <v>606</v>
      </c>
      <c r="DFR337" s="42" t="s">
        <v>606</v>
      </c>
      <c r="DFS337" s="42" t="s">
        <v>606</v>
      </c>
      <c r="DFT337" s="42" t="s">
        <v>606</v>
      </c>
      <c r="DFU337" s="42" t="s">
        <v>606</v>
      </c>
      <c r="DFV337" s="42" t="s">
        <v>606</v>
      </c>
      <c r="DFW337" s="42" t="s">
        <v>606</v>
      </c>
      <c r="DFX337" s="42" t="s">
        <v>606</v>
      </c>
      <c r="DFY337" s="42" t="s">
        <v>606</v>
      </c>
      <c r="DFZ337" s="42" t="s">
        <v>606</v>
      </c>
      <c r="DGA337" s="42" t="s">
        <v>606</v>
      </c>
      <c r="DGB337" s="42" t="s">
        <v>606</v>
      </c>
      <c r="DGC337" s="42" t="s">
        <v>606</v>
      </c>
      <c r="DGD337" s="42" t="s">
        <v>606</v>
      </c>
      <c r="DGE337" s="42" t="s">
        <v>606</v>
      </c>
      <c r="DGF337" s="42" t="s">
        <v>606</v>
      </c>
      <c r="DGG337" s="42" t="s">
        <v>606</v>
      </c>
      <c r="DGH337" s="42" t="s">
        <v>606</v>
      </c>
      <c r="DGI337" s="42" t="s">
        <v>606</v>
      </c>
      <c r="DGJ337" s="42" t="s">
        <v>606</v>
      </c>
      <c r="DGK337" s="42" t="s">
        <v>606</v>
      </c>
      <c r="DGL337" s="42" t="s">
        <v>606</v>
      </c>
      <c r="DGM337" s="42" t="s">
        <v>606</v>
      </c>
      <c r="DGN337" s="42" t="s">
        <v>606</v>
      </c>
      <c r="DGO337" s="42" t="s">
        <v>606</v>
      </c>
      <c r="DGP337" s="42" t="s">
        <v>606</v>
      </c>
      <c r="DGQ337" s="42" t="s">
        <v>606</v>
      </c>
      <c r="DGR337" s="42" t="s">
        <v>606</v>
      </c>
      <c r="DGS337" s="42" t="s">
        <v>606</v>
      </c>
      <c r="DGT337" s="42" t="s">
        <v>606</v>
      </c>
      <c r="DGU337" s="42" t="s">
        <v>606</v>
      </c>
      <c r="DGV337" s="42" t="s">
        <v>606</v>
      </c>
      <c r="DGW337" s="42" t="s">
        <v>606</v>
      </c>
      <c r="DGX337" s="42" t="s">
        <v>606</v>
      </c>
      <c r="DGY337" s="42" t="s">
        <v>606</v>
      </c>
      <c r="DGZ337" s="42" t="s">
        <v>606</v>
      </c>
      <c r="DHA337" s="42" t="s">
        <v>606</v>
      </c>
      <c r="DHB337" s="42" t="s">
        <v>606</v>
      </c>
      <c r="DHC337" s="42" t="s">
        <v>606</v>
      </c>
      <c r="DHD337" s="42" t="s">
        <v>606</v>
      </c>
      <c r="DHE337" s="42" t="s">
        <v>606</v>
      </c>
      <c r="DHF337" s="42" t="s">
        <v>606</v>
      </c>
      <c r="DHG337" s="42" t="s">
        <v>606</v>
      </c>
      <c r="DHH337" s="42" t="s">
        <v>606</v>
      </c>
      <c r="DHI337" s="42" t="s">
        <v>606</v>
      </c>
      <c r="DHJ337" s="42" t="s">
        <v>606</v>
      </c>
      <c r="DHK337" s="42" t="s">
        <v>606</v>
      </c>
      <c r="DHL337" s="42" t="s">
        <v>606</v>
      </c>
      <c r="DHM337" s="42" t="s">
        <v>606</v>
      </c>
      <c r="DHN337" s="42" t="s">
        <v>606</v>
      </c>
      <c r="DHO337" s="42" t="s">
        <v>606</v>
      </c>
      <c r="DHP337" s="42" t="s">
        <v>606</v>
      </c>
      <c r="DHQ337" s="42" t="s">
        <v>606</v>
      </c>
      <c r="DHR337" s="42" t="s">
        <v>606</v>
      </c>
      <c r="DHS337" s="42" t="s">
        <v>606</v>
      </c>
      <c r="DHT337" s="42" t="s">
        <v>606</v>
      </c>
      <c r="DHU337" s="42" t="s">
        <v>606</v>
      </c>
      <c r="DHV337" s="42" t="s">
        <v>606</v>
      </c>
      <c r="DHW337" s="42" t="s">
        <v>606</v>
      </c>
      <c r="DHX337" s="42" t="s">
        <v>606</v>
      </c>
      <c r="DHY337" s="42" t="s">
        <v>606</v>
      </c>
      <c r="DHZ337" s="42" t="s">
        <v>606</v>
      </c>
      <c r="DIA337" s="42" t="s">
        <v>606</v>
      </c>
      <c r="DIB337" s="42" t="s">
        <v>606</v>
      </c>
      <c r="DIC337" s="42" t="s">
        <v>606</v>
      </c>
      <c r="DID337" s="42" t="s">
        <v>606</v>
      </c>
      <c r="DIE337" s="42" t="s">
        <v>606</v>
      </c>
      <c r="DIF337" s="42" t="s">
        <v>606</v>
      </c>
      <c r="DIG337" s="42" t="s">
        <v>606</v>
      </c>
      <c r="DIH337" s="42" t="s">
        <v>606</v>
      </c>
      <c r="DII337" s="42" t="s">
        <v>606</v>
      </c>
      <c r="DIJ337" s="42" t="s">
        <v>606</v>
      </c>
      <c r="DIK337" s="42" t="s">
        <v>606</v>
      </c>
      <c r="DIL337" s="42" t="s">
        <v>606</v>
      </c>
      <c r="DIM337" s="42" t="s">
        <v>606</v>
      </c>
      <c r="DIN337" s="42" t="s">
        <v>606</v>
      </c>
      <c r="DIO337" s="42" t="s">
        <v>606</v>
      </c>
      <c r="DIP337" s="42" t="s">
        <v>606</v>
      </c>
      <c r="DIQ337" s="42" t="s">
        <v>606</v>
      </c>
      <c r="DIR337" s="42" t="s">
        <v>606</v>
      </c>
      <c r="DIS337" s="42" t="s">
        <v>606</v>
      </c>
      <c r="DIT337" s="42" t="s">
        <v>606</v>
      </c>
      <c r="DIU337" s="42" t="s">
        <v>606</v>
      </c>
      <c r="DIV337" s="42" t="s">
        <v>606</v>
      </c>
      <c r="DIW337" s="42" t="s">
        <v>606</v>
      </c>
      <c r="DIX337" s="42" t="s">
        <v>606</v>
      </c>
      <c r="DIY337" s="42" t="s">
        <v>606</v>
      </c>
      <c r="DIZ337" s="42" t="s">
        <v>606</v>
      </c>
      <c r="DJA337" s="42" t="s">
        <v>606</v>
      </c>
      <c r="DJB337" s="42" t="s">
        <v>606</v>
      </c>
      <c r="DJC337" s="42" t="s">
        <v>606</v>
      </c>
      <c r="DJD337" s="42" t="s">
        <v>606</v>
      </c>
      <c r="DJE337" s="42" t="s">
        <v>606</v>
      </c>
      <c r="DJF337" s="42" t="s">
        <v>606</v>
      </c>
      <c r="DJG337" s="42" t="s">
        <v>606</v>
      </c>
      <c r="DJH337" s="42" t="s">
        <v>606</v>
      </c>
      <c r="DJI337" s="42" t="s">
        <v>606</v>
      </c>
      <c r="DJJ337" s="42" t="s">
        <v>606</v>
      </c>
      <c r="DJK337" s="42" t="s">
        <v>606</v>
      </c>
      <c r="DJL337" s="42" t="s">
        <v>606</v>
      </c>
      <c r="DJM337" s="42" t="s">
        <v>606</v>
      </c>
      <c r="DJN337" s="42" t="s">
        <v>606</v>
      </c>
      <c r="DJO337" s="42" t="s">
        <v>606</v>
      </c>
      <c r="DJP337" s="42" t="s">
        <v>606</v>
      </c>
      <c r="DJQ337" s="42" t="s">
        <v>606</v>
      </c>
      <c r="DJR337" s="42" t="s">
        <v>606</v>
      </c>
      <c r="DJS337" s="42" t="s">
        <v>606</v>
      </c>
      <c r="DJT337" s="42" t="s">
        <v>606</v>
      </c>
      <c r="DJU337" s="42" t="s">
        <v>606</v>
      </c>
      <c r="DJV337" s="42" t="s">
        <v>606</v>
      </c>
      <c r="DJW337" s="42" t="s">
        <v>606</v>
      </c>
      <c r="DJX337" s="42" t="s">
        <v>606</v>
      </c>
      <c r="DJY337" s="42" t="s">
        <v>606</v>
      </c>
      <c r="DJZ337" s="42" t="s">
        <v>606</v>
      </c>
      <c r="DKA337" s="42" t="s">
        <v>606</v>
      </c>
      <c r="DKB337" s="42" t="s">
        <v>606</v>
      </c>
      <c r="DKC337" s="42" t="s">
        <v>606</v>
      </c>
      <c r="DKD337" s="42" t="s">
        <v>606</v>
      </c>
      <c r="DKE337" s="42" t="s">
        <v>606</v>
      </c>
      <c r="DKF337" s="42" t="s">
        <v>606</v>
      </c>
      <c r="DKG337" s="42" t="s">
        <v>606</v>
      </c>
      <c r="DKH337" s="42" t="s">
        <v>606</v>
      </c>
      <c r="DKI337" s="42" t="s">
        <v>606</v>
      </c>
      <c r="DKJ337" s="42" t="s">
        <v>606</v>
      </c>
      <c r="DKK337" s="42" t="s">
        <v>606</v>
      </c>
      <c r="DKL337" s="42" t="s">
        <v>606</v>
      </c>
      <c r="DKM337" s="42" t="s">
        <v>606</v>
      </c>
      <c r="DKN337" s="42" t="s">
        <v>606</v>
      </c>
      <c r="DKO337" s="42" t="s">
        <v>606</v>
      </c>
      <c r="DKP337" s="42" t="s">
        <v>606</v>
      </c>
      <c r="DKQ337" s="42" t="s">
        <v>606</v>
      </c>
      <c r="DKR337" s="42" t="s">
        <v>606</v>
      </c>
      <c r="DKS337" s="42" t="s">
        <v>606</v>
      </c>
      <c r="DKT337" s="42" t="s">
        <v>606</v>
      </c>
      <c r="DKU337" s="42" t="s">
        <v>606</v>
      </c>
      <c r="DKV337" s="42" t="s">
        <v>606</v>
      </c>
      <c r="DKW337" s="42" t="s">
        <v>606</v>
      </c>
      <c r="DKX337" s="42" t="s">
        <v>606</v>
      </c>
      <c r="DKY337" s="42" t="s">
        <v>606</v>
      </c>
      <c r="DKZ337" s="42" t="s">
        <v>606</v>
      </c>
      <c r="DLA337" s="42" t="s">
        <v>606</v>
      </c>
      <c r="DLB337" s="42" t="s">
        <v>606</v>
      </c>
      <c r="DLC337" s="42" t="s">
        <v>606</v>
      </c>
      <c r="DLD337" s="42" t="s">
        <v>606</v>
      </c>
      <c r="DLE337" s="42" t="s">
        <v>606</v>
      </c>
      <c r="DLF337" s="42" t="s">
        <v>606</v>
      </c>
      <c r="DLG337" s="42" t="s">
        <v>606</v>
      </c>
      <c r="DLH337" s="42" t="s">
        <v>606</v>
      </c>
      <c r="DLI337" s="42" t="s">
        <v>606</v>
      </c>
      <c r="DLJ337" s="42" t="s">
        <v>606</v>
      </c>
      <c r="DLK337" s="42" t="s">
        <v>606</v>
      </c>
      <c r="DLL337" s="42" t="s">
        <v>606</v>
      </c>
      <c r="DLM337" s="42" t="s">
        <v>606</v>
      </c>
      <c r="DLN337" s="42" t="s">
        <v>606</v>
      </c>
      <c r="DLO337" s="42" t="s">
        <v>606</v>
      </c>
      <c r="DLP337" s="42" t="s">
        <v>606</v>
      </c>
      <c r="DLQ337" s="42" t="s">
        <v>606</v>
      </c>
      <c r="DLR337" s="42" t="s">
        <v>606</v>
      </c>
      <c r="DLS337" s="42" t="s">
        <v>606</v>
      </c>
      <c r="DLT337" s="42" t="s">
        <v>606</v>
      </c>
      <c r="DLU337" s="42" t="s">
        <v>606</v>
      </c>
      <c r="DLV337" s="42" t="s">
        <v>606</v>
      </c>
      <c r="DLW337" s="42" t="s">
        <v>606</v>
      </c>
      <c r="DLX337" s="42" t="s">
        <v>606</v>
      </c>
      <c r="DLY337" s="42" t="s">
        <v>606</v>
      </c>
      <c r="DLZ337" s="42" t="s">
        <v>606</v>
      </c>
      <c r="DMA337" s="42" t="s">
        <v>606</v>
      </c>
      <c r="DMB337" s="42" t="s">
        <v>606</v>
      </c>
      <c r="DMC337" s="42" t="s">
        <v>606</v>
      </c>
      <c r="DMD337" s="42" t="s">
        <v>606</v>
      </c>
      <c r="DME337" s="42" t="s">
        <v>606</v>
      </c>
      <c r="DMF337" s="42" t="s">
        <v>606</v>
      </c>
      <c r="DMG337" s="42" t="s">
        <v>606</v>
      </c>
      <c r="DMH337" s="42" t="s">
        <v>606</v>
      </c>
      <c r="DMI337" s="42" t="s">
        <v>606</v>
      </c>
      <c r="DMJ337" s="42" t="s">
        <v>606</v>
      </c>
      <c r="DMK337" s="42" t="s">
        <v>606</v>
      </c>
      <c r="DML337" s="42" t="s">
        <v>606</v>
      </c>
      <c r="DMM337" s="42" t="s">
        <v>606</v>
      </c>
      <c r="DMN337" s="42" t="s">
        <v>606</v>
      </c>
      <c r="DMO337" s="42" t="s">
        <v>606</v>
      </c>
      <c r="DMP337" s="42" t="s">
        <v>606</v>
      </c>
      <c r="DMQ337" s="42" t="s">
        <v>606</v>
      </c>
      <c r="DMR337" s="42" t="s">
        <v>606</v>
      </c>
      <c r="DMS337" s="42" t="s">
        <v>606</v>
      </c>
      <c r="DMT337" s="42" t="s">
        <v>606</v>
      </c>
      <c r="DMU337" s="42" t="s">
        <v>606</v>
      </c>
      <c r="DMV337" s="42" t="s">
        <v>606</v>
      </c>
      <c r="DMW337" s="42" t="s">
        <v>606</v>
      </c>
      <c r="DMX337" s="42" t="s">
        <v>606</v>
      </c>
      <c r="DMY337" s="42" t="s">
        <v>606</v>
      </c>
      <c r="DMZ337" s="42" t="s">
        <v>606</v>
      </c>
      <c r="DNA337" s="42" t="s">
        <v>606</v>
      </c>
      <c r="DNB337" s="42" t="s">
        <v>606</v>
      </c>
      <c r="DNC337" s="42" t="s">
        <v>606</v>
      </c>
      <c r="DND337" s="42" t="s">
        <v>606</v>
      </c>
      <c r="DNE337" s="42" t="s">
        <v>606</v>
      </c>
      <c r="DNF337" s="42" t="s">
        <v>606</v>
      </c>
      <c r="DNG337" s="42" t="s">
        <v>606</v>
      </c>
      <c r="DNH337" s="42" t="s">
        <v>606</v>
      </c>
      <c r="DNI337" s="42" t="s">
        <v>606</v>
      </c>
      <c r="DNJ337" s="42" t="s">
        <v>606</v>
      </c>
      <c r="DNK337" s="42" t="s">
        <v>606</v>
      </c>
      <c r="DNL337" s="42" t="s">
        <v>606</v>
      </c>
      <c r="DNM337" s="42" t="s">
        <v>606</v>
      </c>
      <c r="DNN337" s="42" t="s">
        <v>606</v>
      </c>
      <c r="DNO337" s="42" t="s">
        <v>606</v>
      </c>
      <c r="DNP337" s="42" t="s">
        <v>606</v>
      </c>
      <c r="DNQ337" s="42" t="s">
        <v>606</v>
      </c>
      <c r="DNR337" s="42" t="s">
        <v>606</v>
      </c>
      <c r="DNS337" s="42" t="s">
        <v>606</v>
      </c>
      <c r="DNT337" s="42" t="s">
        <v>606</v>
      </c>
      <c r="DNU337" s="42" t="s">
        <v>606</v>
      </c>
      <c r="DNV337" s="42" t="s">
        <v>606</v>
      </c>
      <c r="DNW337" s="42" t="s">
        <v>606</v>
      </c>
      <c r="DNX337" s="42" t="s">
        <v>606</v>
      </c>
      <c r="DNY337" s="42" t="s">
        <v>606</v>
      </c>
      <c r="DNZ337" s="42" t="s">
        <v>606</v>
      </c>
      <c r="DOA337" s="42" t="s">
        <v>606</v>
      </c>
      <c r="DOB337" s="42" t="s">
        <v>606</v>
      </c>
      <c r="DOC337" s="42" t="s">
        <v>606</v>
      </c>
      <c r="DOD337" s="42" t="s">
        <v>606</v>
      </c>
      <c r="DOE337" s="42" t="s">
        <v>606</v>
      </c>
      <c r="DOF337" s="42" t="s">
        <v>606</v>
      </c>
      <c r="DOG337" s="42" t="s">
        <v>606</v>
      </c>
      <c r="DOH337" s="42" t="s">
        <v>606</v>
      </c>
      <c r="DOI337" s="42" t="s">
        <v>606</v>
      </c>
      <c r="DOJ337" s="42" t="s">
        <v>606</v>
      </c>
      <c r="DOK337" s="42" t="s">
        <v>606</v>
      </c>
      <c r="DOL337" s="42" t="s">
        <v>606</v>
      </c>
      <c r="DOM337" s="42" t="s">
        <v>606</v>
      </c>
      <c r="DON337" s="42" t="s">
        <v>606</v>
      </c>
      <c r="DOO337" s="42" t="s">
        <v>606</v>
      </c>
      <c r="DOP337" s="42" t="s">
        <v>606</v>
      </c>
      <c r="DOQ337" s="42" t="s">
        <v>606</v>
      </c>
      <c r="DOR337" s="42" t="s">
        <v>606</v>
      </c>
      <c r="DOS337" s="42" t="s">
        <v>606</v>
      </c>
      <c r="DOT337" s="42" t="s">
        <v>606</v>
      </c>
      <c r="DOU337" s="42" t="s">
        <v>606</v>
      </c>
      <c r="DOV337" s="42" t="s">
        <v>606</v>
      </c>
      <c r="DOW337" s="42" t="s">
        <v>606</v>
      </c>
      <c r="DOX337" s="42" t="s">
        <v>606</v>
      </c>
      <c r="DOY337" s="42" t="s">
        <v>606</v>
      </c>
      <c r="DOZ337" s="42" t="s">
        <v>606</v>
      </c>
      <c r="DPA337" s="42" t="s">
        <v>606</v>
      </c>
      <c r="DPB337" s="42" t="s">
        <v>606</v>
      </c>
      <c r="DPC337" s="42" t="s">
        <v>606</v>
      </c>
      <c r="DPD337" s="42" t="s">
        <v>606</v>
      </c>
      <c r="DPE337" s="42" t="s">
        <v>606</v>
      </c>
      <c r="DPF337" s="42" t="s">
        <v>606</v>
      </c>
      <c r="DPG337" s="42" t="s">
        <v>606</v>
      </c>
      <c r="DPH337" s="42" t="s">
        <v>606</v>
      </c>
      <c r="DPI337" s="42" t="s">
        <v>606</v>
      </c>
      <c r="DPJ337" s="42" t="s">
        <v>606</v>
      </c>
      <c r="DPK337" s="42" t="s">
        <v>606</v>
      </c>
      <c r="DPL337" s="42" t="s">
        <v>606</v>
      </c>
      <c r="DPM337" s="42" t="s">
        <v>606</v>
      </c>
      <c r="DPN337" s="42" t="s">
        <v>606</v>
      </c>
      <c r="DPO337" s="42" t="s">
        <v>606</v>
      </c>
      <c r="DPP337" s="42" t="s">
        <v>606</v>
      </c>
      <c r="DPQ337" s="42" t="s">
        <v>606</v>
      </c>
      <c r="DPR337" s="42" t="s">
        <v>606</v>
      </c>
      <c r="DPS337" s="42" t="s">
        <v>606</v>
      </c>
      <c r="DPT337" s="42" t="s">
        <v>606</v>
      </c>
      <c r="DPU337" s="42" t="s">
        <v>606</v>
      </c>
      <c r="DPV337" s="42" t="s">
        <v>606</v>
      </c>
      <c r="DPW337" s="42" t="s">
        <v>606</v>
      </c>
      <c r="DPX337" s="42" t="s">
        <v>606</v>
      </c>
      <c r="DPY337" s="42" t="s">
        <v>606</v>
      </c>
      <c r="DPZ337" s="42" t="s">
        <v>606</v>
      </c>
      <c r="DQA337" s="42" t="s">
        <v>606</v>
      </c>
      <c r="DQB337" s="42" t="s">
        <v>606</v>
      </c>
      <c r="DQC337" s="42" t="s">
        <v>606</v>
      </c>
      <c r="DQD337" s="42" t="s">
        <v>606</v>
      </c>
      <c r="DQE337" s="42" t="s">
        <v>606</v>
      </c>
      <c r="DQF337" s="42" t="s">
        <v>606</v>
      </c>
      <c r="DQG337" s="42" t="s">
        <v>606</v>
      </c>
      <c r="DQH337" s="42" t="s">
        <v>606</v>
      </c>
      <c r="DQI337" s="42" t="s">
        <v>606</v>
      </c>
      <c r="DQJ337" s="42" t="s">
        <v>606</v>
      </c>
      <c r="DQK337" s="42" t="s">
        <v>606</v>
      </c>
      <c r="DQL337" s="42" t="s">
        <v>606</v>
      </c>
      <c r="DQM337" s="42" t="s">
        <v>606</v>
      </c>
      <c r="DQN337" s="42" t="s">
        <v>606</v>
      </c>
      <c r="DQO337" s="42" t="s">
        <v>606</v>
      </c>
      <c r="DQP337" s="42" t="s">
        <v>606</v>
      </c>
      <c r="DQQ337" s="42" t="s">
        <v>606</v>
      </c>
      <c r="DQR337" s="42" t="s">
        <v>606</v>
      </c>
      <c r="DQS337" s="42" t="s">
        <v>606</v>
      </c>
      <c r="DQT337" s="42" t="s">
        <v>606</v>
      </c>
      <c r="DQU337" s="42" t="s">
        <v>606</v>
      </c>
      <c r="DQV337" s="42" t="s">
        <v>606</v>
      </c>
      <c r="DQW337" s="42" t="s">
        <v>606</v>
      </c>
      <c r="DQX337" s="42" t="s">
        <v>606</v>
      </c>
      <c r="DQY337" s="42" t="s">
        <v>606</v>
      </c>
      <c r="DQZ337" s="42" t="s">
        <v>606</v>
      </c>
      <c r="DRA337" s="42" t="s">
        <v>606</v>
      </c>
      <c r="DRB337" s="42" t="s">
        <v>606</v>
      </c>
      <c r="DRC337" s="42" t="s">
        <v>606</v>
      </c>
      <c r="DRD337" s="42" t="s">
        <v>606</v>
      </c>
      <c r="DRE337" s="42" t="s">
        <v>606</v>
      </c>
      <c r="DRF337" s="42" t="s">
        <v>606</v>
      </c>
      <c r="DRG337" s="42" t="s">
        <v>606</v>
      </c>
      <c r="DRH337" s="42" t="s">
        <v>606</v>
      </c>
      <c r="DRI337" s="42" t="s">
        <v>606</v>
      </c>
      <c r="DRJ337" s="42" t="s">
        <v>606</v>
      </c>
      <c r="DRK337" s="42" t="s">
        <v>606</v>
      </c>
      <c r="DRL337" s="42" t="s">
        <v>606</v>
      </c>
      <c r="DRM337" s="42" t="s">
        <v>606</v>
      </c>
      <c r="DRN337" s="42" t="s">
        <v>606</v>
      </c>
      <c r="DRO337" s="42" t="s">
        <v>606</v>
      </c>
      <c r="DRP337" s="42" t="s">
        <v>606</v>
      </c>
      <c r="DRQ337" s="42" t="s">
        <v>606</v>
      </c>
      <c r="DRR337" s="42" t="s">
        <v>606</v>
      </c>
      <c r="DRS337" s="42" t="s">
        <v>606</v>
      </c>
      <c r="DRT337" s="42" t="s">
        <v>606</v>
      </c>
      <c r="DRU337" s="42" t="s">
        <v>606</v>
      </c>
      <c r="DRV337" s="42" t="s">
        <v>606</v>
      </c>
      <c r="DRW337" s="42" t="s">
        <v>606</v>
      </c>
      <c r="DRX337" s="42" t="s">
        <v>606</v>
      </c>
      <c r="DRY337" s="42" t="s">
        <v>606</v>
      </c>
      <c r="DRZ337" s="42" t="s">
        <v>606</v>
      </c>
      <c r="DSA337" s="42" t="s">
        <v>606</v>
      </c>
      <c r="DSB337" s="42" t="s">
        <v>606</v>
      </c>
      <c r="DSC337" s="42" t="s">
        <v>606</v>
      </c>
      <c r="DSD337" s="42" t="s">
        <v>606</v>
      </c>
      <c r="DSE337" s="42" t="s">
        <v>606</v>
      </c>
      <c r="DSF337" s="42" t="s">
        <v>606</v>
      </c>
      <c r="DSG337" s="42" t="s">
        <v>606</v>
      </c>
      <c r="DSH337" s="42" t="s">
        <v>606</v>
      </c>
      <c r="DSI337" s="42" t="s">
        <v>606</v>
      </c>
      <c r="DSJ337" s="42" t="s">
        <v>606</v>
      </c>
      <c r="DSK337" s="42" t="s">
        <v>606</v>
      </c>
      <c r="DSL337" s="42" t="s">
        <v>606</v>
      </c>
      <c r="DSM337" s="42" t="s">
        <v>606</v>
      </c>
      <c r="DSN337" s="42" t="s">
        <v>606</v>
      </c>
      <c r="DSO337" s="42" t="s">
        <v>606</v>
      </c>
      <c r="DSP337" s="42" t="s">
        <v>606</v>
      </c>
      <c r="DSQ337" s="42" t="s">
        <v>606</v>
      </c>
      <c r="DSR337" s="42" t="s">
        <v>606</v>
      </c>
      <c r="DSS337" s="42" t="s">
        <v>606</v>
      </c>
      <c r="DST337" s="42" t="s">
        <v>606</v>
      </c>
      <c r="DSU337" s="42" t="s">
        <v>606</v>
      </c>
      <c r="DSV337" s="42" t="s">
        <v>606</v>
      </c>
      <c r="DSW337" s="42" t="s">
        <v>606</v>
      </c>
      <c r="DSX337" s="42" t="s">
        <v>606</v>
      </c>
      <c r="DSY337" s="42" t="s">
        <v>606</v>
      </c>
      <c r="DSZ337" s="42" t="s">
        <v>606</v>
      </c>
      <c r="DTA337" s="42" t="s">
        <v>606</v>
      </c>
      <c r="DTB337" s="42" t="s">
        <v>606</v>
      </c>
      <c r="DTC337" s="42" t="s">
        <v>606</v>
      </c>
      <c r="DTD337" s="42" t="s">
        <v>606</v>
      </c>
      <c r="DTE337" s="42" t="s">
        <v>606</v>
      </c>
      <c r="DTF337" s="42" t="s">
        <v>606</v>
      </c>
      <c r="DTG337" s="42" t="s">
        <v>606</v>
      </c>
      <c r="DTH337" s="42" t="s">
        <v>606</v>
      </c>
      <c r="DTI337" s="42" t="s">
        <v>606</v>
      </c>
      <c r="DTJ337" s="42" t="s">
        <v>606</v>
      </c>
      <c r="DTK337" s="42" t="s">
        <v>606</v>
      </c>
      <c r="DTL337" s="42" t="s">
        <v>606</v>
      </c>
      <c r="DTM337" s="42" t="s">
        <v>606</v>
      </c>
      <c r="DTN337" s="42" t="s">
        <v>606</v>
      </c>
      <c r="DTO337" s="42" t="s">
        <v>606</v>
      </c>
      <c r="DTP337" s="42" t="s">
        <v>606</v>
      </c>
      <c r="DTQ337" s="42" t="s">
        <v>606</v>
      </c>
      <c r="DTR337" s="42" t="s">
        <v>606</v>
      </c>
      <c r="DTS337" s="42" t="s">
        <v>606</v>
      </c>
      <c r="DTT337" s="42" t="s">
        <v>606</v>
      </c>
      <c r="DTU337" s="42" t="s">
        <v>606</v>
      </c>
      <c r="DTV337" s="42" t="s">
        <v>606</v>
      </c>
      <c r="DTW337" s="42" t="s">
        <v>606</v>
      </c>
      <c r="DTX337" s="42" t="s">
        <v>606</v>
      </c>
      <c r="DTY337" s="42" t="s">
        <v>606</v>
      </c>
      <c r="DTZ337" s="42" t="s">
        <v>606</v>
      </c>
      <c r="DUA337" s="42" t="s">
        <v>606</v>
      </c>
      <c r="DUB337" s="42" t="s">
        <v>606</v>
      </c>
      <c r="DUC337" s="42" t="s">
        <v>606</v>
      </c>
      <c r="DUD337" s="42" t="s">
        <v>606</v>
      </c>
      <c r="DUE337" s="42" t="s">
        <v>606</v>
      </c>
      <c r="DUF337" s="42" t="s">
        <v>606</v>
      </c>
      <c r="DUG337" s="42" t="s">
        <v>606</v>
      </c>
      <c r="DUH337" s="42" t="s">
        <v>606</v>
      </c>
      <c r="DUI337" s="42" t="s">
        <v>606</v>
      </c>
      <c r="DUJ337" s="42" t="s">
        <v>606</v>
      </c>
      <c r="DUK337" s="42" t="s">
        <v>606</v>
      </c>
      <c r="DUL337" s="42" t="s">
        <v>606</v>
      </c>
      <c r="DUM337" s="42" t="s">
        <v>606</v>
      </c>
      <c r="DUN337" s="42" t="s">
        <v>606</v>
      </c>
      <c r="DUO337" s="42" t="s">
        <v>606</v>
      </c>
      <c r="DUP337" s="42" t="s">
        <v>606</v>
      </c>
      <c r="DUQ337" s="42" t="s">
        <v>606</v>
      </c>
      <c r="DUR337" s="42" t="s">
        <v>606</v>
      </c>
      <c r="DUS337" s="42" t="s">
        <v>606</v>
      </c>
      <c r="DUT337" s="42" t="s">
        <v>606</v>
      </c>
      <c r="DUU337" s="42" t="s">
        <v>606</v>
      </c>
      <c r="DUV337" s="42" t="s">
        <v>606</v>
      </c>
      <c r="DUW337" s="42" t="s">
        <v>606</v>
      </c>
      <c r="DUX337" s="42" t="s">
        <v>606</v>
      </c>
      <c r="DUY337" s="42" t="s">
        <v>606</v>
      </c>
      <c r="DUZ337" s="42" t="s">
        <v>606</v>
      </c>
      <c r="DVA337" s="42" t="s">
        <v>606</v>
      </c>
      <c r="DVB337" s="42" t="s">
        <v>606</v>
      </c>
      <c r="DVC337" s="42" t="s">
        <v>606</v>
      </c>
      <c r="DVD337" s="42" t="s">
        <v>606</v>
      </c>
      <c r="DVE337" s="42" t="s">
        <v>606</v>
      </c>
      <c r="DVF337" s="42" t="s">
        <v>606</v>
      </c>
      <c r="DVG337" s="42" t="s">
        <v>606</v>
      </c>
      <c r="DVH337" s="42" t="s">
        <v>606</v>
      </c>
      <c r="DVI337" s="42" t="s">
        <v>606</v>
      </c>
      <c r="DVJ337" s="42" t="s">
        <v>606</v>
      </c>
      <c r="DVK337" s="42" t="s">
        <v>606</v>
      </c>
      <c r="DVL337" s="42" t="s">
        <v>606</v>
      </c>
      <c r="DVM337" s="42" t="s">
        <v>606</v>
      </c>
      <c r="DVN337" s="42" t="s">
        <v>606</v>
      </c>
      <c r="DVO337" s="42" t="s">
        <v>606</v>
      </c>
      <c r="DVP337" s="42" t="s">
        <v>606</v>
      </c>
      <c r="DVQ337" s="42" t="s">
        <v>606</v>
      </c>
      <c r="DVR337" s="42" t="s">
        <v>606</v>
      </c>
      <c r="DVS337" s="42" t="s">
        <v>606</v>
      </c>
      <c r="DVT337" s="42" t="s">
        <v>606</v>
      </c>
      <c r="DVU337" s="42" t="s">
        <v>606</v>
      </c>
      <c r="DVV337" s="42" t="s">
        <v>606</v>
      </c>
      <c r="DVW337" s="42" t="s">
        <v>606</v>
      </c>
      <c r="DVX337" s="42" t="s">
        <v>606</v>
      </c>
      <c r="DVY337" s="42" t="s">
        <v>606</v>
      </c>
      <c r="DVZ337" s="42" t="s">
        <v>606</v>
      </c>
      <c r="DWA337" s="42" t="s">
        <v>606</v>
      </c>
      <c r="DWB337" s="42" t="s">
        <v>606</v>
      </c>
      <c r="DWC337" s="42" t="s">
        <v>606</v>
      </c>
      <c r="DWD337" s="42" t="s">
        <v>606</v>
      </c>
      <c r="DWE337" s="42" t="s">
        <v>606</v>
      </c>
      <c r="DWF337" s="42" t="s">
        <v>606</v>
      </c>
      <c r="DWG337" s="42" t="s">
        <v>606</v>
      </c>
      <c r="DWH337" s="42" t="s">
        <v>606</v>
      </c>
      <c r="DWI337" s="42" t="s">
        <v>606</v>
      </c>
      <c r="DWJ337" s="42" t="s">
        <v>606</v>
      </c>
      <c r="DWK337" s="42" t="s">
        <v>606</v>
      </c>
      <c r="DWL337" s="42" t="s">
        <v>606</v>
      </c>
      <c r="DWM337" s="42" t="s">
        <v>606</v>
      </c>
      <c r="DWN337" s="42" t="s">
        <v>606</v>
      </c>
      <c r="DWO337" s="42" t="s">
        <v>606</v>
      </c>
      <c r="DWP337" s="42" t="s">
        <v>606</v>
      </c>
      <c r="DWQ337" s="42" t="s">
        <v>606</v>
      </c>
      <c r="DWR337" s="42" t="s">
        <v>606</v>
      </c>
      <c r="DWS337" s="42" t="s">
        <v>606</v>
      </c>
      <c r="DWT337" s="42" t="s">
        <v>606</v>
      </c>
      <c r="DWU337" s="42" t="s">
        <v>606</v>
      </c>
      <c r="DWV337" s="42" t="s">
        <v>606</v>
      </c>
      <c r="DWW337" s="42" t="s">
        <v>606</v>
      </c>
      <c r="DWX337" s="42" t="s">
        <v>606</v>
      </c>
      <c r="DWY337" s="42" t="s">
        <v>606</v>
      </c>
      <c r="DWZ337" s="42" t="s">
        <v>606</v>
      </c>
      <c r="DXA337" s="42" t="s">
        <v>606</v>
      </c>
      <c r="DXB337" s="42" t="s">
        <v>606</v>
      </c>
      <c r="DXC337" s="42" t="s">
        <v>606</v>
      </c>
      <c r="DXD337" s="42" t="s">
        <v>606</v>
      </c>
      <c r="DXE337" s="42" t="s">
        <v>606</v>
      </c>
      <c r="DXF337" s="42" t="s">
        <v>606</v>
      </c>
      <c r="DXG337" s="42" t="s">
        <v>606</v>
      </c>
      <c r="DXH337" s="42" t="s">
        <v>606</v>
      </c>
      <c r="DXI337" s="42" t="s">
        <v>606</v>
      </c>
      <c r="DXJ337" s="42" t="s">
        <v>606</v>
      </c>
      <c r="DXK337" s="42" t="s">
        <v>606</v>
      </c>
      <c r="DXL337" s="42" t="s">
        <v>606</v>
      </c>
      <c r="DXM337" s="42" t="s">
        <v>606</v>
      </c>
      <c r="DXN337" s="42" t="s">
        <v>606</v>
      </c>
      <c r="DXO337" s="42" t="s">
        <v>606</v>
      </c>
      <c r="DXP337" s="42" t="s">
        <v>606</v>
      </c>
      <c r="DXQ337" s="42" t="s">
        <v>606</v>
      </c>
      <c r="DXR337" s="42" t="s">
        <v>606</v>
      </c>
      <c r="DXS337" s="42" t="s">
        <v>606</v>
      </c>
      <c r="DXT337" s="42" t="s">
        <v>606</v>
      </c>
      <c r="DXU337" s="42" t="s">
        <v>606</v>
      </c>
      <c r="DXV337" s="42" t="s">
        <v>606</v>
      </c>
      <c r="DXW337" s="42" t="s">
        <v>606</v>
      </c>
      <c r="DXX337" s="42" t="s">
        <v>606</v>
      </c>
      <c r="DXY337" s="42" t="s">
        <v>606</v>
      </c>
      <c r="DXZ337" s="42" t="s">
        <v>606</v>
      </c>
      <c r="DYA337" s="42" t="s">
        <v>606</v>
      </c>
      <c r="DYB337" s="42" t="s">
        <v>606</v>
      </c>
      <c r="DYC337" s="42" t="s">
        <v>606</v>
      </c>
      <c r="DYD337" s="42" t="s">
        <v>606</v>
      </c>
      <c r="DYE337" s="42" t="s">
        <v>606</v>
      </c>
      <c r="DYF337" s="42" t="s">
        <v>606</v>
      </c>
      <c r="DYG337" s="42" t="s">
        <v>606</v>
      </c>
      <c r="DYH337" s="42" t="s">
        <v>606</v>
      </c>
      <c r="DYI337" s="42" t="s">
        <v>606</v>
      </c>
      <c r="DYJ337" s="42" t="s">
        <v>606</v>
      </c>
      <c r="DYK337" s="42" t="s">
        <v>606</v>
      </c>
      <c r="DYL337" s="42" t="s">
        <v>606</v>
      </c>
      <c r="DYM337" s="42" t="s">
        <v>606</v>
      </c>
      <c r="DYN337" s="42" t="s">
        <v>606</v>
      </c>
      <c r="DYO337" s="42" t="s">
        <v>606</v>
      </c>
      <c r="DYP337" s="42" t="s">
        <v>606</v>
      </c>
      <c r="DYQ337" s="42" t="s">
        <v>606</v>
      </c>
      <c r="DYR337" s="42" t="s">
        <v>606</v>
      </c>
      <c r="DYS337" s="42" t="s">
        <v>606</v>
      </c>
      <c r="DYT337" s="42" t="s">
        <v>606</v>
      </c>
      <c r="DYU337" s="42" t="s">
        <v>606</v>
      </c>
      <c r="DYV337" s="42" t="s">
        <v>606</v>
      </c>
      <c r="DYW337" s="42" t="s">
        <v>606</v>
      </c>
      <c r="DYX337" s="42" t="s">
        <v>606</v>
      </c>
      <c r="DYY337" s="42" t="s">
        <v>606</v>
      </c>
      <c r="DYZ337" s="42" t="s">
        <v>606</v>
      </c>
      <c r="DZA337" s="42" t="s">
        <v>606</v>
      </c>
      <c r="DZB337" s="42" t="s">
        <v>606</v>
      </c>
      <c r="DZC337" s="42" t="s">
        <v>606</v>
      </c>
      <c r="DZD337" s="42" t="s">
        <v>606</v>
      </c>
      <c r="DZE337" s="42" t="s">
        <v>606</v>
      </c>
      <c r="DZF337" s="42" t="s">
        <v>606</v>
      </c>
      <c r="DZG337" s="42" t="s">
        <v>606</v>
      </c>
      <c r="DZH337" s="42" t="s">
        <v>606</v>
      </c>
      <c r="DZI337" s="42" t="s">
        <v>606</v>
      </c>
      <c r="DZJ337" s="42" t="s">
        <v>606</v>
      </c>
      <c r="DZK337" s="42" t="s">
        <v>606</v>
      </c>
      <c r="DZL337" s="42" t="s">
        <v>606</v>
      </c>
      <c r="DZM337" s="42" t="s">
        <v>606</v>
      </c>
      <c r="DZN337" s="42" t="s">
        <v>606</v>
      </c>
      <c r="DZO337" s="42" t="s">
        <v>606</v>
      </c>
      <c r="DZP337" s="42" t="s">
        <v>606</v>
      </c>
      <c r="DZQ337" s="42" t="s">
        <v>606</v>
      </c>
      <c r="DZR337" s="42" t="s">
        <v>606</v>
      </c>
      <c r="DZS337" s="42" t="s">
        <v>606</v>
      </c>
      <c r="DZT337" s="42" t="s">
        <v>606</v>
      </c>
      <c r="DZU337" s="42" t="s">
        <v>606</v>
      </c>
      <c r="DZV337" s="42" t="s">
        <v>606</v>
      </c>
      <c r="DZW337" s="42" t="s">
        <v>606</v>
      </c>
      <c r="DZX337" s="42" t="s">
        <v>606</v>
      </c>
      <c r="DZY337" s="42" t="s">
        <v>606</v>
      </c>
      <c r="DZZ337" s="42" t="s">
        <v>606</v>
      </c>
      <c r="EAA337" s="42" t="s">
        <v>606</v>
      </c>
      <c r="EAB337" s="42" t="s">
        <v>606</v>
      </c>
      <c r="EAC337" s="42" t="s">
        <v>606</v>
      </c>
      <c r="EAD337" s="42" t="s">
        <v>606</v>
      </c>
      <c r="EAE337" s="42" t="s">
        <v>606</v>
      </c>
      <c r="EAF337" s="42" t="s">
        <v>606</v>
      </c>
      <c r="EAG337" s="42" t="s">
        <v>606</v>
      </c>
      <c r="EAH337" s="42" t="s">
        <v>606</v>
      </c>
      <c r="EAI337" s="42" t="s">
        <v>606</v>
      </c>
      <c r="EAJ337" s="42" t="s">
        <v>606</v>
      </c>
      <c r="EAK337" s="42" t="s">
        <v>606</v>
      </c>
      <c r="EAL337" s="42" t="s">
        <v>606</v>
      </c>
      <c r="EAM337" s="42" t="s">
        <v>606</v>
      </c>
      <c r="EAN337" s="42" t="s">
        <v>606</v>
      </c>
      <c r="EAO337" s="42" t="s">
        <v>606</v>
      </c>
      <c r="EAP337" s="42" t="s">
        <v>606</v>
      </c>
      <c r="EAQ337" s="42" t="s">
        <v>606</v>
      </c>
      <c r="EAR337" s="42" t="s">
        <v>606</v>
      </c>
      <c r="EAS337" s="42" t="s">
        <v>606</v>
      </c>
      <c r="EAT337" s="42" t="s">
        <v>606</v>
      </c>
      <c r="EAU337" s="42" t="s">
        <v>606</v>
      </c>
      <c r="EAV337" s="42" t="s">
        <v>606</v>
      </c>
      <c r="EAW337" s="42" t="s">
        <v>606</v>
      </c>
      <c r="EAX337" s="42" t="s">
        <v>606</v>
      </c>
      <c r="EAY337" s="42" t="s">
        <v>606</v>
      </c>
      <c r="EAZ337" s="42" t="s">
        <v>606</v>
      </c>
      <c r="EBA337" s="42" t="s">
        <v>606</v>
      </c>
      <c r="EBB337" s="42" t="s">
        <v>606</v>
      </c>
      <c r="EBC337" s="42" t="s">
        <v>606</v>
      </c>
      <c r="EBD337" s="42" t="s">
        <v>606</v>
      </c>
      <c r="EBE337" s="42" t="s">
        <v>606</v>
      </c>
      <c r="EBF337" s="42" t="s">
        <v>606</v>
      </c>
      <c r="EBG337" s="42" t="s">
        <v>606</v>
      </c>
      <c r="EBH337" s="42" t="s">
        <v>606</v>
      </c>
      <c r="EBI337" s="42" t="s">
        <v>606</v>
      </c>
      <c r="EBJ337" s="42" t="s">
        <v>606</v>
      </c>
      <c r="EBK337" s="42" t="s">
        <v>606</v>
      </c>
      <c r="EBL337" s="42" t="s">
        <v>606</v>
      </c>
      <c r="EBM337" s="42" t="s">
        <v>606</v>
      </c>
      <c r="EBN337" s="42" t="s">
        <v>606</v>
      </c>
      <c r="EBO337" s="42" t="s">
        <v>606</v>
      </c>
      <c r="EBP337" s="42" t="s">
        <v>606</v>
      </c>
      <c r="EBQ337" s="42" t="s">
        <v>606</v>
      </c>
      <c r="EBR337" s="42" t="s">
        <v>606</v>
      </c>
      <c r="EBS337" s="42" t="s">
        <v>606</v>
      </c>
      <c r="EBT337" s="42" t="s">
        <v>606</v>
      </c>
      <c r="EBU337" s="42" t="s">
        <v>606</v>
      </c>
      <c r="EBV337" s="42" t="s">
        <v>606</v>
      </c>
      <c r="EBW337" s="42" t="s">
        <v>606</v>
      </c>
      <c r="EBX337" s="42" t="s">
        <v>606</v>
      </c>
      <c r="EBY337" s="42" t="s">
        <v>606</v>
      </c>
      <c r="EBZ337" s="42" t="s">
        <v>606</v>
      </c>
      <c r="ECA337" s="42" t="s">
        <v>606</v>
      </c>
      <c r="ECB337" s="42" t="s">
        <v>606</v>
      </c>
      <c r="ECC337" s="42" t="s">
        <v>606</v>
      </c>
      <c r="ECD337" s="42" t="s">
        <v>606</v>
      </c>
      <c r="ECE337" s="42" t="s">
        <v>606</v>
      </c>
      <c r="ECF337" s="42" t="s">
        <v>606</v>
      </c>
      <c r="ECG337" s="42" t="s">
        <v>606</v>
      </c>
      <c r="ECH337" s="42" t="s">
        <v>606</v>
      </c>
      <c r="ECI337" s="42" t="s">
        <v>606</v>
      </c>
      <c r="ECJ337" s="42" t="s">
        <v>606</v>
      </c>
      <c r="ECK337" s="42" t="s">
        <v>606</v>
      </c>
      <c r="ECL337" s="42" t="s">
        <v>606</v>
      </c>
      <c r="ECM337" s="42" t="s">
        <v>606</v>
      </c>
      <c r="ECN337" s="42" t="s">
        <v>606</v>
      </c>
      <c r="ECO337" s="42" t="s">
        <v>606</v>
      </c>
      <c r="ECP337" s="42" t="s">
        <v>606</v>
      </c>
      <c r="ECQ337" s="42" t="s">
        <v>606</v>
      </c>
      <c r="ECR337" s="42" t="s">
        <v>606</v>
      </c>
      <c r="ECS337" s="42" t="s">
        <v>606</v>
      </c>
      <c r="ECT337" s="42" t="s">
        <v>606</v>
      </c>
      <c r="ECU337" s="42" t="s">
        <v>606</v>
      </c>
      <c r="ECV337" s="42" t="s">
        <v>606</v>
      </c>
      <c r="ECW337" s="42" t="s">
        <v>606</v>
      </c>
      <c r="ECX337" s="42" t="s">
        <v>606</v>
      </c>
      <c r="ECY337" s="42" t="s">
        <v>606</v>
      </c>
      <c r="ECZ337" s="42" t="s">
        <v>606</v>
      </c>
      <c r="EDA337" s="42" t="s">
        <v>606</v>
      </c>
      <c r="EDB337" s="42" t="s">
        <v>606</v>
      </c>
      <c r="EDC337" s="42" t="s">
        <v>606</v>
      </c>
      <c r="EDD337" s="42" t="s">
        <v>606</v>
      </c>
      <c r="EDE337" s="42" t="s">
        <v>606</v>
      </c>
      <c r="EDF337" s="42" t="s">
        <v>606</v>
      </c>
      <c r="EDG337" s="42" t="s">
        <v>606</v>
      </c>
      <c r="EDH337" s="42" t="s">
        <v>606</v>
      </c>
      <c r="EDI337" s="42" t="s">
        <v>606</v>
      </c>
      <c r="EDJ337" s="42" t="s">
        <v>606</v>
      </c>
      <c r="EDK337" s="42" t="s">
        <v>606</v>
      </c>
      <c r="EDL337" s="42" t="s">
        <v>606</v>
      </c>
      <c r="EDM337" s="42" t="s">
        <v>606</v>
      </c>
      <c r="EDN337" s="42" t="s">
        <v>606</v>
      </c>
      <c r="EDO337" s="42" t="s">
        <v>606</v>
      </c>
      <c r="EDP337" s="42" t="s">
        <v>606</v>
      </c>
      <c r="EDQ337" s="42" t="s">
        <v>606</v>
      </c>
      <c r="EDR337" s="42" t="s">
        <v>606</v>
      </c>
      <c r="EDS337" s="42" t="s">
        <v>606</v>
      </c>
      <c r="EDT337" s="42" t="s">
        <v>606</v>
      </c>
      <c r="EDU337" s="42" t="s">
        <v>606</v>
      </c>
      <c r="EDV337" s="42" t="s">
        <v>606</v>
      </c>
      <c r="EDW337" s="42" t="s">
        <v>606</v>
      </c>
      <c r="EDX337" s="42" t="s">
        <v>606</v>
      </c>
      <c r="EDY337" s="42" t="s">
        <v>606</v>
      </c>
      <c r="EDZ337" s="42" t="s">
        <v>606</v>
      </c>
      <c r="EEA337" s="42" t="s">
        <v>606</v>
      </c>
      <c r="EEB337" s="42" t="s">
        <v>606</v>
      </c>
      <c r="EEC337" s="42" t="s">
        <v>606</v>
      </c>
      <c r="EED337" s="42" t="s">
        <v>606</v>
      </c>
      <c r="EEE337" s="42" t="s">
        <v>606</v>
      </c>
      <c r="EEF337" s="42" t="s">
        <v>606</v>
      </c>
      <c r="EEG337" s="42" t="s">
        <v>606</v>
      </c>
      <c r="EEH337" s="42" t="s">
        <v>606</v>
      </c>
      <c r="EEI337" s="42" t="s">
        <v>606</v>
      </c>
      <c r="EEJ337" s="42" t="s">
        <v>606</v>
      </c>
      <c r="EEK337" s="42" t="s">
        <v>606</v>
      </c>
      <c r="EEL337" s="42" t="s">
        <v>606</v>
      </c>
      <c r="EEM337" s="42" t="s">
        <v>606</v>
      </c>
      <c r="EEN337" s="42" t="s">
        <v>606</v>
      </c>
      <c r="EEO337" s="42" t="s">
        <v>606</v>
      </c>
      <c r="EEP337" s="42" t="s">
        <v>606</v>
      </c>
      <c r="EEQ337" s="42" t="s">
        <v>606</v>
      </c>
      <c r="EER337" s="42" t="s">
        <v>606</v>
      </c>
      <c r="EES337" s="42" t="s">
        <v>606</v>
      </c>
      <c r="EET337" s="42" t="s">
        <v>606</v>
      </c>
      <c r="EEU337" s="42" t="s">
        <v>606</v>
      </c>
      <c r="EEV337" s="42" t="s">
        <v>606</v>
      </c>
      <c r="EEW337" s="42" t="s">
        <v>606</v>
      </c>
      <c r="EEX337" s="42" t="s">
        <v>606</v>
      </c>
      <c r="EEY337" s="42" t="s">
        <v>606</v>
      </c>
      <c r="EEZ337" s="42" t="s">
        <v>606</v>
      </c>
      <c r="EFA337" s="42" t="s">
        <v>606</v>
      </c>
      <c r="EFB337" s="42" t="s">
        <v>606</v>
      </c>
      <c r="EFC337" s="42" t="s">
        <v>606</v>
      </c>
      <c r="EFD337" s="42" t="s">
        <v>606</v>
      </c>
      <c r="EFE337" s="42" t="s">
        <v>606</v>
      </c>
      <c r="EFF337" s="42" t="s">
        <v>606</v>
      </c>
      <c r="EFG337" s="42" t="s">
        <v>606</v>
      </c>
      <c r="EFH337" s="42" t="s">
        <v>606</v>
      </c>
      <c r="EFI337" s="42" t="s">
        <v>606</v>
      </c>
      <c r="EFJ337" s="42" t="s">
        <v>606</v>
      </c>
      <c r="EFK337" s="42" t="s">
        <v>606</v>
      </c>
      <c r="EFL337" s="42" t="s">
        <v>606</v>
      </c>
      <c r="EFM337" s="42" t="s">
        <v>606</v>
      </c>
      <c r="EFN337" s="42" t="s">
        <v>606</v>
      </c>
      <c r="EFO337" s="42" t="s">
        <v>606</v>
      </c>
      <c r="EFP337" s="42" t="s">
        <v>606</v>
      </c>
      <c r="EFQ337" s="42" t="s">
        <v>606</v>
      </c>
      <c r="EFR337" s="42" t="s">
        <v>606</v>
      </c>
      <c r="EFS337" s="42" t="s">
        <v>606</v>
      </c>
      <c r="EFT337" s="42" t="s">
        <v>606</v>
      </c>
      <c r="EFU337" s="42" t="s">
        <v>606</v>
      </c>
      <c r="EFV337" s="42" t="s">
        <v>606</v>
      </c>
      <c r="EFW337" s="42" t="s">
        <v>606</v>
      </c>
      <c r="EFX337" s="42" t="s">
        <v>606</v>
      </c>
      <c r="EFY337" s="42" t="s">
        <v>606</v>
      </c>
      <c r="EFZ337" s="42" t="s">
        <v>606</v>
      </c>
      <c r="EGA337" s="42" t="s">
        <v>606</v>
      </c>
      <c r="EGB337" s="42" t="s">
        <v>606</v>
      </c>
      <c r="EGC337" s="42" t="s">
        <v>606</v>
      </c>
      <c r="EGD337" s="42" t="s">
        <v>606</v>
      </c>
      <c r="EGE337" s="42" t="s">
        <v>606</v>
      </c>
      <c r="EGF337" s="42" t="s">
        <v>606</v>
      </c>
      <c r="EGG337" s="42" t="s">
        <v>606</v>
      </c>
      <c r="EGH337" s="42" t="s">
        <v>606</v>
      </c>
      <c r="EGI337" s="42" t="s">
        <v>606</v>
      </c>
      <c r="EGJ337" s="42" t="s">
        <v>606</v>
      </c>
      <c r="EGK337" s="42" t="s">
        <v>606</v>
      </c>
      <c r="EGL337" s="42" t="s">
        <v>606</v>
      </c>
      <c r="EGM337" s="42" t="s">
        <v>606</v>
      </c>
      <c r="EGN337" s="42" t="s">
        <v>606</v>
      </c>
      <c r="EGO337" s="42" t="s">
        <v>606</v>
      </c>
      <c r="EGP337" s="42" t="s">
        <v>606</v>
      </c>
      <c r="EGQ337" s="42" t="s">
        <v>606</v>
      </c>
      <c r="EGR337" s="42" t="s">
        <v>606</v>
      </c>
      <c r="EGS337" s="42" t="s">
        <v>606</v>
      </c>
      <c r="EGT337" s="42" t="s">
        <v>606</v>
      </c>
      <c r="EGU337" s="42" t="s">
        <v>606</v>
      </c>
      <c r="EGV337" s="42" t="s">
        <v>606</v>
      </c>
      <c r="EGW337" s="42" t="s">
        <v>606</v>
      </c>
      <c r="EGX337" s="42" t="s">
        <v>606</v>
      </c>
      <c r="EGY337" s="42" t="s">
        <v>606</v>
      </c>
      <c r="EGZ337" s="42" t="s">
        <v>606</v>
      </c>
      <c r="EHA337" s="42" t="s">
        <v>606</v>
      </c>
      <c r="EHB337" s="42" t="s">
        <v>606</v>
      </c>
      <c r="EHC337" s="42" t="s">
        <v>606</v>
      </c>
      <c r="EHD337" s="42" t="s">
        <v>606</v>
      </c>
      <c r="EHE337" s="42" t="s">
        <v>606</v>
      </c>
      <c r="EHF337" s="42" t="s">
        <v>606</v>
      </c>
      <c r="EHG337" s="42" t="s">
        <v>606</v>
      </c>
      <c r="EHH337" s="42" t="s">
        <v>606</v>
      </c>
      <c r="EHI337" s="42" t="s">
        <v>606</v>
      </c>
      <c r="EHJ337" s="42" t="s">
        <v>606</v>
      </c>
      <c r="EHK337" s="42" t="s">
        <v>606</v>
      </c>
      <c r="EHL337" s="42" t="s">
        <v>606</v>
      </c>
      <c r="EHM337" s="42" t="s">
        <v>606</v>
      </c>
      <c r="EHN337" s="42" t="s">
        <v>606</v>
      </c>
      <c r="EHO337" s="42" t="s">
        <v>606</v>
      </c>
      <c r="EHP337" s="42" t="s">
        <v>606</v>
      </c>
      <c r="EHQ337" s="42" t="s">
        <v>606</v>
      </c>
      <c r="EHR337" s="42" t="s">
        <v>606</v>
      </c>
      <c r="EHS337" s="42" t="s">
        <v>606</v>
      </c>
      <c r="EHT337" s="42" t="s">
        <v>606</v>
      </c>
      <c r="EHU337" s="42" t="s">
        <v>606</v>
      </c>
      <c r="EHV337" s="42" t="s">
        <v>606</v>
      </c>
      <c r="EHW337" s="42" t="s">
        <v>606</v>
      </c>
      <c r="EHX337" s="42" t="s">
        <v>606</v>
      </c>
      <c r="EHY337" s="42" t="s">
        <v>606</v>
      </c>
      <c r="EHZ337" s="42" t="s">
        <v>606</v>
      </c>
      <c r="EIA337" s="42" t="s">
        <v>606</v>
      </c>
      <c r="EIB337" s="42" t="s">
        <v>606</v>
      </c>
      <c r="EIC337" s="42" t="s">
        <v>606</v>
      </c>
      <c r="EID337" s="42" t="s">
        <v>606</v>
      </c>
      <c r="EIE337" s="42" t="s">
        <v>606</v>
      </c>
      <c r="EIF337" s="42" t="s">
        <v>606</v>
      </c>
      <c r="EIG337" s="42" t="s">
        <v>606</v>
      </c>
      <c r="EIH337" s="42" t="s">
        <v>606</v>
      </c>
      <c r="EII337" s="42" t="s">
        <v>606</v>
      </c>
      <c r="EIJ337" s="42" t="s">
        <v>606</v>
      </c>
      <c r="EIK337" s="42" t="s">
        <v>606</v>
      </c>
      <c r="EIL337" s="42" t="s">
        <v>606</v>
      </c>
      <c r="EIM337" s="42" t="s">
        <v>606</v>
      </c>
      <c r="EIN337" s="42" t="s">
        <v>606</v>
      </c>
      <c r="EIO337" s="42" t="s">
        <v>606</v>
      </c>
      <c r="EIP337" s="42" t="s">
        <v>606</v>
      </c>
      <c r="EIQ337" s="42" t="s">
        <v>606</v>
      </c>
      <c r="EIR337" s="42" t="s">
        <v>606</v>
      </c>
      <c r="EIS337" s="42" t="s">
        <v>606</v>
      </c>
      <c r="EIT337" s="42" t="s">
        <v>606</v>
      </c>
      <c r="EIU337" s="42" t="s">
        <v>606</v>
      </c>
      <c r="EIV337" s="42" t="s">
        <v>606</v>
      </c>
      <c r="EIW337" s="42" t="s">
        <v>606</v>
      </c>
      <c r="EIX337" s="42" t="s">
        <v>606</v>
      </c>
      <c r="EIY337" s="42" t="s">
        <v>606</v>
      </c>
      <c r="EIZ337" s="42" t="s">
        <v>606</v>
      </c>
      <c r="EJA337" s="42" t="s">
        <v>606</v>
      </c>
      <c r="EJB337" s="42" t="s">
        <v>606</v>
      </c>
      <c r="EJC337" s="42" t="s">
        <v>606</v>
      </c>
      <c r="EJD337" s="42" t="s">
        <v>606</v>
      </c>
      <c r="EJE337" s="42" t="s">
        <v>606</v>
      </c>
      <c r="EJF337" s="42" t="s">
        <v>606</v>
      </c>
      <c r="EJG337" s="42" t="s">
        <v>606</v>
      </c>
      <c r="EJH337" s="42" t="s">
        <v>606</v>
      </c>
      <c r="EJI337" s="42" t="s">
        <v>606</v>
      </c>
      <c r="EJJ337" s="42" t="s">
        <v>606</v>
      </c>
      <c r="EJK337" s="42" t="s">
        <v>606</v>
      </c>
      <c r="EJL337" s="42" t="s">
        <v>606</v>
      </c>
      <c r="EJM337" s="42" t="s">
        <v>606</v>
      </c>
      <c r="EJN337" s="42" t="s">
        <v>606</v>
      </c>
      <c r="EJO337" s="42" t="s">
        <v>606</v>
      </c>
      <c r="EJP337" s="42" t="s">
        <v>606</v>
      </c>
      <c r="EJQ337" s="42" t="s">
        <v>606</v>
      </c>
      <c r="EJR337" s="42" t="s">
        <v>606</v>
      </c>
      <c r="EJS337" s="42" t="s">
        <v>606</v>
      </c>
      <c r="EJT337" s="42" t="s">
        <v>606</v>
      </c>
      <c r="EJU337" s="42" t="s">
        <v>606</v>
      </c>
      <c r="EJV337" s="42" t="s">
        <v>606</v>
      </c>
      <c r="EJW337" s="42" t="s">
        <v>606</v>
      </c>
      <c r="EJX337" s="42" t="s">
        <v>606</v>
      </c>
      <c r="EJY337" s="42" t="s">
        <v>606</v>
      </c>
      <c r="EJZ337" s="42" t="s">
        <v>606</v>
      </c>
      <c r="EKA337" s="42" t="s">
        <v>606</v>
      </c>
      <c r="EKB337" s="42" t="s">
        <v>606</v>
      </c>
      <c r="EKC337" s="42" t="s">
        <v>606</v>
      </c>
      <c r="EKD337" s="42" t="s">
        <v>606</v>
      </c>
      <c r="EKE337" s="42" t="s">
        <v>606</v>
      </c>
      <c r="EKF337" s="42" t="s">
        <v>606</v>
      </c>
      <c r="EKG337" s="42" t="s">
        <v>606</v>
      </c>
      <c r="EKH337" s="42" t="s">
        <v>606</v>
      </c>
      <c r="EKI337" s="42" t="s">
        <v>606</v>
      </c>
      <c r="EKJ337" s="42" t="s">
        <v>606</v>
      </c>
      <c r="EKK337" s="42" t="s">
        <v>606</v>
      </c>
      <c r="EKL337" s="42" t="s">
        <v>606</v>
      </c>
      <c r="EKM337" s="42" t="s">
        <v>606</v>
      </c>
      <c r="EKN337" s="42" t="s">
        <v>606</v>
      </c>
      <c r="EKO337" s="42" t="s">
        <v>606</v>
      </c>
      <c r="EKP337" s="42" t="s">
        <v>606</v>
      </c>
      <c r="EKQ337" s="42" t="s">
        <v>606</v>
      </c>
      <c r="EKR337" s="42" t="s">
        <v>606</v>
      </c>
      <c r="EKS337" s="42" t="s">
        <v>606</v>
      </c>
      <c r="EKT337" s="42" t="s">
        <v>606</v>
      </c>
      <c r="EKU337" s="42" t="s">
        <v>606</v>
      </c>
      <c r="EKV337" s="42" t="s">
        <v>606</v>
      </c>
      <c r="EKW337" s="42" t="s">
        <v>606</v>
      </c>
      <c r="EKX337" s="42" t="s">
        <v>606</v>
      </c>
      <c r="EKY337" s="42" t="s">
        <v>606</v>
      </c>
      <c r="EKZ337" s="42" t="s">
        <v>606</v>
      </c>
      <c r="ELA337" s="42" t="s">
        <v>606</v>
      </c>
      <c r="ELB337" s="42" t="s">
        <v>606</v>
      </c>
      <c r="ELC337" s="42" t="s">
        <v>606</v>
      </c>
      <c r="ELD337" s="42" t="s">
        <v>606</v>
      </c>
      <c r="ELE337" s="42" t="s">
        <v>606</v>
      </c>
      <c r="ELF337" s="42" t="s">
        <v>606</v>
      </c>
      <c r="ELG337" s="42" t="s">
        <v>606</v>
      </c>
      <c r="ELH337" s="42" t="s">
        <v>606</v>
      </c>
      <c r="ELI337" s="42" t="s">
        <v>606</v>
      </c>
      <c r="ELJ337" s="42" t="s">
        <v>606</v>
      </c>
      <c r="ELK337" s="42" t="s">
        <v>606</v>
      </c>
      <c r="ELL337" s="42" t="s">
        <v>606</v>
      </c>
      <c r="ELM337" s="42" t="s">
        <v>606</v>
      </c>
      <c r="ELN337" s="42" t="s">
        <v>606</v>
      </c>
      <c r="ELO337" s="42" t="s">
        <v>606</v>
      </c>
      <c r="ELP337" s="42" t="s">
        <v>606</v>
      </c>
      <c r="ELQ337" s="42" t="s">
        <v>606</v>
      </c>
      <c r="ELR337" s="42" t="s">
        <v>606</v>
      </c>
      <c r="ELS337" s="42" t="s">
        <v>606</v>
      </c>
      <c r="ELT337" s="42" t="s">
        <v>606</v>
      </c>
      <c r="ELU337" s="42" t="s">
        <v>606</v>
      </c>
      <c r="ELV337" s="42" t="s">
        <v>606</v>
      </c>
      <c r="ELW337" s="42" t="s">
        <v>606</v>
      </c>
      <c r="ELX337" s="42" t="s">
        <v>606</v>
      </c>
      <c r="ELY337" s="42" t="s">
        <v>606</v>
      </c>
      <c r="ELZ337" s="42" t="s">
        <v>606</v>
      </c>
      <c r="EMA337" s="42" t="s">
        <v>606</v>
      </c>
      <c r="EMB337" s="42" t="s">
        <v>606</v>
      </c>
      <c r="EMC337" s="42" t="s">
        <v>606</v>
      </c>
      <c r="EMD337" s="42" t="s">
        <v>606</v>
      </c>
      <c r="EME337" s="42" t="s">
        <v>606</v>
      </c>
      <c r="EMF337" s="42" t="s">
        <v>606</v>
      </c>
      <c r="EMG337" s="42" t="s">
        <v>606</v>
      </c>
      <c r="EMH337" s="42" t="s">
        <v>606</v>
      </c>
      <c r="EMI337" s="42" t="s">
        <v>606</v>
      </c>
      <c r="EMJ337" s="42" t="s">
        <v>606</v>
      </c>
      <c r="EMK337" s="42" t="s">
        <v>606</v>
      </c>
      <c r="EML337" s="42" t="s">
        <v>606</v>
      </c>
      <c r="EMM337" s="42" t="s">
        <v>606</v>
      </c>
      <c r="EMN337" s="42" t="s">
        <v>606</v>
      </c>
      <c r="EMO337" s="42" t="s">
        <v>606</v>
      </c>
      <c r="EMP337" s="42" t="s">
        <v>606</v>
      </c>
      <c r="EMQ337" s="42" t="s">
        <v>606</v>
      </c>
      <c r="EMR337" s="42" t="s">
        <v>606</v>
      </c>
      <c r="EMS337" s="42" t="s">
        <v>606</v>
      </c>
      <c r="EMT337" s="42" t="s">
        <v>606</v>
      </c>
      <c r="EMU337" s="42" t="s">
        <v>606</v>
      </c>
      <c r="EMV337" s="42" t="s">
        <v>606</v>
      </c>
      <c r="EMW337" s="42" t="s">
        <v>606</v>
      </c>
      <c r="EMX337" s="42" t="s">
        <v>606</v>
      </c>
      <c r="EMY337" s="42" t="s">
        <v>606</v>
      </c>
      <c r="EMZ337" s="42" t="s">
        <v>606</v>
      </c>
      <c r="ENA337" s="42" t="s">
        <v>606</v>
      </c>
      <c r="ENB337" s="42" t="s">
        <v>606</v>
      </c>
      <c r="ENC337" s="42" t="s">
        <v>606</v>
      </c>
      <c r="END337" s="42" t="s">
        <v>606</v>
      </c>
      <c r="ENE337" s="42" t="s">
        <v>606</v>
      </c>
      <c r="ENF337" s="42" t="s">
        <v>606</v>
      </c>
      <c r="ENG337" s="42" t="s">
        <v>606</v>
      </c>
      <c r="ENH337" s="42" t="s">
        <v>606</v>
      </c>
      <c r="ENI337" s="42" t="s">
        <v>606</v>
      </c>
      <c r="ENJ337" s="42" t="s">
        <v>606</v>
      </c>
      <c r="ENK337" s="42" t="s">
        <v>606</v>
      </c>
      <c r="ENL337" s="42" t="s">
        <v>606</v>
      </c>
      <c r="ENM337" s="42" t="s">
        <v>606</v>
      </c>
      <c r="ENN337" s="42" t="s">
        <v>606</v>
      </c>
      <c r="ENO337" s="42" t="s">
        <v>606</v>
      </c>
      <c r="ENP337" s="42" t="s">
        <v>606</v>
      </c>
      <c r="ENQ337" s="42" t="s">
        <v>606</v>
      </c>
      <c r="ENR337" s="42" t="s">
        <v>606</v>
      </c>
      <c r="ENS337" s="42" t="s">
        <v>606</v>
      </c>
      <c r="ENT337" s="42" t="s">
        <v>606</v>
      </c>
      <c r="ENU337" s="42" t="s">
        <v>606</v>
      </c>
      <c r="ENV337" s="42" t="s">
        <v>606</v>
      </c>
      <c r="ENW337" s="42" t="s">
        <v>606</v>
      </c>
      <c r="ENX337" s="42" t="s">
        <v>606</v>
      </c>
      <c r="ENY337" s="42" t="s">
        <v>606</v>
      </c>
      <c r="ENZ337" s="42" t="s">
        <v>606</v>
      </c>
      <c r="EOA337" s="42" t="s">
        <v>606</v>
      </c>
      <c r="EOB337" s="42" t="s">
        <v>606</v>
      </c>
      <c r="EOC337" s="42" t="s">
        <v>606</v>
      </c>
      <c r="EOD337" s="42" t="s">
        <v>606</v>
      </c>
      <c r="EOE337" s="42" t="s">
        <v>606</v>
      </c>
      <c r="EOF337" s="42" t="s">
        <v>606</v>
      </c>
      <c r="EOG337" s="42" t="s">
        <v>606</v>
      </c>
      <c r="EOH337" s="42" t="s">
        <v>606</v>
      </c>
      <c r="EOI337" s="42" t="s">
        <v>606</v>
      </c>
      <c r="EOJ337" s="42" t="s">
        <v>606</v>
      </c>
      <c r="EOK337" s="42" t="s">
        <v>606</v>
      </c>
      <c r="EOL337" s="42" t="s">
        <v>606</v>
      </c>
      <c r="EOM337" s="42" t="s">
        <v>606</v>
      </c>
      <c r="EON337" s="42" t="s">
        <v>606</v>
      </c>
      <c r="EOO337" s="42" t="s">
        <v>606</v>
      </c>
      <c r="EOP337" s="42" t="s">
        <v>606</v>
      </c>
      <c r="EOQ337" s="42" t="s">
        <v>606</v>
      </c>
      <c r="EOR337" s="42" t="s">
        <v>606</v>
      </c>
      <c r="EOS337" s="42" t="s">
        <v>606</v>
      </c>
      <c r="EOT337" s="42" t="s">
        <v>606</v>
      </c>
      <c r="EOU337" s="42" t="s">
        <v>606</v>
      </c>
      <c r="EOV337" s="42" t="s">
        <v>606</v>
      </c>
      <c r="EOW337" s="42" t="s">
        <v>606</v>
      </c>
      <c r="EOX337" s="42" t="s">
        <v>606</v>
      </c>
      <c r="EOY337" s="42" t="s">
        <v>606</v>
      </c>
      <c r="EOZ337" s="42" t="s">
        <v>606</v>
      </c>
      <c r="EPA337" s="42" t="s">
        <v>606</v>
      </c>
      <c r="EPB337" s="42" t="s">
        <v>606</v>
      </c>
      <c r="EPC337" s="42" t="s">
        <v>606</v>
      </c>
      <c r="EPD337" s="42" t="s">
        <v>606</v>
      </c>
      <c r="EPE337" s="42" t="s">
        <v>606</v>
      </c>
      <c r="EPF337" s="42" t="s">
        <v>606</v>
      </c>
      <c r="EPG337" s="42" t="s">
        <v>606</v>
      </c>
      <c r="EPH337" s="42" t="s">
        <v>606</v>
      </c>
      <c r="EPI337" s="42" t="s">
        <v>606</v>
      </c>
      <c r="EPJ337" s="42" t="s">
        <v>606</v>
      </c>
      <c r="EPK337" s="42" t="s">
        <v>606</v>
      </c>
      <c r="EPL337" s="42" t="s">
        <v>606</v>
      </c>
      <c r="EPM337" s="42" t="s">
        <v>606</v>
      </c>
      <c r="EPN337" s="42" t="s">
        <v>606</v>
      </c>
      <c r="EPO337" s="42" t="s">
        <v>606</v>
      </c>
      <c r="EPP337" s="42" t="s">
        <v>606</v>
      </c>
      <c r="EPQ337" s="42" t="s">
        <v>606</v>
      </c>
      <c r="EPR337" s="42" t="s">
        <v>606</v>
      </c>
      <c r="EPS337" s="42" t="s">
        <v>606</v>
      </c>
      <c r="EPT337" s="42" t="s">
        <v>606</v>
      </c>
      <c r="EPU337" s="42" t="s">
        <v>606</v>
      </c>
      <c r="EPV337" s="42" t="s">
        <v>606</v>
      </c>
      <c r="EPW337" s="42" t="s">
        <v>606</v>
      </c>
      <c r="EPX337" s="42" t="s">
        <v>606</v>
      </c>
      <c r="EPY337" s="42" t="s">
        <v>606</v>
      </c>
      <c r="EPZ337" s="42" t="s">
        <v>606</v>
      </c>
      <c r="EQA337" s="42" t="s">
        <v>606</v>
      </c>
      <c r="EQB337" s="42" t="s">
        <v>606</v>
      </c>
      <c r="EQC337" s="42" t="s">
        <v>606</v>
      </c>
      <c r="EQD337" s="42" t="s">
        <v>606</v>
      </c>
      <c r="EQE337" s="42" t="s">
        <v>606</v>
      </c>
      <c r="EQF337" s="42" t="s">
        <v>606</v>
      </c>
      <c r="EQG337" s="42" t="s">
        <v>606</v>
      </c>
      <c r="EQH337" s="42" t="s">
        <v>606</v>
      </c>
      <c r="EQI337" s="42" t="s">
        <v>606</v>
      </c>
      <c r="EQJ337" s="42" t="s">
        <v>606</v>
      </c>
      <c r="EQK337" s="42" t="s">
        <v>606</v>
      </c>
      <c r="EQL337" s="42" t="s">
        <v>606</v>
      </c>
      <c r="EQM337" s="42" t="s">
        <v>606</v>
      </c>
      <c r="EQN337" s="42" t="s">
        <v>606</v>
      </c>
      <c r="EQO337" s="42" t="s">
        <v>606</v>
      </c>
      <c r="EQP337" s="42" t="s">
        <v>606</v>
      </c>
      <c r="EQQ337" s="42" t="s">
        <v>606</v>
      </c>
      <c r="EQR337" s="42" t="s">
        <v>606</v>
      </c>
      <c r="EQS337" s="42" t="s">
        <v>606</v>
      </c>
      <c r="EQT337" s="42" t="s">
        <v>606</v>
      </c>
      <c r="EQU337" s="42" t="s">
        <v>606</v>
      </c>
      <c r="EQV337" s="42" t="s">
        <v>606</v>
      </c>
      <c r="EQW337" s="42" t="s">
        <v>606</v>
      </c>
      <c r="EQX337" s="42" t="s">
        <v>606</v>
      </c>
      <c r="EQY337" s="42" t="s">
        <v>606</v>
      </c>
      <c r="EQZ337" s="42" t="s">
        <v>606</v>
      </c>
      <c r="ERA337" s="42" t="s">
        <v>606</v>
      </c>
      <c r="ERB337" s="42" t="s">
        <v>606</v>
      </c>
      <c r="ERC337" s="42" t="s">
        <v>606</v>
      </c>
      <c r="ERD337" s="42" t="s">
        <v>606</v>
      </c>
      <c r="ERE337" s="42" t="s">
        <v>606</v>
      </c>
      <c r="ERF337" s="42" t="s">
        <v>606</v>
      </c>
      <c r="ERG337" s="42" t="s">
        <v>606</v>
      </c>
      <c r="ERH337" s="42" t="s">
        <v>606</v>
      </c>
      <c r="ERI337" s="42" t="s">
        <v>606</v>
      </c>
      <c r="ERJ337" s="42" t="s">
        <v>606</v>
      </c>
      <c r="ERK337" s="42" t="s">
        <v>606</v>
      </c>
      <c r="ERL337" s="42" t="s">
        <v>606</v>
      </c>
      <c r="ERM337" s="42" t="s">
        <v>606</v>
      </c>
      <c r="ERN337" s="42" t="s">
        <v>606</v>
      </c>
      <c r="ERO337" s="42" t="s">
        <v>606</v>
      </c>
      <c r="ERP337" s="42" t="s">
        <v>606</v>
      </c>
      <c r="ERQ337" s="42" t="s">
        <v>606</v>
      </c>
      <c r="ERR337" s="42" t="s">
        <v>606</v>
      </c>
      <c r="ERS337" s="42" t="s">
        <v>606</v>
      </c>
      <c r="ERT337" s="42" t="s">
        <v>606</v>
      </c>
      <c r="ERU337" s="42" t="s">
        <v>606</v>
      </c>
      <c r="ERV337" s="42" t="s">
        <v>606</v>
      </c>
      <c r="ERW337" s="42" t="s">
        <v>606</v>
      </c>
      <c r="ERX337" s="42" t="s">
        <v>606</v>
      </c>
      <c r="ERY337" s="42" t="s">
        <v>606</v>
      </c>
      <c r="ERZ337" s="42" t="s">
        <v>606</v>
      </c>
      <c r="ESA337" s="42" t="s">
        <v>606</v>
      </c>
      <c r="ESB337" s="42" t="s">
        <v>606</v>
      </c>
      <c r="ESC337" s="42" t="s">
        <v>606</v>
      </c>
      <c r="ESD337" s="42" t="s">
        <v>606</v>
      </c>
      <c r="ESE337" s="42" t="s">
        <v>606</v>
      </c>
      <c r="ESF337" s="42" t="s">
        <v>606</v>
      </c>
      <c r="ESG337" s="42" t="s">
        <v>606</v>
      </c>
      <c r="ESH337" s="42" t="s">
        <v>606</v>
      </c>
      <c r="ESI337" s="42" t="s">
        <v>606</v>
      </c>
      <c r="ESJ337" s="42" t="s">
        <v>606</v>
      </c>
      <c r="ESK337" s="42" t="s">
        <v>606</v>
      </c>
      <c r="ESL337" s="42" t="s">
        <v>606</v>
      </c>
      <c r="ESM337" s="42" t="s">
        <v>606</v>
      </c>
      <c r="ESN337" s="42" t="s">
        <v>606</v>
      </c>
      <c r="ESO337" s="42" t="s">
        <v>606</v>
      </c>
      <c r="ESP337" s="42" t="s">
        <v>606</v>
      </c>
      <c r="ESQ337" s="42" t="s">
        <v>606</v>
      </c>
      <c r="ESR337" s="42" t="s">
        <v>606</v>
      </c>
      <c r="ESS337" s="42" t="s">
        <v>606</v>
      </c>
      <c r="EST337" s="42" t="s">
        <v>606</v>
      </c>
      <c r="ESU337" s="42" t="s">
        <v>606</v>
      </c>
      <c r="ESV337" s="42" t="s">
        <v>606</v>
      </c>
      <c r="ESW337" s="42" t="s">
        <v>606</v>
      </c>
      <c r="ESX337" s="42" t="s">
        <v>606</v>
      </c>
      <c r="ESY337" s="42" t="s">
        <v>606</v>
      </c>
      <c r="ESZ337" s="42" t="s">
        <v>606</v>
      </c>
      <c r="ETA337" s="42" t="s">
        <v>606</v>
      </c>
      <c r="ETB337" s="42" t="s">
        <v>606</v>
      </c>
      <c r="ETC337" s="42" t="s">
        <v>606</v>
      </c>
      <c r="ETD337" s="42" t="s">
        <v>606</v>
      </c>
      <c r="ETE337" s="42" t="s">
        <v>606</v>
      </c>
      <c r="ETF337" s="42" t="s">
        <v>606</v>
      </c>
      <c r="ETG337" s="42" t="s">
        <v>606</v>
      </c>
      <c r="ETH337" s="42" t="s">
        <v>606</v>
      </c>
      <c r="ETI337" s="42" t="s">
        <v>606</v>
      </c>
      <c r="ETJ337" s="42" t="s">
        <v>606</v>
      </c>
      <c r="ETK337" s="42" t="s">
        <v>606</v>
      </c>
      <c r="ETL337" s="42" t="s">
        <v>606</v>
      </c>
      <c r="ETM337" s="42" t="s">
        <v>606</v>
      </c>
      <c r="ETN337" s="42" t="s">
        <v>606</v>
      </c>
      <c r="ETO337" s="42" t="s">
        <v>606</v>
      </c>
      <c r="ETP337" s="42" t="s">
        <v>606</v>
      </c>
      <c r="ETQ337" s="42" t="s">
        <v>606</v>
      </c>
      <c r="ETR337" s="42" t="s">
        <v>606</v>
      </c>
      <c r="ETS337" s="42" t="s">
        <v>606</v>
      </c>
      <c r="ETT337" s="42" t="s">
        <v>606</v>
      </c>
      <c r="ETU337" s="42" t="s">
        <v>606</v>
      </c>
      <c r="ETV337" s="42" t="s">
        <v>606</v>
      </c>
      <c r="ETW337" s="42" t="s">
        <v>606</v>
      </c>
      <c r="ETX337" s="42" t="s">
        <v>606</v>
      </c>
      <c r="ETY337" s="42" t="s">
        <v>606</v>
      </c>
      <c r="ETZ337" s="42" t="s">
        <v>606</v>
      </c>
      <c r="EUA337" s="42" t="s">
        <v>606</v>
      </c>
      <c r="EUB337" s="42" t="s">
        <v>606</v>
      </c>
      <c r="EUC337" s="42" t="s">
        <v>606</v>
      </c>
      <c r="EUD337" s="42" t="s">
        <v>606</v>
      </c>
      <c r="EUE337" s="42" t="s">
        <v>606</v>
      </c>
      <c r="EUF337" s="42" t="s">
        <v>606</v>
      </c>
      <c r="EUG337" s="42" t="s">
        <v>606</v>
      </c>
      <c r="EUH337" s="42" t="s">
        <v>606</v>
      </c>
      <c r="EUI337" s="42" t="s">
        <v>606</v>
      </c>
      <c r="EUJ337" s="42" t="s">
        <v>606</v>
      </c>
      <c r="EUK337" s="42" t="s">
        <v>606</v>
      </c>
      <c r="EUL337" s="42" t="s">
        <v>606</v>
      </c>
      <c r="EUM337" s="42" t="s">
        <v>606</v>
      </c>
      <c r="EUN337" s="42" t="s">
        <v>606</v>
      </c>
      <c r="EUO337" s="42" t="s">
        <v>606</v>
      </c>
      <c r="EUP337" s="42" t="s">
        <v>606</v>
      </c>
      <c r="EUQ337" s="42" t="s">
        <v>606</v>
      </c>
      <c r="EUR337" s="42" t="s">
        <v>606</v>
      </c>
      <c r="EUS337" s="42" t="s">
        <v>606</v>
      </c>
      <c r="EUT337" s="42" t="s">
        <v>606</v>
      </c>
      <c r="EUU337" s="42" t="s">
        <v>606</v>
      </c>
      <c r="EUV337" s="42" t="s">
        <v>606</v>
      </c>
      <c r="EUW337" s="42" t="s">
        <v>606</v>
      </c>
      <c r="EUX337" s="42" t="s">
        <v>606</v>
      </c>
      <c r="EUY337" s="42" t="s">
        <v>606</v>
      </c>
      <c r="EUZ337" s="42" t="s">
        <v>606</v>
      </c>
      <c r="EVA337" s="42" t="s">
        <v>606</v>
      </c>
      <c r="EVB337" s="42" t="s">
        <v>606</v>
      </c>
      <c r="EVC337" s="42" t="s">
        <v>606</v>
      </c>
      <c r="EVD337" s="42" t="s">
        <v>606</v>
      </c>
      <c r="EVE337" s="42" t="s">
        <v>606</v>
      </c>
      <c r="EVF337" s="42" t="s">
        <v>606</v>
      </c>
      <c r="EVG337" s="42" t="s">
        <v>606</v>
      </c>
      <c r="EVH337" s="42" t="s">
        <v>606</v>
      </c>
      <c r="EVI337" s="42" t="s">
        <v>606</v>
      </c>
      <c r="EVJ337" s="42" t="s">
        <v>606</v>
      </c>
      <c r="EVK337" s="42" t="s">
        <v>606</v>
      </c>
      <c r="EVL337" s="42" t="s">
        <v>606</v>
      </c>
      <c r="EVM337" s="42" t="s">
        <v>606</v>
      </c>
      <c r="EVN337" s="42" t="s">
        <v>606</v>
      </c>
      <c r="EVO337" s="42" t="s">
        <v>606</v>
      </c>
      <c r="EVP337" s="42" t="s">
        <v>606</v>
      </c>
      <c r="EVQ337" s="42" t="s">
        <v>606</v>
      </c>
      <c r="EVR337" s="42" t="s">
        <v>606</v>
      </c>
      <c r="EVS337" s="42" t="s">
        <v>606</v>
      </c>
      <c r="EVT337" s="42" t="s">
        <v>606</v>
      </c>
      <c r="EVU337" s="42" t="s">
        <v>606</v>
      </c>
      <c r="EVV337" s="42" t="s">
        <v>606</v>
      </c>
      <c r="EVW337" s="42" t="s">
        <v>606</v>
      </c>
      <c r="EVX337" s="42" t="s">
        <v>606</v>
      </c>
      <c r="EVY337" s="42" t="s">
        <v>606</v>
      </c>
      <c r="EVZ337" s="42" t="s">
        <v>606</v>
      </c>
      <c r="EWA337" s="42" t="s">
        <v>606</v>
      </c>
      <c r="EWB337" s="42" t="s">
        <v>606</v>
      </c>
      <c r="EWC337" s="42" t="s">
        <v>606</v>
      </c>
      <c r="EWD337" s="42" t="s">
        <v>606</v>
      </c>
      <c r="EWE337" s="42" t="s">
        <v>606</v>
      </c>
      <c r="EWF337" s="42" t="s">
        <v>606</v>
      </c>
      <c r="EWG337" s="42" t="s">
        <v>606</v>
      </c>
      <c r="EWH337" s="42" t="s">
        <v>606</v>
      </c>
      <c r="EWI337" s="42" t="s">
        <v>606</v>
      </c>
      <c r="EWJ337" s="42" t="s">
        <v>606</v>
      </c>
      <c r="EWK337" s="42" t="s">
        <v>606</v>
      </c>
      <c r="EWL337" s="42" t="s">
        <v>606</v>
      </c>
      <c r="EWM337" s="42" t="s">
        <v>606</v>
      </c>
      <c r="EWN337" s="42" t="s">
        <v>606</v>
      </c>
      <c r="EWO337" s="42" t="s">
        <v>606</v>
      </c>
      <c r="EWP337" s="42" t="s">
        <v>606</v>
      </c>
      <c r="EWQ337" s="42" t="s">
        <v>606</v>
      </c>
      <c r="EWR337" s="42" t="s">
        <v>606</v>
      </c>
      <c r="EWS337" s="42" t="s">
        <v>606</v>
      </c>
      <c r="EWT337" s="42" t="s">
        <v>606</v>
      </c>
      <c r="EWU337" s="42" t="s">
        <v>606</v>
      </c>
      <c r="EWV337" s="42" t="s">
        <v>606</v>
      </c>
      <c r="EWW337" s="42" t="s">
        <v>606</v>
      </c>
      <c r="EWX337" s="42" t="s">
        <v>606</v>
      </c>
      <c r="EWY337" s="42" t="s">
        <v>606</v>
      </c>
      <c r="EWZ337" s="42" t="s">
        <v>606</v>
      </c>
      <c r="EXA337" s="42" t="s">
        <v>606</v>
      </c>
      <c r="EXB337" s="42" t="s">
        <v>606</v>
      </c>
      <c r="EXC337" s="42" t="s">
        <v>606</v>
      </c>
      <c r="EXD337" s="42" t="s">
        <v>606</v>
      </c>
      <c r="EXE337" s="42" t="s">
        <v>606</v>
      </c>
      <c r="EXF337" s="42" t="s">
        <v>606</v>
      </c>
      <c r="EXG337" s="42" t="s">
        <v>606</v>
      </c>
      <c r="EXH337" s="42" t="s">
        <v>606</v>
      </c>
      <c r="EXI337" s="42" t="s">
        <v>606</v>
      </c>
      <c r="EXJ337" s="42" t="s">
        <v>606</v>
      </c>
      <c r="EXK337" s="42" t="s">
        <v>606</v>
      </c>
      <c r="EXL337" s="42" t="s">
        <v>606</v>
      </c>
      <c r="EXM337" s="42" t="s">
        <v>606</v>
      </c>
      <c r="EXN337" s="42" t="s">
        <v>606</v>
      </c>
      <c r="EXO337" s="42" t="s">
        <v>606</v>
      </c>
      <c r="EXP337" s="42" t="s">
        <v>606</v>
      </c>
      <c r="EXQ337" s="42" t="s">
        <v>606</v>
      </c>
      <c r="EXR337" s="42" t="s">
        <v>606</v>
      </c>
      <c r="EXS337" s="42" t="s">
        <v>606</v>
      </c>
      <c r="EXT337" s="42" t="s">
        <v>606</v>
      </c>
      <c r="EXU337" s="42" t="s">
        <v>606</v>
      </c>
      <c r="EXV337" s="42" t="s">
        <v>606</v>
      </c>
      <c r="EXW337" s="42" t="s">
        <v>606</v>
      </c>
      <c r="EXX337" s="42" t="s">
        <v>606</v>
      </c>
      <c r="EXY337" s="42" t="s">
        <v>606</v>
      </c>
      <c r="EXZ337" s="42" t="s">
        <v>606</v>
      </c>
      <c r="EYA337" s="42" t="s">
        <v>606</v>
      </c>
      <c r="EYB337" s="42" t="s">
        <v>606</v>
      </c>
      <c r="EYC337" s="42" t="s">
        <v>606</v>
      </c>
      <c r="EYD337" s="42" t="s">
        <v>606</v>
      </c>
      <c r="EYE337" s="42" t="s">
        <v>606</v>
      </c>
      <c r="EYF337" s="42" t="s">
        <v>606</v>
      </c>
      <c r="EYG337" s="42" t="s">
        <v>606</v>
      </c>
      <c r="EYH337" s="42" t="s">
        <v>606</v>
      </c>
      <c r="EYI337" s="42" t="s">
        <v>606</v>
      </c>
      <c r="EYJ337" s="42" t="s">
        <v>606</v>
      </c>
      <c r="EYK337" s="42" t="s">
        <v>606</v>
      </c>
      <c r="EYL337" s="42" t="s">
        <v>606</v>
      </c>
      <c r="EYM337" s="42" t="s">
        <v>606</v>
      </c>
      <c r="EYN337" s="42" t="s">
        <v>606</v>
      </c>
      <c r="EYO337" s="42" t="s">
        <v>606</v>
      </c>
      <c r="EYP337" s="42" t="s">
        <v>606</v>
      </c>
      <c r="EYQ337" s="42" t="s">
        <v>606</v>
      </c>
      <c r="EYR337" s="42" t="s">
        <v>606</v>
      </c>
      <c r="EYS337" s="42" t="s">
        <v>606</v>
      </c>
      <c r="EYT337" s="42" t="s">
        <v>606</v>
      </c>
      <c r="EYU337" s="42" t="s">
        <v>606</v>
      </c>
      <c r="EYV337" s="42" t="s">
        <v>606</v>
      </c>
      <c r="EYW337" s="42" t="s">
        <v>606</v>
      </c>
      <c r="EYX337" s="42" t="s">
        <v>606</v>
      </c>
      <c r="EYY337" s="42" t="s">
        <v>606</v>
      </c>
      <c r="EYZ337" s="42" t="s">
        <v>606</v>
      </c>
      <c r="EZA337" s="42" t="s">
        <v>606</v>
      </c>
      <c r="EZB337" s="42" t="s">
        <v>606</v>
      </c>
      <c r="EZC337" s="42" t="s">
        <v>606</v>
      </c>
      <c r="EZD337" s="42" t="s">
        <v>606</v>
      </c>
      <c r="EZE337" s="42" t="s">
        <v>606</v>
      </c>
      <c r="EZF337" s="42" t="s">
        <v>606</v>
      </c>
      <c r="EZG337" s="42" t="s">
        <v>606</v>
      </c>
      <c r="EZH337" s="42" t="s">
        <v>606</v>
      </c>
      <c r="EZI337" s="42" t="s">
        <v>606</v>
      </c>
      <c r="EZJ337" s="42" t="s">
        <v>606</v>
      </c>
      <c r="EZK337" s="42" t="s">
        <v>606</v>
      </c>
      <c r="EZL337" s="42" t="s">
        <v>606</v>
      </c>
      <c r="EZM337" s="42" t="s">
        <v>606</v>
      </c>
      <c r="EZN337" s="42" t="s">
        <v>606</v>
      </c>
      <c r="EZO337" s="42" t="s">
        <v>606</v>
      </c>
      <c r="EZP337" s="42" t="s">
        <v>606</v>
      </c>
      <c r="EZQ337" s="42" t="s">
        <v>606</v>
      </c>
      <c r="EZR337" s="42" t="s">
        <v>606</v>
      </c>
      <c r="EZS337" s="42" t="s">
        <v>606</v>
      </c>
      <c r="EZT337" s="42" t="s">
        <v>606</v>
      </c>
      <c r="EZU337" s="42" t="s">
        <v>606</v>
      </c>
      <c r="EZV337" s="42" t="s">
        <v>606</v>
      </c>
      <c r="EZW337" s="42" t="s">
        <v>606</v>
      </c>
      <c r="EZX337" s="42" t="s">
        <v>606</v>
      </c>
      <c r="EZY337" s="42" t="s">
        <v>606</v>
      </c>
      <c r="EZZ337" s="42" t="s">
        <v>606</v>
      </c>
      <c r="FAA337" s="42" t="s">
        <v>606</v>
      </c>
      <c r="FAB337" s="42" t="s">
        <v>606</v>
      </c>
      <c r="FAC337" s="42" t="s">
        <v>606</v>
      </c>
      <c r="FAD337" s="42" t="s">
        <v>606</v>
      </c>
      <c r="FAE337" s="42" t="s">
        <v>606</v>
      </c>
      <c r="FAF337" s="42" t="s">
        <v>606</v>
      </c>
      <c r="FAG337" s="42" t="s">
        <v>606</v>
      </c>
      <c r="FAH337" s="42" t="s">
        <v>606</v>
      </c>
      <c r="FAI337" s="42" t="s">
        <v>606</v>
      </c>
      <c r="FAJ337" s="42" t="s">
        <v>606</v>
      </c>
      <c r="FAK337" s="42" t="s">
        <v>606</v>
      </c>
      <c r="FAL337" s="42" t="s">
        <v>606</v>
      </c>
      <c r="FAM337" s="42" t="s">
        <v>606</v>
      </c>
      <c r="FAN337" s="42" t="s">
        <v>606</v>
      </c>
      <c r="FAO337" s="42" t="s">
        <v>606</v>
      </c>
      <c r="FAP337" s="42" t="s">
        <v>606</v>
      </c>
      <c r="FAQ337" s="42" t="s">
        <v>606</v>
      </c>
      <c r="FAR337" s="42" t="s">
        <v>606</v>
      </c>
      <c r="FAS337" s="42" t="s">
        <v>606</v>
      </c>
      <c r="FAT337" s="42" t="s">
        <v>606</v>
      </c>
      <c r="FAU337" s="42" t="s">
        <v>606</v>
      </c>
      <c r="FAV337" s="42" t="s">
        <v>606</v>
      </c>
      <c r="FAW337" s="42" t="s">
        <v>606</v>
      </c>
      <c r="FAX337" s="42" t="s">
        <v>606</v>
      </c>
      <c r="FAY337" s="42" t="s">
        <v>606</v>
      </c>
      <c r="FAZ337" s="42" t="s">
        <v>606</v>
      </c>
      <c r="FBA337" s="42" t="s">
        <v>606</v>
      </c>
      <c r="FBB337" s="42" t="s">
        <v>606</v>
      </c>
      <c r="FBC337" s="42" t="s">
        <v>606</v>
      </c>
      <c r="FBD337" s="42" t="s">
        <v>606</v>
      </c>
      <c r="FBE337" s="42" t="s">
        <v>606</v>
      </c>
      <c r="FBF337" s="42" t="s">
        <v>606</v>
      </c>
      <c r="FBG337" s="42" t="s">
        <v>606</v>
      </c>
      <c r="FBH337" s="42" t="s">
        <v>606</v>
      </c>
      <c r="FBI337" s="42" t="s">
        <v>606</v>
      </c>
      <c r="FBJ337" s="42" t="s">
        <v>606</v>
      </c>
      <c r="FBK337" s="42" t="s">
        <v>606</v>
      </c>
      <c r="FBL337" s="42" t="s">
        <v>606</v>
      </c>
      <c r="FBM337" s="42" t="s">
        <v>606</v>
      </c>
      <c r="FBN337" s="42" t="s">
        <v>606</v>
      </c>
      <c r="FBO337" s="42" t="s">
        <v>606</v>
      </c>
      <c r="FBP337" s="42" t="s">
        <v>606</v>
      </c>
      <c r="FBQ337" s="42" t="s">
        <v>606</v>
      </c>
      <c r="FBR337" s="42" t="s">
        <v>606</v>
      </c>
      <c r="FBS337" s="42" t="s">
        <v>606</v>
      </c>
      <c r="FBT337" s="42" t="s">
        <v>606</v>
      </c>
      <c r="FBU337" s="42" t="s">
        <v>606</v>
      </c>
      <c r="FBV337" s="42" t="s">
        <v>606</v>
      </c>
      <c r="FBW337" s="42" t="s">
        <v>606</v>
      </c>
      <c r="FBX337" s="42" t="s">
        <v>606</v>
      </c>
      <c r="FBY337" s="42" t="s">
        <v>606</v>
      </c>
      <c r="FBZ337" s="42" t="s">
        <v>606</v>
      </c>
      <c r="FCA337" s="42" t="s">
        <v>606</v>
      </c>
      <c r="FCB337" s="42" t="s">
        <v>606</v>
      </c>
      <c r="FCC337" s="42" t="s">
        <v>606</v>
      </c>
      <c r="FCD337" s="42" t="s">
        <v>606</v>
      </c>
      <c r="FCE337" s="42" t="s">
        <v>606</v>
      </c>
      <c r="FCF337" s="42" t="s">
        <v>606</v>
      </c>
      <c r="FCG337" s="42" t="s">
        <v>606</v>
      </c>
      <c r="FCH337" s="42" t="s">
        <v>606</v>
      </c>
      <c r="FCI337" s="42" t="s">
        <v>606</v>
      </c>
      <c r="FCJ337" s="42" t="s">
        <v>606</v>
      </c>
      <c r="FCK337" s="42" t="s">
        <v>606</v>
      </c>
      <c r="FCL337" s="42" t="s">
        <v>606</v>
      </c>
      <c r="FCM337" s="42" t="s">
        <v>606</v>
      </c>
      <c r="FCN337" s="42" t="s">
        <v>606</v>
      </c>
      <c r="FCO337" s="42" t="s">
        <v>606</v>
      </c>
      <c r="FCP337" s="42" t="s">
        <v>606</v>
      </c>
      <c r="FCQ337" s="42" t="s">
        <v>606</v>
      </c>
      <c r="FCR337" s="42" t="s">
        <v>606</v>
      </c>
      <c r="FCS337" s="42" t="s">
        <v>606</v>
      </c>
      <c r="FCT337" s="42" t="s">
        <v>606</v>
      </c>
      <c r="FCU337" s="42" t="s">
        <v>606</v>
      </c>
      <c r="FCV337" s="42" t="s">
        <v>606</v>
      </c>
      <c r="FCW337" s="42" t="s">
        <v>606</v>
      </c>
      <c r="FCX337" s="42" t="s">
        <v>606</v>
      </c>
      <c r="FCY337" s="42" t="s">
        <v>606</v>
      </c>
      <c r="FCZ337" s="42" t="s">
        <v>606</v>
      </c>
      <c r="FDA337" s="42" t="s">
        <v>606</v>
      </c>
      <c r="FDB337" s="42" t="s">
        <v>606</v>
      </c>
      <c r="FDC337" s="42" t="s">
        <v>606</v>
      </c>
      <c r="FDD337" s="42" t="s">
        <v>606</v>
      </c>
      <c r="FDE337" s="42" t="s">
        <v>606</v>
      </c>
      <c r="FDF337" s="42" t="s">
        <v>606</v>
      </c>
      <c r="FDG337" s="42" t="s">
        <v>606</v>
      </c>
      <c r="FDH337" s="42" t="s">
        <v>606</v>
      </c>
      <c r="FDI337" s="42" t="s">
        <v>606</v>
      </c>
      <c r="FDJ337" s="42" t="s">
        <v>606</v>
      </c>
      <c r="FDK337" s="42" t="s">
        <v>606</v>
      </c>
      <c r="FDL337" s="42" t="s">
        <v>606</v>
      </c>
      <c r="FDM337" s="42" t="s">
        <v>606</v>
      </c>
      <c r="FDN337" s="42" t="s">
        <v>606</v>
      </c>
      <c r="FDO337" s="42" t="s">
        <v>606</v>
      </c>
      <c r="FDP337" s="42" t="s">
        <v>606</v>
      </c>
      <c r="FDQ337" s="42" t="s">
        <v>606</v>
      </c>
      <c r="FDR337" s="42" t="s">
        <v>606</v>
      </c>
      <c r="FDS337" s="42" t="s">
        <v>606</v>
      </c>
      <c r="FDT337" s="42" t="s">
        <v>606</v>
      </c>
      <c r="FDU337" s="42" t="s">
        <v>606</v>
      </c>
      <c r="FDV337" s="42" t="s">
        <v>606</v>
      </c>
      <c r="FDW337" s="42" t="s">
        <v>606</v>
      </c>
      <c r="FDX337" s="42" t="s">
        <v>606</v>
      </c>
      <c r="FDY337" s="42" t="s">
        <v>606</v>
      </c>
      <c r="FDZ337" s="42" t="s">
        <v>606</v>
      </c>
      <c r="FEA337" s="42" t="s">
        <v>606</v>
      </c>
      <c r="FEB337" s="42" t="s">
        <v>606</v>
      </c>
      <c r="FEC337" s="42" t="s">
        <v>606</v>
      </c>
      <c r="FED337" s="42" t="s">
        <v>606</v>
      </c>
      <c r="FEE337" s="42" t="s">
        <v>606</v>
      </c>
      <c r="FEF337" s="42" t="s">
        <v>606</v>
      </c>
      <c r="FEG337" s="42" t="s">
        <v>606</v>
      </c>
      <c r="FEH337" s="42" t="s">
        <v>606</v>
      </c>
      <c r="FEI337" s="42" t="s">
        <v>606</v>
      </c>
      <c r="FEJ337" s="42" t="s">
        <v>606</v>
      </c>
      <c r="FEK337" s="42" t="s">
        <v>606</v>
      </c>
      <c r="FEL337" s="42" t="s">
        <v>606</v>
      </c>
      <c r="FEM337" s="42" t="s">
        <v>606</v>
      </c>
      <c r="FEN337" s="42" t="s">
        <v>606</v>
      </c>
      <c r="FEO337" s="42" t="s">
        <v>606</v>
      </c>
      <c r="FEP337" s="42" t="s">
        <v>606</v>
      </c>
      <c r="FEQ337" s="42" t="s">
        <v>606</v>
      </c>
      <c r="FER337" s="42" t="s">
        <v>606</v>
      </c>
      <c r="FES337" s="42" t="s">
        <v>606</v>
      </c>
      <c r="FET337" s="42" t="s">
        <v>606</v>
      </c>
      <c r="FEU337" s="42" t="s">
        <v>606</v>
      </c>
      <c r="FEV337" s="42" t="s">
        <v>606</v>
      </c>
      <c r="FEW337" s="42" t="s">
        <v>606</v>
      </c>
      <c r="FEX337" s="42" t="s">
        <v>606</v>
      </c>
      <c r="FEY337" s="42" t="s">
        <v>606</v>
      </c>
      <c r="FEZ337" s="42" t="s">
        <v>606</v>
      </c>
      <c r="FFA337" s="42" t="s">
        <v>606</v>
      </c>
      <c r="FFB337" s="42" t="s">
        <v>606</v>
      </c>
      <c r="FFC337" s="42" t="s">
        <v>606</v>
      </c>
      <c r="FFD337" s="42" t="s">
        <v>606</v>
      </c>
      <c r="FFE337" s="42" t="s">
        <v>606</v>
      </c>
      <c r="FFF337" s="42" t="s">
        <v>606</v>
      </c>
      <c r="FFG337" s="42" t="s">
        <v>606</v>
      </c>
      <c r="FFH337" s="42" t="s">
        <v>606</v>
      </c>
      <c r="FFI337" s="42" t="s">
        <v>606</v>
      </c>
      <c r="FFJ337" s="42" t="s">
        <v>606</v>
      </c>
      <c r="FFK337" s="42" t="s">
        <v>606</v>
      </c>
      <c r="FFL337" s="42" t="s">
        <v>606</v>
      </c>
      <c r="FFM337" s="42" t="s">
        <v>606</v>
      </c>
      <c r="FFN337" s="42" t="s">
        <v>606</v>
      </c>
      <c r="FFO337" s="42" t="s">
        <v>606</v>
      </c>
      <c r="FFP337" s="42" t="s">
        <v>606</v>
      </c>
      <c r="FFQ337" s="42" t="s">
        <v>606</v>
      </c>
      <c r="FFR337" s="42" t="s">
        <v>606</v>
      </c>
      <c r="FFS337" s="42" t="s">
        <v>606</v>
      </c>
      <c r="FFT337" s="42" t="s">
        <v>606</v>
      </c>
      <c r="FFU337" s="42" t="s">
        <v>606</v>
      </c>
      <c r="FFV337" s="42" t="s">
        <v>606</v>
      </c>
      <c r="FFW337" s="42" t="s">
        <v>606</v>
      </c>
      <c r="FFX337" s="42" t="s">
        <v>606</v>
      </c>
      <c r="FFY337" s="42" t="s">
        <v>606</v>
      </c>
      <c r="FFZ337" s="42" t="s">
        <v>606</v>
      </c>
      <c r="FGA337" s="42" t="s">
        <v>606</v>
      </c>
      <c r="FGB337" s="42" t="s">
        <v>606</v>
      </c>
      <c r="FGC337" s="42" t="s">
        <v>606</v>
      </c>
      <c r="FGD337" s="42" t="s">
        <v>606</v>
      </c>
      <c r="FGE337" s="42" t="s">
        <v>606</v>
      </c>
      <c r="FGF337" s="42" t="s">
        <v>606</v>
      </c>
      <c r="FGG337" s="42" t="s">
        <v>606</v>
      </c>
      <c r="FGH337" s="42" t="s">
        <v>606</v>
      </c>
      <c r="FGI337" s="42" t="s">
        <v>606</v>
      </c>
      <c r="FGJ337" s="42" t="s">
        <v>606</v>
      </c>
      <c r="FGK337" s="42" t="s">
        <v>606</v>
      </c>
      <c r="FGL337" s="42" t="s">
        <v>606</v>
      </c>
      <c r="FGM337" s="42" t="s">
        <v>606</v>
      </c>
      <c r="FGN337" s="42" t="s">
        <v>606</v>
      </c>
      <c r="FGO337" s="42" t="s">
        <v>606</v>
      </c>
      <c r="FGP337" s="42" t="s">
        <v>606</v>
      </c>
      <c r="FGQ337" s="42" t="s">
        <v>606</v>
      </c>
      <c r="FGR337" s="42" t="s">
        <v>606</v>
      </c>
      <c r="FGS337" s="42" t="s">
        <v>606</v>
      </c>
      <c r="FGT337" s="42" t="s">
        <v>606</v>
      </c>
      <c r="FGU337" s="42" t="s">
        <v>606</v>
      </c>
      <c r="FGV337" s="42" t="s">
        <v>606</v>
      </c>
      <c r="FGW337" s="42" t="s">
        <v>606</v>
      </c>
      <c r="FGX337" s="42" t="s">
        <v>606</v>
      </c>
      <c r="FGY337" s="42" t="s">
        <v>606</v>
      </c>
      <c r="FGZ337" s="42" t="s">
        <v>606</v>
      </c>
      <c r="FHA337" s="42" t="s">
        <v>606</v>
      </c>
      <c r="FHB337" s="42" t="s">
        <v>606</v>
      </c>
      <c r="FHC337" s="42" t="s">
        <v>606</v>
      </c>
      <c r="FHD337" s="42" t="s">
        <v>606</v>
      </c>
      <c r="FHE337" s="42" t="s">
        <v>606</v>
      </c>
      <c r="FHF337" s="42" t="s">
        <v>606</v>
      </c>
      <c r="FHG337" s="42" t="s">
        <v>606</v>
      </c>
      <c r="FHH337" s="42" t="s">
        <v>606</v>
      </c>
      <c r="FHI337" s="42" t="s">
        <v>606</v>
      </c>
      <c r="FHJ337" s="42" t="s">
        <v>606</v>
      </c>
      <c r="FHK337" s="42" t="s">
        <v>606</v>
      </c>
      <c r="FHL337" s="42" t="s">
        <v>606</v>
      </c>
      <c r="FHM337" s="42" t="s">
        <v>606</v>
      </c>
      <c r="FHN337" s="42" t="s">
        <v>606</v>
      </c>
      <c r="FHO337" s="42" t="s">
        <v>606</v>
      </c>
      <c r="FHP337" s="42" t="s">
        <v>606</v>
      </c>
      <c r="FHQ337" s="42" t="s">
        <v>606</v>
      </c>
      <c r="FHR337" s="42" t="s">
        <v>606</v>
      </c>
      <c r="FHS337" s="42" t="s">
        <v>606</v>
      </c>
      <c r="FHT337" s="42" t="s">
        <v>606</v>
      </c>
      <c r="FHU337" s="42" t="s">
        <v>606</v>
      </c>
      <c r="FHV337" s="42" t="s">
        <v>606</v>
      </c>
      <c r="FHW337" s="42" t="s">
        <v>606</v>
      </c>
      <c r="FHX337" s="42" t="s">
        <v>606</v>
      </c>
      <c r="FHY337" s="42" t="s">
        <v>606</v>
      </c>
      <c r="FHZ337" s="42" t="s">
        <v>606</v>
      </c>
      <c r="FIA337" s="42" t="s">
        <v>606</v>
      </c>
      <c r="FIB337" s="42" t="s">
        <v>606</v>
      </c>
      <c r="FIC337" s="42" t="s">
        <v>606</v>
      </c>
      <c r="FID337" s="42" t="s">
        <v>606</v>
      </c>
      <c r="FIE337" s="42" t="s">
        <v>606</v>
      </c>
      <c r="FIF337" s="42" t="s">
        <v>606</v>
      </c>
      <c r="FIG337" s="42" t="s">
        <v>606</v>
      </c>
      <c r="FIH337" s="42" t="s">
        <v>606</v>
      </c>
      <c r="FII337" s="42" t="s">
        <v>606</v>
      </c>
      <c r="FIJ337" s="42" t="s">
        <v>606</v>
      </c>
      <c r="FIK337" s="42" t="s">
        <v>606</v>
      </c>
      <c r="FIL337" s="42" t="s">
        <v>606</v>
      </c>
      <c r="FIM337" s="42" t="s">
        <v>606</v>
      </c>
      <c r="FIN337" s="42" t="s">
        <v>606</v>
      </c>
      <c r="FIO337" s="42" t="s">
        <v>606</v>
      </c>
      <c r="FIP337" s="42" t="s">
        <v>606</v>
      </c>
      <c r="FIQ337" s="42" t="s">
        <v>606</v>
      </c>
      <c r="FIR337" s="42" t="s">
        <v>606</v>
      </c>
      <c r="FIS337" s="42" t="s">
        <v>606</v>
      </c>
      <c r="FIT337" s="42" t="s">
        <v>606</v>
      </c>
      <c r="FIU337" s="42" t="s">
        <v>606</v>
      </c>
      <c r="FIV337" s="42" t="s">
        <v>606</v>
      </c>
      <c r="FIW337" s="42" t="s">
        <v>606</v>
      </c>
      <c r="FIX337" s="42" t="s">
        <v>606</v>
      </c>
      <c r="FIY337" s="42" t="s">
        <v>606</v>
      </c>
      <c r="FIZ337" s="42" t="s">
        <v>606</v>
      </c>
      <c r="FJA337" s="42" t="s">
        <v>606</v>
      </c>
      <c r="FJB337" s="42" t="s">
        <v>606</v>
      </c>
      <c r="FJC337" s="42" t="s">
        <v>606</v>
      </c>
      <c r="FJD337" s="42" t="s">
        <v>606</v>
      </c>
      <c r="FJE337" s="42" t="s">
        <v>606</v>
      </c>
      <c r="FJF337" s="42" t="s">
        <v>606</v>
      </c>
      <c r="FJG337" s="42" t="s">
        <v>606</v>
      </c>
      <c r="FJH337" s="42" t="s">
        <v>606</v>
      </c>
      <c r="FJI337" s="42" t="s">
        <v>606</v>
      </c>
      <c r="FJJ337" s="42" t="s">
        <v>606</v>
      </c>
      <c r="FJK337" s="42" t="s">
        <v>606</v>
      </c>
      <c r="FJL337" s="42" t="s">
        <v>606</v>
      </c>
      <c r="FJM337" s="42" t="s">
        <v>606</v>
      </c>
      <c r="FJN337" s="42" t="s">
        <v>606</v>
      </c>
      <c r="FJO337" s="42" t="s">
        <v>606</v>
      </c>
      <c r="FJP337" s="42" t="s">
        <v>606</v>
      </c>
      <c r="FJQ337" s="42" t="s">
        <v>606</v>
      </c>
      <c r="FJR337" s="42" t="s">
        <v>606</v>
      </c>
      <c r="FJS337" s="42" t="s">
        <v>606</v>
      </c>
      <c r="FJT337" s="42" t="s">
        <v>606</v>
      </c>
      <c r="FJU337" s="42" t="s">
        <v>606</v>
      </c>
      <c r="FJV337" s="42" t="s">
        <v>606</v>
      </c>
      <c r="FJW337" s="42" t="s">
        <v>606</v>
      </c>
      <c r="FJX337" s="42" t="s">
        <v>606</v>
      </c>
      <c r="FJY337" s="42" t="s">
        <v>606</v>
      </c>
      <c r="FJZ337" s="42" t="s">
        <v>606</v>
      </c>
      <c r="FKA337" s="42" t="s">
        <v>606</v>
      </c>
      <c r="FKB337" s="42" t="s">
        <v>606</v>
      </c>
      <c r="FKC337" s="42" t="s">
        <v>606</v>
      </c>
      <c r="FKD337" s="42" t="s">
        <v>606</v>
      </c>
      <c r="FKE337" s="42" t="s">
        <v>606</v>
      </c>
      <c r="FKF337" s="42" t="s">
        <v>606</v>
      </c>
      <c r="FKG337" s="42" t="s">
        <v>606</v>
      </c>
      <c r="FKH337" s="42" t="s">
        <v>606</v>
      </c>
      <c r="FKI337" s="42" t="s">
        <v>606</v>
      </c>
      <c r="FKJ337" s="42" t="s">
        <v>606</v>
      </c>
      <c r="FKK337" s="42" t="s">
        <v>606</v>
      </c>
      <c r="FKL337" s="42" t="s">
        <v>606</v>
      </c>
      <c r="FKM337" s="42" t="s">
        <v>606</v>
      </c>
      <c r="FKN337" s="42" t="s">
        <v>606</v>
      </c>
      <c r="FKO337" s="42" t="s">
        <v>606</v>
      </c>
      <c r="FKP337" s="42" t="s">
        <v>606</v>
      </c>
      <c r="FKQ337" s="42" t="s">
        <v>606</v>
      </c>
      <c r="FKR337" s="42" t="s">
        <v>606</v>
      </c>
      <c r="FKS337" s="42" t="s">
        <v>606</v>
      </c>
      <c r="FKT337" s="42" t="s">
        <v>606</v>
      </c>
      <c r="FKU337" s="42" t="s">
        <v>606</v>
      </c>
      <c r="FKV337" s="42" t="s">
        <v>606</v>
      </c>
      <c r="FKW337" s="42" t="s">
        <v>606</v>
      </c>
      <c r="FKX337" s="42" t="s">
        <v>606</v>
      </c>
      <c r="FKY337" s="42" t="s">
        <v>606</v>
      </c>
      <c r="FKZ337" s="42" t="s">
        <v>606</v>
      </c>
      <c r="FLA337" s="42" t="s">
        <v>606</v>
      </c>
      <c r="FLB337" s="42" t="s">
        <v>606</v>
      </c>
      <c r="FLC337" s="42" t="s">
        <v>606</v>
      </c>
      <c r="FLD337" s="42" t="s">
        <v>606</v>
      </c>
      <c r="FLE337" s="42" t="s">
        <v>606</v>
      </c>
      <c r="FLF337" s="42" t="s">
        <v>606</v>
      </c>
      <c r="FLG337" s="42" t="s">
        <v>606</v>
      </c>
      <c r="FLH337" s="42" t="s">
        <v>606</v>
      </c>
      <c r="FLI337" s="42" t="s">
        <v>606</v>
      </c>
      <c r="FLJ337" s="42" t="s">
        <v>606</v>
      </c>
      <c r="FLK337" s="42" t="s">
        <v>606</v>
      </c>
      <c r="FLL337" s="42" t="s">
        <v>606</v>
      </c>
      <c r="FLM337" s="42" t="s">
        <v>606</v>
      </c>
      <c r="FLN337" s="42" t="s">
        <v>606</v>
      </c>
      <c r="FLO337" s="42" t="s">
        <v>606</v>
      </c>
      <c r="FLP337" s="42" t="s">
        <v>606</v>
      </c>
      <c r="FLQ337" s="42" t="s">
        <v>606</v>
      </c>
      <c r="FLR337" s="42" t="s">
        <v>606</v>
      </c>
      <c r="FLS337" s="42" t="s">
        <v>606</v>
      </c>
      <c r="FLT337" s="42" t="s">
        <v>606</v>
      </c>
      <c r="FLU337" s="42" t="s">
        <v>606</v>
      </c>
      <c r="FLV337" s="42" t="s">
        <v>606</v>
      </c>
      <c r="FLW337" s="42" t="s">
        <v>606</v>
      </c>
      <c r="FLX337" s="42" t="s">
        <v>606</v>
      </c>
      <c r="FLY337" s="42" t="s">
        <v>606</v>
      </c>
      <c r="FLZ337" s="42" t="s">
        <v>606</v>
      </c>
      <c r="FMA337" s="42" t="s">
        <v>606</v>
      </c>
      <c r="FMB337" s="42" t="s">
        <v>606</v>
      </c>
      <c r="FMC337" s="42" t="s">
        <v>606</v>
      </c>
      <c r="FMD337" s="42" t="s">
        <v>606</v>
      </c>
      <c r="FME337" s="42" t="s">
        <v>606</v>
      </c>
      <c r="FMF337" s="42" t="s">
        <v>606</v>
      </c>
      <c r="FMG337" s="42" t="s">
        <v>606</v>
      </c>
      <c r="FMH337" s="42" t="s">
        <v>606</v>
      </c>
      <c r="FMI337" s="42" t="s">
        <v>606</v>
      </c>
      <c r="FMJ337" s="42" t="s">
        <v>606</v>
      </c>
      <c r="FMK337" s="42" t="s">
        <v>606</v>
      </c>
      <c r="FML337" s="42" t="s">
        <v>606</v>
      </c>
      <c r="FMM337" s="42" t="s">
        <v>606</v>
      </c>
      <c r="FMN337" s="42" t="s">
        <v>606</v>
      </c>
      <c r="FMO337" s="42" t="s">
        <v>606</v>
      </c>
      <c r="FMP337" s="42" t="s">
        <v>606</v>
      </c>
      <c r="FMQ337" s="42" t="s">
        <v>606</v>
      </c>
      <c r="FMR337" s="42" t="s">
        <v>606</v>
      </c>
      <c r="FMS337" s="42" t="s">
        <v>606</v>
      </c>
      <c r="FMT337" s="42" t="s">
        <v>606</v>
      </c>
      <c r="FMU337" s="42" t="s">
        <v>606</v>
      </c>
      <c r="FMV337" s="42" t="s">
        <v>606</v>
      </c>
      <c r="FMW337" s="42" t="s">
        <v>606</v>
      </c>
      <c r="FMX337" s="42" t="s">
        <v>606</v>
      </c>
      <c r="FMY337" s="42" t="s">
        <v>606</v>
      </c>
      <c r="FMZ337" s="42" t="s">
        <v>606</v>
      </c>
      <c r="FNA337" s="42" t="s">
        <v>606</v>
      </c>
      <c r="FNB337" s="42" t="s">
        <v>606</v>
      </c>
      <c r="FNC337" s="42" t="s">
        <v>606</v>
      </c>
      <c r="FND337" s="42" t="s">
        <v>606</v>
      </c>
      <c r="FNE337" s="42" t="s">
        <v>606</v>
      </c>
      <c r="FNF337" s="42" t="s">
        <v>606</v>
      </c>
      <c r="FNG337" s="42" t="s">
        <v>606</v>
      </c>
      <c r="FNH337" s="42" t="s">
        <v>606</v>
      </c>
      <c r="FNI337" s="42" t="s">
        <v>606</v>
      </c>
      <c r="FNJ337" s="42" t="s">
        <v>606</v>
      </c>
      <c r="FNK337" s="42" t="s">
        <v>606</v>
      </c>
      <c r="FNL337" s="42" t="s">
        <v>606</v>
      </c>
      <c r="FNM337" s="42" t="s">
        <v>606</v>
      </c>
      <c r="FNN337" s="42" t="s">
        <v>606</v>
      </c>
      <c r="FNO337" s="42" t="s">
        <v>606</v>
      </c>
      <c r="FNP337" s="42" t="s">
        <v>606</v>
      </c>
      <c r="FNQ337" s="42" t="s">
        <v>606</v>
      </c>
      <c r="FNR337" s="42" t="s">
        <v>606</v>
      </c>
      <c r="FNS337" s="42" t="s">
        <v>606</v>
      </c>
      <c r="FNT337" s="42" t="s">
        <v>606</v>
      </c>
      <c r="FNU337" s="42" t="s">
        <v>606</v>
      </c>
      <c r="FNV337" s="42" t="s">
        <v>606</v>
      </c>
      <c r="FNW337" s="42" t="s">
        <v>606</v>
      </c>
      <c r="FNX337" s="42" t="s">
        <v>606</v>
      </c>
      <c r="FNY337" s="42" t="s">
        <v>606</v>
      </c>
      <c r="FNZ337" s="42" t="s">
        <v>606</v>
      </c>
      <c r="FOA337" s="42" t="s">
        <v>606</v>
      </c>
      <c r="FOB337" s="42" t="s">
        <v>606</v>
      </c>
      <c r="FOC337" s="42" t="s">
        <v>606</v>
      </c>
      <c r="FOD337" s="42" t="s">
        <v>606</v>
      </c>
      <c r="FOE337" s="42" t="s">
        <v>606</v>
      </c>
      <c r="FOF337" s="42" t="s">
        <v>606</v>
      </c>
      <c r="FOG337" s="42" t="s">
        <v>606</v>
      </c>
      <c r="FOH337" s="42" t="s">
        <v>606</v>
      </c>
      <c r="FOI337" s="42" t="s">
        <v>606</v>
      </c>
      <c r="FOJ337" s="42" t="s">
        <v>606</v>
      </c>
      <c r="FOK337" s="42" t="s">
        <v>606</v>
      </c>
      <c r="FOL337" s="42" t="s">
        <v>606</v>
      </c>
      <c r="FOM337" s="42" t="s">
        <v>606</v>
      </c>
      <c r="FON337" s="42" t="s">
        <v>606</v>
      </c>
      <c r="FOO337" s="42" t="s">
        <v>606</v>
      </c>
      <c r="FOP337" s="42" t="s">
        <v>606</v>
      </c>
      <c r="FOQ337" s="42" t="s">
        <v>606</v>
      </c>
      <c r="FOR337" s="42" t="s">
        <v>606</v>
      </c>
      <c r="FOS337" s="42" t="s">
        <v>606</v>
      </c>
      <c r="FOT337" s="42" t="s">
        <v>606</v>
      </c>
      <c r="FOU337" s="42" t="s">
        <v>606</v>
      </c>
      <c r="FOV337" s="42" t="s">
        <v>606</v>
      </c>
      <c r="FOW337" s="42" t="s">
        <v>606</v>
      </c>
      <c r="FOX337" s="42" t="s">
        <v>606</v>
      </c>
      <c r="FOY337" s="42" t="s">
        <v>606</v>
      </c>
      <c r="FOZ337" s="42" t="s">
        <v>606</v>
      </c>
      <c r="FPA337" s="42" t="s">
        <v>606</v>
      </c>
      <c r="FPB337" s="42" t="s">
        <v>606</v>
      </c>
      <c r="FPC337" s="42" t="s">
        <v>606</v>
      </c>
      <c r="FPD337" s="42" t="s">
        <v>606</v>
      </c>
      <c r="FPE337" s="42" t="s">
        <v>606</v>
      </c>
      <c r="FPF337" s="42" t="s">
        <v>606</v>
      </c>
      <c r="FPG337" s="42" t="s">
        <v>606</v>
      </c>
      <c r="FPH337" s="42" t="s">
        <v>606</v>
      </c>
      <c r="FPI337" s="42" t="s">
        <v>606</v>
      </c>
      <c r="FPJ337" s="42" t="s">
        <v>606</v>
      </c>
      <c r="FPK337" s="42" t="s">
        <v>606</v>
      </c>
      <c r="FPL337" s="42" t="s">
        <v>606</v>
      </c>
      <c r="FPM337" s="42" t="s">
        <v>606</v>
      </c>
      <c r="FPN337" s="42" t="s">
        <v>606</v>
      </c>
      <c r="FPO337" s="42" t="s">
        <v>606</v>
      </c>
      <c r="FPP337" s="42" t="s">
        <v>606</v>
      </c>
      <c r="FPQ337" s="42" t="s">
        <v>606</v>
      </c>
      <c r="FPR337" s="42" t="s">
        <v>606</v>
      </c>
      <c r="FPS337" s="42" t="s">
        <v>606</v>
      </c>
      <c r="FPT337" s="42" t="s">
        <v>606</v>
      </c>
      <c r="FPU337" s="42" t="s">
        <v>606</v>
      </c>
      <c r="FPV337" s="42" t="s">
        <v>606</v>
      </c>
      <c r="FPW337" s="42" t="s">
        <v>606</v>
      </c>
      <c r="FPX337" s="42" t="s">
        <v>606</v>
      </c>
      <c r="FPY337" s="42" t="s">
        <v>606</v>
      </c>
      <c r="FPZ337" s="42" t="s">
        <v>606</v>
      </c>
      <c r="FQA337" s="42" t="s">
        <v>606</v>
      </c>
      <c r="FQB337" s="42" t="s">
        <v>606</v>
      </c>
      <c r="FQC337" s="42" t="s">
        <v>606</v>
      </c>
      <c r="FQD337" s="42" t="s">
        <v>606</v>
      </c>
      <c r="FQE337" s="42" t="s">
        <v>606</v>
      </c>
      <c r="FQF337" s="42" t="s">
        <v>606</v>
      </c>
      <c r="FQG337" s="42" t="s">
        <v>606</v>
      </c>
      <c r="FQH337" s="42" t="s">
        <v>606</v>
      </c>
      <c r="FQI337" s="42" t="s">
        <v>606</v>
      </c>
      <c r="FQJ337" s="42" t="s">
        <v>606</v>
      </c>
      <c r="FQK337" s="42" t="s">
        <v>606</v>
      </c>
      <c r="FQL337" s="42" t="s">
        <v>606</v>
      </c>
      <c r="FQM337" s="42" t="s">
        <v>606</v>
      </c>
      <c r="FQN337" s="42" t="s">
        <v>606</v>
      </c>
      <c r="FQO337" s="42" t="s">
        <v>606</v>
      </c>
      <c r="FQP337" s="42" t="s">
        <v>606</v>
      </c>
      <c r="FQQ337" s="42" t="s">
        <v>606</v>
      </c>
      <c r="FQR337" s="42" t="s">
        <v>606</v>
      </c>
      <c r="FQS337" s="42" t="s">
        <v>606</v>
      </c>
      <c r="FQT337" s="42" t="s">
        <v>606</v>
      </c>
      <c r="FQU337" s="42" t="s">
        <v>606</v>
      </c>
      <c r="FQV337" s="42" t="s">
        <v>606</v>
      </c>
      <c r="FQW337" s="42" t="s">
        <v>606</v>
      </c>
      <c r="FQX337" s="42" t="s">
        <v>606</v>
      </c>
      <c r="FQY337" s="42" t="s">
        <v>606</v>
      </c>
      <c r="FQZ337" s="42" t="s">
        <v>606</v>
      </c>
      <c r="FRA337" s="42" t="s">
        <v>606</v>
      </c>
      <c r="FRB337" s="42" t="s">
        <v>606</v>
      </c>
      <c r="FRC337" s="42" t="s">
        <v>606</v>
      </c>
      <c r="FRD337" s="42" t="s">
        <v>606</v>
      </c>
      <c r="FRE337" s="42" t="s">
        <v>606</v>
      </c>
      <c r="FRF337" s="42" t="s">
        <v>606</v>
      </c>
      <c r="FRG337" s="42" t="s">
        <v>606</v>
      </c>
      <c r="FRH337" s="42" t="s">
        <v>606</v>
      </c>
      <c r="FRI337" s="42" t="s">
        <v>606</v>
      </c>
      <c r="FRJ337" s="42" t="s">
        <v>606</v>
      </c>
      <c r="FRK337" s="42" t="s">
        <v>606</v>
      </c>
      <c r="FRL337" s="42" t="s">
        <v>606</v>
      </c>
      <c r="FRM337" s="42" t="s">
        <v>606</v>
      </c>
      <c r="FRN337" s="42" t="s">
        <v>606</v>
      </c>
      <c r="FRO337" s="42" t="s">
        <v>606</v>
      </c>
      <c r="FRP337" s="42" t="s">
        <v>606</v>
      </c>
      <c r="FRQ337" s="42" t="s">
        <v>606</v>
      </c>
      <c r="FRR337" s="42" t="s">
        <v>606</v>
      </c>
      <c r="FRS337" s="42" t="s">
        <v>606</v>
      </c>
      <c r="FRT337" s="42" t="s">
        <v>606</v>
      </c>
      <c r="FRU337" s="42" t="s">
        <v>606</v>
      </c>
      <c r="FRV337" s="42" t="s">
        <v>606</v>
      </c>
      <c r="FRW337" s="42" t="s">
        <v>606</v>
      </c>
      <c r="FRX337" s="42" t="s">
        <v>606</v>
      </c>
      <c r="FRY337" s="42" t="s">
        <v>606</v>
      </c>
      <c r="FRZ337" s="42" t="s">
        <v>606</v>
      </c>
      <c r="FSA337" s="42" t="s">
        <v>606</v>
      </c>
      <c r="FSB337" s="42" t="s">
        <v>606</v>
      </c>
      <c r="FSC337" s="42" t="s">
        <v>606</v>
      </c>
      <c r="FSD337" s="42" t="s">
        <v>606</v>
      </c>
      <c r="FSE337" s="42" t="s">
        <v>606</v>
      </c>
      <c r="FSF337" s="42" t="s">
        <v>606</v>
      </c>
      <c r="FSG337" s="42" t="s">
        <v>606</v>
      </c>
      <c r="FSH337" s="42" t="s">
        <v>606</v>
      </c>
      <c r="FSI337" s="42" t="s">
        <v>606</v>
      </c>
      <c r="FSJ337" s="42" t="s">
        <v>606</v>
      </c>
      <c r="FSK337" s="42" t="s">
        <v>606</v>
      </c>
      <c r="FSL337" s="42" t="s">
        <v>606</v>
      </c>
      <c r="FSM337" s="42" t="s">
        <v>606</v>
      </c>
      <c r="FSN337" s="42" t="s">
        <v>606</v>
      </c>
      <c r="FSO337" s="42" t="s">
        <v>606</v>
      </c>
      <c r="FSP337" s="42" t="s">
        <v>606</v>
      </c>
      <c r="FSQ337" s="42" t="s">
        <v>606</v>
      </c>
      <c r="FSR337" s="42" t="s">
        <v>606</v>
      </c>
      <c r="FSS337" s="42" t="s">
        <v>606</v>
      </c>
      <c r="FST337" s="42" t="s">
        <v>606</v>
      </c>
      <c r="FSU337" s="42" t="s">
        <v>606</v>
      </c>
      <c r="FSV337" s="42" t="s">
        <v>606</v>
      </c>
      <c r="FSW337" s="42" t="s">
        <v>606</v>
      </c>
      <c r="FSX337" s="42" t="s">
        <v>606</v>
      </c>
      <c r="FSY337" s="42" t="s">
        <v>606</v>
      </c>
      <c r="FSZ337" s="42" t="s">
        <v>606</v>
      </c>
      <c r="FTA337" s="42" t="s">
        <v>606</v>
      </c>
      <c r="FTB337" s="42" t="s">
        <v>606</v>
      </c>
      <c r="FTC337" s="42" t="s">
        <v>606</v>
      </c>
      <c r="FTD337" s="42" t="s">
        <v>606</v>
      </c>
      <c r="FTE337" s="42" t="s">
        <v>606</v>
      </c>
      <c r="FTF337" s="42" t="s">
        <v>606</v>
      </c>
      <c r="FTG337" s="42" t="s">
        <v>606</v>
      </c>
      <c r="FTH337" s="42" t="s">
        <v>606</v>
      </c>
      <c r="FTI337" s="42" t="s">
        <v>606</v>
      </c>
      <c r="FTJ337" s="42" t="s">
        <v>606</v>
      </c>
      <c r="FTK337" s="42" t="s">
        <v>606</v>
      </c>
      <c r="FTL337" s="42" t="s">
        <v>606</v>
      </c>
      <c r="FTM337" s="42" t="s">
        <v>606</v>
      </c>
      <c r="FTN337" s="42" t="s">
        <v>606</v>
      </c>
      <c r="FTO337" s="42" t="s">
        <v>606</v>
      </c>
      <c r="FTP337" s="42" t="s">
        <v>606</v>
      </c>
      <c r="FTQ337" s="42" t="s">
        <v>606</v>
      </c>
      <c r="FTR337" s="42" t="s">
        <v>606</v>
      </c>
      <c r="FTS337" s="42" t="s">
        <v>606</v>
      </c>
      <c r="FTT337" s="42" t="s">
        <v>606</v>
      </c>
      <c r="FTU337" s="42" t="s">
        <v>606</v>
      </c>
      <c r="FTV337" s="42" t="s">
        <v>606</v>
      </c>
      <c r="FTW337" s="42" t="s">
        <v>606</v>
      </c>
      <c r="FTX337" s="42" t="s">
        <v>606</v>
      </c>
      <c r="FTY337" s="42" t="s">
        <v>606</v>
      </c>
      <c r="FTZ337" s="42" t="s">
        <v>606</v>
      </c>
      <c r="FUA337" s="42" t="s">
        <v>606</v>
      </c>
      <c r="FUB337" s="42" t="s">
        <v>606</v>
      </c>
      <c r="FUC337" s="42" t="s">
        <v>606</v>
      </c>
      <c r="FUD337" s="42" t="s">
        <v>606</v>
      </c>
      <c r="FUE337" s="42" t="s">
        <v>606</v>
      </c>
      <c r="FUF337" s="42" t="s">
        <v>606</v>
      </c>
      <c r="FUG337" s="42" t="s">
        <v>606</v>
      </c>
      <c r="FUH337" s="42" t="s">
        <v>606</v>
      </c>
      <c r="FUI337" s="42" t="s">
        <v>606</v>
      </c>
      <c r="FUJ337" s="42" t="s">
        <v>606</v>
      </c>
      <c r="FUK337" s="42" t="s">
        <v>606</v>
      </c>
      <c r="FUL337" s="42" t="s">
        <v>606</v>
      </c>
      <c r="FUM337" s="42" t="s">
        <v>606</v>
      </c>
      <c r="FUN337" s="42" t="s">
        <v>606</v>
      </c>
      <c r="FUO337" s="42" t="s">
        <v>606</v>
      </c>
      <c r="FUP337" s="42" t="s">
        <v>606</v>
      </c>
      <c r="FUQ337" s="42" t="s">
        <v>606</v>
      </c>
      <c r="FUR337" s="42" t="s">
        <v>606</v>
      </c>
      <c r="FUS337" s="42" t="s">
        <v>606</v>
      </c>
      <c r="FUT337" s="42" t="s">
        <v>606</v>
      </c>
      <c r="FUU337" s="42" t="s">
        <v>606</v>
      </c>
      <c r="FUV337" s="42" t="s">
        <v>606</v>
      </c>
      <c r="FUW337" s="42" t="s">
        <v>606</v>
      </c>
      <c r="FUX337" s="42" t="s">
        <v>606</v>
      </c>
      <c r="FUY337" s="42" t="s">
        <v>606</v>
      </c>
      <c r="FUZ337" s="42" t="s">
        <v>606</v>
      </c>
      <c r="FVA337" s="42" t="s">
        <v>606</v>
      </c>
      <c r="FVB337" s="42" t="s">
        <v>606</v>
      </c>
      <c r="FVC337" s="42" t="s">
        <v>606</v>
      </c>
      <c r="FVD337" s="42" t="s">
        <v>606</v>
      </c>
      <c r="FVE337" s="42" t="s">
        <v>606</v>
      </c>
      <c r="FVF337" s="42" t="s">
        <v>606</v>
      </c>
      <c r="FVG337" s="42" t="s">
        <v>606</v>
      </c>
      <c r="FVH337" s="42" t="s">
        <v>606</v>
      </c>
      <c r="FVI337" s="42" t="s">
        <v>606</v>
      </c>
      <c r="FVJ337" s="42" t="s">
        <v>606</v>
      </c>
      <c r="FVK337" s="42" t="s">
        <v>606</v>
      </c>
      <c r="FVL337" s="42" t="s">
        <v>606</v>
      </c>
      <c r="FVM337" s="42" t="s">
        <v>606</v>
      </c>
      <c r="FVN337" s="42" t="s">
        <v>606</v>
      </c>
      <c r="FVO337" s="42" t="s">
        <v>606</v>
      </c>
      <c r="FVP337" s="42" t="s">
        <v>606</v>
      </c>
      <c r="FVQ337" s="42" t="s">
        <v>606</v>
      </c>
      <c r="FVR337" s="42" t="s">
        <v>606</v>
      </c>
      <c r="FVS337" s="42" t="s">
        <v>606</v>
      </c>
      <c r="FVT337" s="42" t="s">
        <v>606</v>
      </c>
      <c r="FVU337" s="42" t="s">
        <v>606</v>
      </c>
      <c r="FVV337" s="42" t="s">
        <v>606</v>
      </c>
      <c r="FVW337" s="42" t="s">
        <v>606</v>
      </c>
      <c r="FVX337" s="42" t="s">
        <v>606</v>
      </c>
      <c r="FVY337" s="42" t="s">
        <v>606</v>
      </c>
      <c r="FVZ337" s="42" t="s">
        <v>606</v>
      </c>
      <c r="FWA337" s="42" t="s">
        <v>606</v>
      </c>
      <c r="FWB337" s="42" t="s">
        <v>606</v>
      </c>
      <c r="FWC337" s="42" t="s">
        <v>606</v>
      </c>
      <c r="FWD337" s="42" t="s">
        <v>606</v>
      </c>
      <c r="FWE337" s="42" t="s">
        <v>606</v>
      </c>
      <c r="FWF337" s="42" t="s">
        <v>606</v>
      </c>
      <c r="FWG337" s="42" t="s">
        <v>606</v>
      </c>
      <c r="FWH337" s="42" t="s">
        <v>606</v>
      </c>
      <c r="FWI337" s="42" t="s">
        <v>606</v>
      </c>
      <c r="FWJ337" s="42" t="s">
        <v>606</v>
      </c>
      <c r="FWK337" s="42" t="s">
        <v>606</v>
      </c>
      <c r="FWL337" s="42" t="s">
        <v>606</v>
      </c>
      <c r="FWM337" s="42" t="s">
        <v>606</v>
      </c>
      <c r="FWN337" s="42" t="s">
        <v>606</v>
      </c>
      <c r="FWO337" s="42" t="s">
        <v>606</v>
      </c>
      <c r="FWP337" s="42" t="s">
        <v>606</v>
      </c>
      <c r="FWQ337" s="42" t="s">
        <v>606</v>
      </c>
      <c r="FWR337" s="42" t="s">
        <v>606</v>
      </c>
      <c r="FWS337" s="42" t="s">
        <v>606</v>
      </c>
      <c r="FWT337" s="42" t="s">
        <v>606</v>
      </c>
      <c r="FWU337" s="42" t="s">
        <v>606</v>
      </c>
      <c r="FWV337" s="42" t="s">
        <v>606</v>
      </c>
      <c r="FWW337" s="42" t="s">
        <v>606</v>
      </c>
      <c r="FWX337" s="42" t="s">
        <v>606</v>
      </c>
      <c r="FWY337" s="42" t="s">
        <v>606</v>
      </c>
      <c r="FWZ337" s="42" t="s">
        <v>606</v>
      </c>
      <c r="FXA337" s="42" t="s">
        <v>606</v>
      </c>
      <c r="FXB337" s="42" t="s">
        <v>606</v>
      </c>
      <c r="FXC337" s="42" t="s">
        <v>606</v>
      </c>
      <c r="FXD337" s="42" t="s">
        <v>606</v>
      </c>
      <c r="FXE337" s="42" t="s">
        <v>606</v>
      </c>
      <c r="FXF337" s="42" t="s">
        <v>606</v>
      </c>
      <c r="FXG337" s="42" t="s">
        <v>606</v>
      </c>
      <c r="FXH337" s="42" t="s">
        <v>606</v>
      </c>
      <c r="FXI337" s="42" t="s">
        <v>606</v>
      </c>
      <c r="FXJ337" s="42" t="s">
        <v>606</v>
      </c>
      <c r="FXK337" s="42" t="s">
        <v>606</v>
      </c>
      <c r="FXL337" s="42" t="s">
        <v>606</v>
      </c>
      <c r="FXM337" s="42" t="s">
        <v>606</v>
      </c>
      <c r="FXN337" s="42" t="s">
        <v>606</v>
      </c>
      <c r="FXO337" s="42" t="s">
        <v>606</v>
      </c>
      <c r="FXP337" s="42" t="s">
        <v>606</v>
      </c>
      <c r="FXQ337" s="42" t="s">
        <v>606</v>
      </c>
      <c r="FXR337" s="42" t="s">
        <v>606</v>
      </c>
      <c r="FXS337" s="42" t="s">
        <v>606</v>
      </c>
      <c r="FXT337" s="42" t="s">
        <v>606</v>
      </c>
      <c r="FXU337" s="42" t="s">
        <v>606</v>
      </c>
      <c r="FXV337" s="42" t="s">
        <v>606</v>
      </c>
      <c r="FXW337" s="42" t="s">
        <v>606</v>
      </c>
      <c r="FXX337" s="42" t="s">
        <v>606</v>
      </c>
      <c r="FXY337" s="42" t="s">
        <v>606</v>
      </c>
      <c r="FXZ337" s="42" t="s">
        <v>606</v>
      </c>
      <c r="FYA337" s="42" t="s">
        <v>606</v>
      </c>
      <c r="FYB337" s="42" t="s">
        <v>606</v>
      </c>
      <c r="FYC337" s="42" t="s">
        <v>606</v>
      </c>
      <c r="FYD337" s="42" t="s">
        <v>606</v>
      </c>
      <c r="FYE337" s="42" t="s">
        <v>606</v>
      </c>
      <c r="FYF337" s="42" t="s">
        <v>606</v>
      </c>
      <c r="FYG337" s="42" t="s">
        <v>606</v>
      </c>
      <c r="FYH337" s="42" t="s">
        <v>606</v>
      </c>
      <c r="FYI337" s="42" t="s">
        <v>606</v>
      </c>
      <c r="FYJ337" s="42" t="s">
        <v>606</v>
      </c>
      <c r="FYK337" s="42" t="s">
        <v>606</v>
      </c>
      <c r="FYL337" s="42" t="s">
        <v>606</v>
      </c>
      <c r="FYM337" s="42" t="s">
        <v>606</v>
      </c>
      <c r="FYN337" s="42" t="s">
        <v>606</v>
      </c>
      <c r="FYO337" s="42" t="s">
        <v>606</v>
      </c>
      <c r="FYP337" s="42" t="s">
        <v>606</v>
      </c>
      <c r="FYQ337" s="42" t="s">
        <v>606</v>
      </c>
      <c r="FYR337" s="42" t="s">
        <v>606</v>
      </c>
      <c r="FYS337" s="42" t="s">
        <v>606</v>
      </c>
      <c r="FYT337" s="42" t="s">
        <v>606</v>
      </c>
      <c r="FYU337" s="42" t="s">
        <v>606</v>
      </c>
      <c r="FYV337" s="42" t="s">
        <v>606</v>
      </c>
      <c r="FYW337" s="42" t="s">
        <v>606</v>
      </c>
      <c r="FYX337" s="42" t="s">
        <v>606</v>
      </c>
      <c r="FYY337" s="42" t="s">
        <v>606</v>
      </c>
      <c r="FYZ337" s="42" t="s">
        <v>606</v>
      </c>
      <c r="FZA337" s="42" t="s">
        <v>606</v>
      </c>
      <c r="FZB337" s="42" t="s">
        <v>606</v>
      </c>
      <c r="FZC337" s="42" t="s">
        <v>606</v>
      </c>
      <c r="FZD337" s="42" t="s">
        <v>606</v>
      </c>
      <c r="FZE337" s="42" t="s">
        <v>606</v>
      </c>
      <c r="FZF337" s="42" t="s">
        <v>606</v>
      </c>
      <c r="FZG337" s="42" t="s">
        <v>606</v>
      </c>
      <c r="FZH337" s="42" t="s">
        <v>606</v>
      </c>
      <c r="FZI337" s="42" t="s">
        <v>606</v>
      </c>
      <c r="FZJ337" s="42" t="s">
        <v>606</v>
      </c>
      <c r="FZK337" s="42" t="s">
        <v>606</v>
      </c>
      <c r="FZL337" s="42" t="s">
        <v>606</v>
      </c>
      <c r="FZM337" s="42" t="s">
        <v>606</v>
      </c>
      <c r="FZN337" s="42" t="s">
        <v>606</v>
      </c>
      <c r="FZO337" s="42" t="s">
        <v>606</v>
      </c>
      <c r="FZP337" s="42" t="s">
        <v>606</v>
      </c>
      <c r="FZQ337" s="42" t="s">
        <v>606</v>
      </c>
      <c r="FZR337" s="42" t="s">
        <v>606</v>
      </c>
      <c r="FZS337" s="42" t="s">
        <v>606</v>
      </c>
      <c r="FZT337" s="42" t="s">
        <v>606</v>
      </c>
      <c r="FZU337" s="42" t="s">
        <v>606</v>
      </c>
      <c r="FZV337" s="42" t="s">
        <v>606</v>
      </c>
      <c r="FZW337" s="42" t="s">
        <v>606</v>
      </c>
      <c r="FZX337" s="42" t="s">
        <v>606</v>
      </c>
      <c r="FZY337" s="42" t="s">
        <v>606</v>
      </c>
      <c r="FZZ337" s="42" t="s">
        <v>606</v>
      </c>
      <c r="GAA337" s="42" t="s">
        <v>606</v>
      </c>
      <c r="GAB337" s="42" t="s">
        <v>606</v>
      </c>
      <c r="GAC337" s="42" t="s">
        <v>606</v>
      </c>
      <c r="GAD337" s="42" t="s">
        <v>606</v>
      </c>
      <c r="GAE337" s="42" t="s">
        <v>606</v>
      </c>
      <c r="GAF337" s="42" t="s">
        <v>606</v>
      </c>
      <c r="GAG337" s="42" t="s">
        <v>606</v>
      </c>
      <c r="GAH337" s="42" t="s">
        <v>606</v>
      </c>
      <c r="GAI337" s="42" t="s">
        <v>606</v>
      </c>
      <c r="GAJ337" s="42" t="s">
        <v>606</v>
      </c>
      <c r="GAK337" s="42" t="s">
        <v>606</v>
      </c>
      <c r="GAL337" s="42" t="s">
        <v>606</v>
      </c>
      <c r="GAM337" s="42" t="s">
        <v>606</v>
      </c>
      <c r="GAN337" s="42" t="s">
        <v>606</v>
      </c>
      <c r="GAO337" s="42" t="s">
        <v>606</v>
      </c>
      <c r="GAP337" s="42" t="s">
        <v>606</v>
      </c>
      <c r="GAQ337" s="42" t="s">
        <v>606</v>
      </c>
      <c r="GAR337" s="42" t="s">
        <v>606</v>
      </c>
      <c r="GAS337" s="42" t="s">
        <v>606</v>
      </c>
      <c r="GAT337" s="42" t="s">
        <v>606</v>
      </c>
      <c r="GAU337" s="42" t="s">
        <v>606</v>
      </c>
      <c r="GAV337" s="42" t="s">
        <v>606</v>
      </c>
      <c r="GAW337" s="42" t="s">
        <v>606</v>
      </c>
      <c r="GAX337" s="42" t="s">
        <v>606</v>
      </c>
      <c r="GAY337" s="42" t="s">
        <v>606</v>
      </c>
      <c r="GAZ337" s="42" t="s">
        <v>606</v>
      </c>
      <c r="GBA337" s="42" t="s">
        <v>606</v>
      </c>
      <c r="GBB337" s="42" t="s">
        <v>606</v>
      </c>
      <c r="GBC337" s="42" t="s">
        <v>606</v>
      </c>
      <c r="GBD337" s="42" t="s">
        <v>606</v>
      </c>
      <c r="GBE337" s="42" t="s">
        <v>606</v>
      </c>
      <c r="GBF337" s="42" t="s">
        <v>606</v>
      </c>
      <c r="GBG337" s="42" t="s">
        <v>606</v>
      </c>
      <c r="GBH337" s="42" t="s">
        <v>606</v>
      </c>
      <c r="GBI337" s="42" t="s">
        <v>606</v>
      </c>
      <c r="GBJ337" s="42" t="s">
        <v>606</v>
      </c>
      <c r="GBK337" s="42" t="s">
        <v>606</v>
      </c>
      <c r="GBL337" s="42" t="s">
        <v>606</v>
      </c>
      <c r="GBM337" s="42" t="s">
        <v>606</v>
      </c>
      <c r="GBN337" s="42" t="s">
        <v>606</v>
      </c>
      <c r="GBO337" s="42" t="s">
        <v>606</v>
      </c>
      <c r="GBP337" s="42" t="s">
        <v>606</v>
      </c>
      <c r="GBQ337" s="42" t="s">
        <v>606</v>
      </c>
      <c r="GBR337" s="42" t="s">
        <v>606</v>
      </c>
      <c r="GBS337" s="42" t="s">
        <v>606</v>
      </c>
      <c r="GBT337" s="42" t="s">
        <v>606</v>
      </c>
      <c r="GBU337" s="42" t="s">
        <v>606</v>
      </c>
      <c r="GBV337" s="42" t="s">
        <v>606</v>
      </c>
      <c r="GBW337" s="42" t="s">
        <v>606</v>
      </c>
      <c r="GBX337" s="42" t="s">
        <v>606</v>
      </c>
      <c r="GBY337" s="42" t="s">
        <v>606</v>
      </c>
      <c r="GBZ337" s="42" t="s">
        <v>606</v>
      </c>
      <c r="GCA337" s="42" t="s">
        <v>606</v>
      </c>
      <c r="GCB337" s="42" t="s">
        <v>606</v>
      </c>
      <c r="GCC337" s="42" t="s">
        <v>606</v>
      </c>
      <c r="GCD337" s="42" t="s">
        <v>606</v>
      </c>
      <c r="GCE337" s="42" t="s">
        <v>606</v>
      </c>
      <c r="GCF337" s="42" t="s">
        <v>606</v>
      </c>
      <c r="GCG337" s="42" t="s">
        <v>606</v>
      </c>
      <c r="GCH337" s="42" t="s">
        <v>606</v>
      </c>
      <c r="GCI337" s="42" t="s">
        <v>606</v>
      </c>
      <c r="GCJ337" s="42" t="s">
        <v>606</v>
      </c>
      <c r="GCK337" s="42" t="s">
        <v>606</v>
      </c>
      <c r="GCL337" s="42" t="s">
        <v>606</v>
      </c>
      <c r="GCM337" s="42" t="s">
        <v>606</v>
      </c>
      <c r="GCN337" s="42" t="s">
        <v>606</v>
      </c>
      <c r="GCO337" s="42" t="s">
        <v>606</v>
      </c>
      <c r="GCP337" s="42" t="s">
        <v>606</v>
      </c>
      <c r="GCQ337" s="42" t="s">
        <v>606</v>
      </c>
      <c r="GCR337" s="42" t="s">
        <v>606</v>
      </c>
      <c r="GCS337" s="42" t="s">
        <v>606</v>
      </c>
      <c r="GCT337" s="42" t="s">
        <v>606</v>
      </c>
      <c r="GCU337" s="42" t="s">
        <v>606</v>
      </c>
      <c r="GCV337" s="42" t="s">
        <v>606</v>
      </c>
      <c r="GCW337" s="42" t="s">
        <v>606</v>
      </c>
      <c r="GCX337" s="42" t="s">
        <v>606</v>
      </c>
      <c r="GCY337" s="42" t="s">
        <v>606</v>
      </c>
      <c r="GCZ337" s="42" t="s">
        <v>606</v>
      </c>
      <c r="GDA337" s="42" t="s">
        <v>606</v>
      </c>
      <c r="GDB337" s="42" t="s">
        <v>606</v>
      </c>
      <c r="GDC337" s="42" t="s">
        <v>606</v>
      </c>
      <c r="GDD337" s="42" t="s">
        <v>606</v>
      </c>
      <c r="GDE337" s="42" t="s">
        <v>606</v>
      </c>
      <c r="GDF337" s="42" t="s">
        <v>606</v>
      </c>
      <c r="GDG337" s="42" t="s">
        <v>606</v>
      </c>
      <c r="GDH337" s="42" t="s">
        <v>606</v>
      </c>
      <c r="GDI337" s="42" t="s">
        <v>606</v>
      </c>
      <c r="GDJ337" s="42" t="s">
        <v>606</v>
      </c>
      <c r="GDK337" s="42" t="s">
        <v>606</v>
      </c>
      <c r="GDL337" s="42" t="s">
        <v>606</v>
      </c>
      <c r="GDM337" s="42" t="s">
        <v>606</v>
      </c>
      <c r="GDN337" s="42" t="s">
        <v>606</v>
      </c>
      <c r="GDO337" s="42" t="s">
        <v>606</v>
      </c>
      <c r="GDP337" s="42" t="s">
        <v>606</v>
      </c>
      <c r="GDQ337" s="42" t="s">
        <v>606</v>
      </c>
      <c r="GDR337" s="42" t="s">
        <v>606</v>
      </c>
      <c r="GDS337" s="42" t="s">
        <v>606</v>
      </c>
      <c r="GDT337" s="42" t="s">
        <v>606</v>
      </c>
      <c r="GDU337" s="42" t="s">
        <v>606</v>
      </c>
      <c r="GDV337" s="42" t="s">
        <v>606</v>
      </c>
      <c r="GDW337" s="42" t="s">
        <v>606</v>
      </c>
      <c r="GDX337" s="42" t="s">
        <v>606</v>
      </c>
      <c r="GDY337" s="42" t="s">
        <v>606</v>
      </c>
      <c r="GDZ337" s="42" t="s">
        <v>606</v>
      </c>
      <c r="GEA337" s="42" t="s">
        <v>606</v>
      </c>
      <c r="GEB337" s="42" t="s">
        <v>606</v>
      </c>
      <c r="GEC337" s="42" t="s">
        <v>606</v>
      </c>
      <c r="GED337" s="42" t="s">
        <v>606</v>
      </c>
      <c r="GEE337" s="42" t="s">
        <v>606</v>
      </c>
      <c r="GEF337" s="42" t="s">
        <v>606</v>
      </c>
      <c r="GEG337" s="42" t="s">
        <v>606</v>
      </c>
      <c r="GEH337" s="42" t="s">
        <v>606</v>
      </c>
      <c r="GEI337" s="42" t="s">
        <v>606</v>
      </c>
      <c r="GEJ337" s="42" t="s">
        <v>606</v>
      </c>
      <c r="GEK337" s="42" t="s">
        <v>606</v>
      </c>
      <c r="GEL337" s="42" t="s">
        <v>606</v>
      </c>
      <c r="GEM337" s="42" t="s">
        <v>606</v>
      </c>
      <c r="GEN337" s="42" t="s">
        <v>606</v>
      </c>
      <c r="GEO337" s="42" t="s">
        <v>606</v>
      </c>
      <c r="GEP337" s="42" t="s">
        <v>606</v>
      </c>
      <c r="GEQ337" s="42" t="s">
        <v>606</v>
      </c>
      <c r="GER337" s="42" t="s">
        <v>606</v>
      </c>
      <c r="GES337" s="42" t="s">
        <v>606</v>
      </c>
      <c r="GET337" s="42" t="s">
        <v>606</v>
      </c>
      <c r="GEU337" s="42" t="s">
        <v>606</v>
      </c>
      <c r="GEV337" s="42" t="s">
        <v>606</v>
      </c>
      <c r="GEW337" s="42" t="s">
        <v>606</v>
      </c>
      <c r="GEX337" s="42" t="s">
        <v>606</v>
      </c>
      <c r="GEY337" s="42" t="s">
        <v>606</v>
      </c>
      <c r="GEZ337" s="42" t="s">
        <v>606</v>
      </c>
      <c r="GFA337" s="42" t="s">
        <v>606</v>
      </c>
      <c r="GFB337" s="42" t="s">
        <v>606</v>
      </c>
      <c r="GFC337" s="42" t="s">
        <v>606</v>
      </c>
      <c r="GFD337" s="42" t="s">
        <v>606</v>
      </c>
      <c r="GFE337" s="42" t="s">
        <v>606</v>
      </c>
      <c r="GFF337" s="42" t="s">
        <v>606</v>
      </c>
      <c r="GFG337" s="42" t="s">
        <v>606</v>
      </c>
      <c r="GFH337" s="42" t="s">
        <v>606</v>
      </c>
      <c r="GFI337" s="42" t="s">
        <v>606</v>
      </c>
      <c r="GFJ337" s="42" t="s">
        <v>606</v>
      </c>
      <c r="GFK337" s="42" t="s">
        <v>606</v>
      </c>
      <c r="GFL337" s="42" t="s">
        <v>606</v>
      </c>
      <c r="GFM337" s="42" t="s">
        <v>606</v>
      </c>
      <c r="GFN337" s="42" t="s">
        <v>606</v>
      </c>
      <c r="GFO337" s="42" t="s">
        <v>606</v>
      </c>
      <c r="GFP337" s="42" t="s">
        <v>606</v>
      </c>
      <c r="GFQ337" s="42" t="s">
        <v>606</v>
      </c>
      <c r="GFR337" s="42" t="s">
        <v>606</v>
      </c>
      <c r="GFS337" s="42" t="s">
        <v>606</v>
      </c>
      <c r="GFT337" s="42" t="s">
        <v>606</v>
      </c>
      <c r="GFU337" s="42" t="s">
        <v>606</v>
      </c>
      <c r="GFV337" s="42" t="s">
        <v>606</v>
      </c>
      <c r="GFW337" s="42" t="s">
        <v>606</v>
      </c>
      <c r="GFX337" s="42" t="s">
        <v>606</v>
      </c>
      <c r="GFY337" s="42" t="s">
        <v>606</v>
      </c>
      <c r="GFZ337" s="42" t="s">
        <v>606</v>
      </c>
      <c r="GGA337" s="42" t="s">
        <v>606</v>
      </c>
      <c r="GGB337" s="42" t="s">
        <v>606</v>
      </c>
      <c r="GGC337" s="42" t="s">
        <v>606</v>
      </c>
      <c r="GGD337" s="42" t="s">
        <v>606</v>
      </c>
      <c r="GGE337" s="42" t="s">
        <v>606</v>
      </c>
      <c r="GGF337" s="42" t="s">
        <v>606</v>
      </c>
      <c r="GGG337" s="42" t="s">
        <v>606</v>
      </c>
      <c r="GGH337" s="42" t="s">
        <v>606</v>
      </c>
      <c r="GGI337" s="42" t="s">
        <v>606</v>
      </c>
      <c r="GGJ337" s="42" t="s">
        <v>606</v>
      </c>
      <c r="GGK337" s="42" t="s">
        <v>606</v>
      </c>
      <c r="GGL337" s="42" t="s">
        <v>606</v>
      </c>
      <c r="GGM337" s="42" t="s">
        <v>606</v>
      </c>
      <c r="GGN337" s="42" t="s">
        <v>606</v>
      </c>
      <c r="GGO337" s="42" t="s">
        <v>606</v>
      </c>
      <c r="GGP337" s="42" t="s">
        <v>606</v>
      </c>
      <c r="GGQ337" s="42" t="s">
        <v>606</v>
      </c>
      <c r="GGR337" s="42" t="s">
        <v>606</v>
      </c>
      <c r="GGS337" s="42" t="s">
        <v>606</v>
      </c>
      <c r="GGT337" s="42" t="s">
        <v>606</v>
      </c>
      <c r="GGU337" s="42" t="s">
        <v>606</v>
      </c>
      <c r="GGV337" s="42" t="s">
        <v>606</v>
      </c>
      <c r="GGW337" s="42" t="s">
        <v>606</v>
      </c>
      <c r="GGX337" s="42" t="s">
        <v>606</v>
      </c>
      <c r="GGY337" s="42" t="s">
        <v>606</v>
      </c>
      <c r="GGZ337" s="42" t="s">
        <v>606</v>
      </c>
      <c r="GHA337" s="42" t="s">
        <v>606</v>
      </c>
      <c r="GHB337" s="42" t="s">
        <v>606</v>
      </c>
      <c r="GHC337" s="42" t="s">
        <v>606</v>
      </c>
      <c r="GHD337" s="42" t="s">
        <v>606</v>
      </c>
      <c r="GHE337" s="42" t="s">
        <v>606</v>
      </c>
      <c r="GHF337" s="42" t="s">
        <v>606</v>
      </c>
      <c r="GHG337" s="42" t="s">
        <v>606</v>
      </c>
      <c r="GHH337" s="42" t="s">
        <v>606</v>
      </c>
      <c r="GHI337" s="42" t="s">
        <v>606</v>
      </c>
      <c r="GHJ337" s="42" t="s">
        <v>606</v>
      </c>
      <c r="GHK337" s="42" t="s">
        <v>606</v>
      </c>
      <c r="GHL337" s="42" t="s">
        <v>606</v>
      </c>
      <c r="GHM337" s="42" t="s">
        <v>606</v>
      </c>
      <c r="GHN337" s="42" t="s">
        <v>606</v>
      </c>
      <c r="GHO337" s="42" t="s">
        <v>606</v>
      </c>
      <c r="GHP337" s="42" t="s">
        <v>606</v>
      </c>
      <c r="GHQ337" s="42" t="s">
        <v>606</v>
      </c>
      <c r="GHR337" s="42" t="s">
        <v>606</v>
      </c>
      <c r="GHS337" s="42" t="s">
        <v>606</v>
      </c>
      <c r="GHT337" s="42" t="s">
        <v>606</v>
      </c>
      <c r="GHU337" s="42" t="s">
        <v>606</v>
      </c>
      <c r="GHV337" s="42" t="s">
        <v>606</v>
      </c>
      <c r="GHW337" s="42" t="s">
        <v>606</v>
      </c>
      <c r="GHX337" s="42" t="s">
        <v>606</v>
      </c>
      <c r="GHY337" s="42" t="s">
        <v>606</v>
      </c>
      <c r="GHZ337" s="42" t="s">
        <v>606</v>
      </c>
      <c r="GIA337" s="42" t="s">
        <v>606</v>
      </c>
      <c r="GIB337" s="42" t="s">
        <v>606</v>
      </c>
      <c r="GIC337" s="42" t="s">
        <v>606</v>
      </c>
      <c r="GID337" s="42" t="s">
        <v>606</v>
      </c>
      <c r="GIE337" s="42" t="s">
        <v>606</v>
      </c>
      <c r="GIF337" s="42" t="s">
        <v>606</v>
      </c>
      <c r="GIG337" s="42" t="s">
        <v>606</v>
      </c>
      <c r="GIH337" s="42" t="s">
        <v>606</v>
      </c>
      <c r="GII337" s="42" t="s">
        <v>606</v>
      </c>
      <c r="GIJ337" s="42" t="s">
        <v>606</v>
      </c>
      <c r="GIK337" s="42" t="s">
        <v>606</v>
      </c>
      <c r="GIL337" s="42" t="s">
        <v>606</v>
      </c>
      <c r="GIM337" s="42" t="s">
        <v>606</v>
      </c>
      <c r="GIN337" s="42" t="s">
        <v>606</v>
      </c>
      <c r="GIO337" s="42" t="s">
        <v>606</v>
      </c>
      <c r="GIP337" s="42" t="s">
        <v>606</v>
      </c>
      <c r="GIQ337" s="42" t="s">
        <v>606</v>
      </c>
      <c r="GIR337" s="42" t="s">
        <v>606</v>
      </c>
      <c r="GIS337" s="42" t="s">
        <v>606</v>
      </c>
      <c r="GIT337" s="42" t="s">
        <v>606</v>
      </c>
      <c r="GIU337" s="42" t="s">
        <v>606</v>
      </c>
      <c r="GIV337" s="42" t="s">
        <v>606</v>
      </c>
      <c r="GIW337" s="42" t="s">
        <v>606</v>
      </c>
      <c r="GIX337" s="42" t="s">
        <v>606</v>
      </c>
      <c r="GIY337" s="42" t="s">
        <v>606</v>
      </c>
      <c r="GIZ337" s="42" t="s">
        <v>606</v>
      </c>
      <c r="GJA337" s="42" t="s">
        <v>606</v>
      </c>
      <c r="GJB337" s="42" t="s">
        <v>606</v>
      </c>
      <c r="GJC337" s="42" t="s">
        <v>606</v>
      </c>
      <c r="GJD337" s="42" t="s">
        <v>606</v>
      </c>
      <c r="GJE337" s="42" t="s">
        <v>606</v>
      </c>
      <c r="GJF337" s="42" t="s">
        <v>606</v>
      </c>
      <c r="GJG337" s="42" t="s">
        <v>606</v>
      </c>
      <c r="GJH337" s="42" t="s">
        <v>606</v>
      </c>
      <c r="GJI337" s="42" t="s">
        <v>606</v>
      </c>
      <c r="GJJ337" s="42" t="s">
        <v>606</v>
      </c>
      <c r="GJK337" s="42" t="s">
        <v>606</v>
      </c>
      <c r="GJL337" s="42" t="s">
        <v>606</v>
      </c>
      <c r="GJM337" s="42" t="s">
        <v>606</v>
      </c>
      <c r="GJN337" s="42" t="s">
        <v>606</v>
      </c>
      <c r="GJO337" s="42" t="s">
        <v>606</v>
      </c>
      <c r="GJP337" s="42" t="s">
        <v>606</v>
      </c>
      <c r="GJQ337" s="42" t="s">
        <v>606</v>
      </c>
      <c r="GJR337" s="42" t="s">
        <v>606</v>
      </c>
      <c r="GJS337" s="42" t="s">
        <v>606</v>
      </c>
      <c r="GJT337" s="42" t="s">
        <v>606</v>
      </c>
      <c r="GJU337" s="42" t="s">
        <v>606</v>
      </c>
      <c r="GJV337" s="42" t="s">
        <v>606</v>
      </c>
      <c r="GJW337" s="42" t="s">
        <v>606</v>
      </c>
      <c r="GJX337" s="42" t="s">
        <v>606</v>
      </c>
      <c r="GJY337" s="42" t="s">
        <v>606</v>
      </c>
      <c r="GJZ337" s="42" t="s">
        <v>606</v>
      </c>
      <c r="GKA337" s="42" t="s">
        <v>606</v>
      </c>
      <c r="GKB337" s="42" t="s">
        <v>606</v>
      </c>
      <c r="GKC337" s="42" t="s">
        <v>606</v>
      </c>
      <c r="GKD337" s="42" t="s">
        <v>606</v>
      </c>
      <c r="GKE337" s="42" t="s">
        <v>606</v>
      </c>
      <c r="GKF337" s="42" t="s">
        <v>606</v>
      </c>
      <c r="GKG337" s="42" t="s">
        <v>606</v>
      </c>
      <c r="GKH337" s="42" t="s">
        <v>606</v>
      </c>
      <c r="GKI337" s="42" t="s">
        <v>606</v>
      </c>
      <c r="GKJ337" s="42" t="s">
        <v>606</v>
      </c>
      <c r="GKK337" s="42" t="s">
        <v>606</v>
      </c>
      <c r="GKL337" s="42" t="s">
        <v>606</v>
      </c>
      <c r="GKM337" s="42" t="s">
        <v>606</v>
      </c>
      <c r="GKN337" s="42" t="s">
        <v>606</v>
      </c>
      <c r="GKO337" s="42" t="s">
        <v>606</v>
      </c>
      <c r="GKP337" s="42" t="s">
        <v>606</v>
      </c>
      <c r="GKQ337" s="42" t="s">
        <v>606</v>
      </c>
      <c r="GKR337" s="42" t="s">
        <v>606</v>
      </c>
      <c r="GKS337" s="42" t="s">
        <v>606</v>
      </c>
      <c r="GKT337" s="42" t="s">
        <v>606</v>
      </c>
      <c r="GKU337" s="42" t="s">
        <v>606</v>
      </c>
      <c r="GKV337" s="42" t="s">
        <v>606</v>
      </c>
      <c r="GKW337" s="42" t="s">
        <v>606</v>
      </c>
      <c r="GKX337" s="42" t="s">
        <v>606</v>
      </c>
      <c r="GKY337" s="42" t="s">
        <v>606</v>
      </c>
      <c r="GKZ337" s="42" t="s">
        <v>606</v>
      </c>
      <c r="GLA337" s="42" t="s">
        <v>606</v>
      </c>
      <c r="GLB337" s="42" t="s">
        <v>606</v>
      </c>
      <c r="GLC337" s="42" t="s">
        <v>606</v>
      </c>
      <c r="GLD337" s="42" t="s">
        <v>606</v>
      </c>
      <c r="GLE337" s="42" t="s">
        <v>606</v>
      </c>
      <c r="GLF337" s="42" t="s">
        <v>606</v>
      </c>
      <c r="GLG337" s="42" t="s">
        <v>606</v>
      </c>
      <c r="GLH337" s="42" t="s">
        <v>606</v>
      </c>
      <c r="GLI337" s="42" t="s">
        <v>606</v>
      </c>
      <c r="GLJ337" s="42" t="s">
        <v>606</v>
      </c>
      <c r="GLK337" s="42" t="s">
        <v>606</v>
      </c>
      <c r="GLL337" s="42" t="s">
        <v>606</v>
      </c>
      <c r="GLM337" s="42" t="s">
        <v>606</v>
      </c>
      <c r="GLN337" s="42" t="s">
        <v>606</v>
      </c>
      <c r="GLO337" s="42" t="s">
        <v>606</v>
      </c>
      <c r="GLP337" s="42" t="s">
        <v>606</v>
      </c>
      <c r="GLQ337" s="42" t="s">
        <v>606</v>
      </c>
      <c r="GLR337" s="42" t="s">
        <v>606</v>
      </c>
      <c r="GLS337" s="42" t="s">
        <v>606</v>
      </c>
      <c r="GLT337" s="42" t="s">
        <v>606</v>
      </c>
      <c r="GLU337" s="42" t="s">
        <v>606</v>
      </c>
      <c r="GLV337" s="42" t="s">
        <v>606</v>
      </c>
      <c r="GLW337" s="42" t="s">
        <v>606</v>
      </c>
      <c r="GLX337" s="42" t="s">
        <v>606</v>
      </c>
      <c r="GLY337" s="42" t="s">
        <v>606</v>
      </c>
      <c r="GLZ337" s="42" t="s">
        <v>606</v>
      </c>
      <c r="GMA337" s="42" t="s">
        <v>606</v>
      </c>
      <c r="GMB337" s="42" t="s">
        <v>606</v>
      </c>
      <c r="GMC337" s="42" t="s">
        <v>606</v>
      </c>
      <c r="GMD337" s="42" t="s">
        <v>606</v>
      </c>
      <c r="GME337" s="42" t="s">
        <v>606</v>
      </c>
      <c r="GMF337" s="42" t="s">
        <v>606</v>
      </c>
      <c r="GMG337" s="42" t="s">
        <v>606</v>
      </c>
      <c r="GMH337" s="42" t="s">
        <v>606</v>
      </c>
      <c r="GMI337" s="42" t="s">
        <v>606</v>
      </c>
      <c r="GMJ337" s="42" t="s">
        <v>606</v>
      </c>
      <c r="GMK337" s="42" t="s">
        <v>606</v>
      </c>
      <c r="GML337" s="42" t="s">
        <v>606</v>
      </c>
      <c r="GMM337" s="42" t="s">
        <v>606</v>
      </c>
      <c r="GMN337" s="42" t="s">
        <v>606</v>
      </c>
      <c r="GMO337" s="42" t="s">
        <v>606</v>
      </c>
      <c r="GMP337" s="42" t="s">
        <v>606</v>
      </c>
      <c r="GMQ337" s="42" t="s">
        <v>606</v>
      </c>
      <c r="GMR337" s="42" t="s">
        <v>606</v>
      </c>
      <c r="GMS337" s="42" t="s">
        <v>606</v>
      </c>
      <c r="GMT337" s="42" t="s">
        <v>606</v>
      </c>
      <c r="GMU337" s="42" t="s">
        <v>606</v>
      </c>
      <c r="GMV337" s="42" t="s">
        <v>606</v>
      </c>
      <c r="GMW337" s="42" t="s">
        <v>606</v>
      </c>
      <c r="GMX337" s="42" t="s">
        <v>606</v>
      </c>
      <c r="GMY337" s="42" t="s">
        <v>606</v>
      </c>
      <c r="GMZ337" s="42" t="s">
        <v>606</v>
      </c>
      <c r="GNA337" s="42" t="s">
        <v>606</v>
      </c>
      <c r="GNB337" s="42" t="s">
        <v>606</v>
      </c>
      <c r="GNC337" s="42" t="s">
        <v>606</v>
      </c>
      <c r="GND337" s="42" t="s">
        <v>606</v>
      </c>
      <c r="GNE337" s="42" t="s">
        <v>606</v>
      </c>
      <c r="GNF337" s="42" t="s">
        <v>606</v>
      </c>
      <c r="GNG337" s="42" t="s">
        <v>606</v>
      </c>
      <c r="GNH337" s="42" t="s">
        <v>606</v>
      </c>
      <c r="GNI337" s="42" t="s">
        <v>606</v>
      </c>
      <c r="GNJ337" s="42" t="s">
        <v>606</v>
      </c>
      <c r="GNK337" s="42" t="s">
        <v>606</v>
      </c>
      <c r="GNL337" s="42" t="s">
        <v>606</v>
      </c>
      <c r="GNM337" s="42" t="s">
        <v>606</v>
      </c>
      <c r="GNN337" s="42" t="s">
        <v>606</v>
      </c>
      <c r="GNO337" s="42" t="s">
        <v>606</v>
      </c>
      <c r="GNP337" s="42" t="s">
        <v>606</v>
      </c>
      <c r="GNQ337" s="42" t="s">
        <v>606</v>
      </c>
      <c r="GNR337" s="42" t="s">
        <v>606</v>
      </c>
      <c r="GNS337" s="42" t="s">
        <v>606</v>
      </c>
      <c r="GNT337" s="42" t="s">
        <v>606</v>
      </c>
      <c r="GNU337" s="42" t="s">
        <v>606</v>
      </c>
      <c r="GNV337" s="42" t="s">
        <v>606</v>
      </c>
      <c r="GNW337" s="42" t="s">
        <v>606</v>
      </c>
      <c r="GNX337" s="42" t="s">
        <v>606</v>
      </c>
      <c r="GNY337" s="42" t="s">
        <v>606</v>
      </c>
      <c r="GNZ337" s="42" t="s">
        <v>606</v>
      </c>
      <c r="GOA337" s="42" t="s">
        <v>606</v>
      </c>
      <c r="GOB337" s="42" t="s">
        <v>606</v>
      </c>
      <c r="GOC337" s="42" t="s">
        <v>606</v>
      </c>
      <c r="GOD337" s="42" t="s">
        <v>606</v>
      </c>
      <c r="GOE337" s="42" t="s">
        <v>606</v>
      </c>
      <c r="GOF337" s="42" t="s">
        <v>606</v>
      </c>
      <c r="GOG337" s="42" t="s">
        <v>606</v>
      </c>
      <c r="GOH337" s="42" t="s">
        <v>606</v>
      </c>
      <c r="GOI337" s="42" t="s">
        <v>606</v>
      </c>
      <c r="GOJ337" s="42" t="s">
        <v>606</v>
      </c>
      <c r="GOK337" s="42" t="s">
        <v>606</v>
      </c>
      <c r="GOL337" s="42" t="s">
        <v>606</v>
      </c>
      <c r="GOM337" s="42" t="s">
        <v>606</v>
      </c>
      <c r="GON337" s="42" t="s">
        <v>606</v>
      </c>
      <c r="GOO337" s="42" t="s">
        <v>606</v>
      </c>
      <c r="GOP337" s="42" t="s">
        <v>606</v>
      </c>
      <c r="GOQ337" s="42" t="s">
        <v>606</v>
      </c>
      <c r="GOR337" s="42" t="s">
        <v>606</v>
      </c>
      <c r="GOS337" s="42" t="s">
        <v>606</v>
      </c>
      <c r="GOT337" s="42" t="s">
        <v>606</v>
      </c>
      <c r="GOU337" s="42" t="s">
        <v>606</v>
      </c>
      <c r="GOV337" s="42" t="s">
        <v>606</v>
      </c>
      <c r="GOW337" s="42" t="s">
        <v>606</v>
      </c>
      <c r="GOX337" s="42" t="s">
        <v>606</v>
      </c>
      <c r="GOY337" s="42" t="s">
        <v>606</v>
      </c>
      <c r="GOZ337" s="42" t="s">
        <v>606</v>
      </c>
      <c r="GPA337" s="42" t="s">
        <v>606</v>
      </c>
      <c r="GPB337" s="42" t="s">
        <v>606</v>
      </c>
      <c r="GPC337" s="42" t="s">
        <v>606</v>
      </c>
      <c r="GPD337" s="42" t="s">
        <v>606</v>
      </c>
      <c r="GPE337" s="42" t="s">
        <v>606</v>
      </c>
      <c r="GPF337" s="42" t="s">
        <v>606</v>
      </c>
      <c r="GPG337" s="42" t="s">
        <v>606</v>
      </c>
      <c r="GPH337" s="42" t="s">
        <v>606</v>
      </c>
      <c r="GPI337" s="42" t="s">
        <v>606</v>
      </c>
      <c r="GPJ337" s="42" t="s">
        <v>606</v>
      </c>
      <c r="GPK337" s="42" t="s">
        <v>606</v>
      </c>
      <c r="GPL337" s="42" t="s">
        <v>606</v>
      </c>
      <c r="GPM337" s="42" t="s">
        <v>606</v>
      </c>
      <c r="GPN337" s="42" t="s">
        <v>606</v>
      </c>
      <c r="GPO337" s="42" t="s">
        <v>606</v>
      </c>
      <c r="GPP337" s="42" t="s">
        <v>606</v>
      </c>
      <c r="GPQ337" s="42" t="s">
        <v>606</v>
      </c>
      <c r="GPR337" s="42" t="s">
        <v>606</v>
      </c>
      <c r="GPS337" s="42" t="s">
        <v>606</v>
      </c>
      <c r="GPT337" s="42" t="s">
        <v>606</v>
      </c>
      <c r="GPU337" s="42" t="s">
        <v>606</v>
      </c>
      <c r="GPV337" s="42" t="s">
        <v>606</v>
      </c>
      <c r="GPW337" s="42" t="s">
        <v>606</v>
      </c>
      <c r="GPX337" s="42" t="s">
        <v>606</v>
      </c>
      <c r="GPY337" s="42" t="s">
        <v>606</v>
      </c>
      <c r="GPZ337" s="42" t="s">
        <v>606</v>
      </c>
      <c r="GQA337" s="42" t="s">
        <v>606</v>
      </c>
      <c r="GQB337" s="42" t="s">
        <v>606</v>
      </c>
      <c r="GQC337" s="42" t="s">
        <v>606</v>
      </c>
      <c r="GQD337" s="42" t="s">
        <v>606</v>
      </c>
      <c r="GQE337" s="42" t="s">
        <v>606</v>
      </c>
      <c r="GQF337" s="42" t="s">
        <v>606</v>
      </c>
      <c r="GQG337" s="42" t="s">
        <v>606</v>
      </c>
      <c r="GQH337" s="42" t="s">
        <v>606</v>
      </c>
      <c r="GQI337" s="42" t="s">
        <v>606</v>
      </c>
      <c r="GQJ337" s="42" t="s">
        <v>606</v>
      </c>
      <c r="GQK337" s="42" t="s">
        <v>606</v>
      </c>
      <c r="GQL337" s="42" t="s">
        <v>606</v>
      </c>
      <c r="GQM337" s="42" t="s">
        <v>606</v>
      </c>
      <c r="GQN337" s="42" t="s">
        <v>606</v>
      </c>
      <c r="GQO337" s="42" t="s">
        <v>606</v>
      </c>
      <c r="GQP337" s="42" t="s">
        <v>606</v>
      </c>
      <c r="GQQ337" s="42" t="s">
        <v>606</v>
      </c>
      <c r="GQR337" s="42" t="s">
        <v>606</v>
      </c>
      <c r="GQS337" s="42" t="s">
        <v>606</v>
      </c>
      <c r="GQT337" s="42" t="s">
        <v>606</v>
      </c>
      <c r="GQU337" s="42" t="s">
        <v>606</v>
      </c>
      <c r="GQV337" s="42" t="s">
        <v>606</v>
      </c>
      <c r="GQW337" s="42" t="s">
        <v>606</v>
      </c>
      <c r="GQX337" s="42" t="s">
        <v>606</v>
      </c>
      <c r="GQY337" s="42" t="s">
        <v>606</v>
      </c>
      <c r="GQZ337" s="42" t="s">
        <v>606</v>
      </c>
      <c r="GRA337" s="42" t="s">
        <v>606</v>
      </c>
      <c r="GRB337" s="42" t="s">
        <v>606</v>
      </c>
      <c r="GRC337" s="42" t="s">
        <v>606</v>
      </c>
      <c r="GRD337" s="42" t="s">
        <v>606</v>
      </c>
      <c r="GRE337" s="42" t="s">
        <v>606</v>
      </c>
      <c r="GRF337" s="42" t="s">
        <v>606</v>
      </c>
      <c r="GRG337" s="42" t="s">
        <v>606</v>
      </c>
      <c r="GRH337" s="42" t="s">
        <v>606</v>
      </c>
      <c r="GRI337" s="42" t="s">
        <v>606</v>
      </c>
      <c r="GRJ337" s="42" t="s">
        <v>606</v>
      </c>
      <c r="GRK337" s="42" t="s">
        <v>606</v>
      </c>
      <c r="GRL337" s="42" t="s">
        <v>606</v>
      </c>
      <c r="GRM337" s="42" t="s">
        <v>606</v>
      </c>
      <c r="GRN337" s="42" t="s">
        <v>606</v>
      </c>
      <c r="GRO337" s="42" t="s">
        <v>606</v>
      </c>
      <c r="GRP337" s="42" t="s">
        <v>606</v>
      </c>
      <c r="GRQ337" s="42" t="s">
        <v>606</v>
      </c>
      <c r="GRR337" s="42" t="s">
        <v>606</v>
      </c>
      <c r="GRS337" s="42" t="s">
        <v>606</v>
      </c>
      <c r="GRT337" s="42" t="s">
        <v>606</v>
      </c>
      <c r="GRU337" s="42" t="s">
        <v>606</v>
      </c>
      <c r="GRV337" s="42" t="s">
        <v>606</v>
      </c>
      <c r="GRW337" s="42" t="s">
        <v>606</v>
      </c>
      <c r="GRX337" s="42" t="s">
        <v>606</v>
      </c>
      <c r="GRY337" s="42" t="s">
        <v>606</v>
      </c>
      <c r="GRZ337" s="42" t="s">
        <v>606</v>
      </c>
      <c r="GSA337" s="42" t="s">
        <v>606</v>
      </c>
      <c r="GSB337" s="42" t="s">
        <v>606</v>
      </c>
      <c r="GSC337" s="42" t="s">
        <v>606</v>
      </c>
      <c r="GSD337" s="42" t="s">
        <v>606</v>
      </c>
      <c r="GSE337" s="42" t="s">
        <v>606</v>
      </c>
      <c r="GSF337" s="42" t="s">
        <v>606</v>
      </c>
      <c r="GSG337" s="42" t="s">
        <v>606</v>
      </c>
      <c r="GSH337" s="42" t="s">
        <v>606</v>
      </c>
      <c r="GSI337" s="42" t="s">
        <v>606</v>
      </c>
      <c r="GSJ337" s="42" t="s">
        <v>606</v>
      </c>
      <c r="GSK337" s="42" t="s">
        <v>606</v>
      </c>
      <c r="GSL337" s="42" t="s">
        <v>606</v>
      </c>
      <c r="GSM337" s="42" t="s">
        <v>606</v>
      </c>
      <c r="GSN337" s="42" t="s">
        <v>606</v>
      </c>
      <c r="GSO337" s="42" t="s">
        <v>606</v>
      </c>
      <c r="GSP337" s="42" t="s">
        <v>606</v>
      </c>
      <c r="GSQ337" s="42" t="s">
        <v>606</v>
      </c>
      <c r="GSR337" s="42" t="s">
        <v>606</v>
      </c>
      <c r="GSS337" s="42" t="s">
        <v>606</v>
      </c>
      <c r="GST337" s="42" t="s">
        <v>606</v>
      </c>
      <c r="GSU337" s="42" t="s">
        <v>606</v>
      </c>
      <c r="GSV337" s="42" t="s">
        <v>606</v>
      </c>
      <c r="GSW337" s="42" t="s">
        <v>606</v>
      </c>
      <c r="GSX337" s="42" t="s">
        <v>606</v>
      </c>
      <c r="GSY337" s="42" t="s">
        <v>606</v>
      </c>
      <c r="GSZ337" s="42" t="s">
        <v>606</v>
      </c>
      <c r="GTA337" s="42" t="s">
        <v>606</v>
      </c>
      <c r="GTB337" s="42" t="s">
        <v>606</v>
      </c>
      <c r="GTC337" s="42" t="s">
        <v>606</v>
      </c>
      <c r="GTD337" s="42" t="s">
        <v>606</v>
      </c>
      <c r="GTE337" s="42" t="s">
        <v>606</v>
      </c>
      <c r="GTF337" s="42" t="s">
        <v>606</v>
      </c>
      <c r="GTG337" s="42" t="s">
        <v>606</v>
      </c>
      <c r="GTH337" s="42" t="s">
        <v>606</v>
      </c>
      <c r="GTI337" s="42" t="s">
        <v>606</v>
      </c>
      <c r="GTJ337" s="42" t="s">
        <v>606</v>
      </c>
      <c r="GTK337" s="42" t="s">
        <v>606</v>
      </c>
      <c r="GTL337" s="42" t="s">
        <v>606</v>
      </c>
      <c r="GTM337" s="42" t="s">
        <v>606</v>
      </c>
      <c r="GTN337" s="42" t="s">
        <v>606</v>
      </c>
      <c r="GTO337" s="42" t="s">
        <v>606</v>
      </c>
      <c r="GTP337" s="42" t="s">
        <v>606</v>
      </c>
      <c r="GTQ337" s="42" t="s">
        <v>606</v>
      </c>
      <c r="GTR337" s="42" t="s">
        <v>606</v>
      </c>
      <c r="GTS337" s="42" t="s">
        <v>606</v>
      </c>
      <c r="GTT337" s="42" t="s">
        <v>606</v>
      </c>
      <c r="GTU337" s="42" t="s">
        <v>606</v>
      </c>
      <c r="GTV337" s="42" t="s">
        <v>606</v>
      </c>
      <c r="GTW337" s="42" t="s">
        <v>606</v>
      </c>
      <c r="GTX337" s="42" t="s">
        <v>606</v>
      </c>
      <c r="GTY337" s="42" t="s">
        <v>606</v>
      </c>
      <c r="GTZ337" s="42" t="s">
        <v>606</v>
      </c>
      <c r="GUA337" s="42" t="s">
        <v>606</v>
      </c>
      <c r="GUB337" s="42" t="s">
        <v>606</v>
      </c>
      <c r="GUC337" s="42" t="s">
        <v>606</v>
      </c>
      <c r="GUD337" s="42" t="s">
        <v>606</v>
      </c>
      <c r="GUE337" s="42" t="s">
        <v>606</v>
      </c>
      <c r="GUF337" s="42" t="s">
        <v>606</v>
      </c>
      <c r="GUG337" s="42" t="s">
        <v>606</v>
      </c>
      <c r="GUH337" s="42" t="s">
        <v>606</v>
      </c>
      <c r="GUI337" s="42" t="s">
        <v>606</v>
      </c>
      <c r="GUJ337" s="42" t="s">
        <v>606</v>
      </c>
      <c r="GUK337" s="42" t="s">
        <v>606</v>
      </c>
      <c r="GUL337" s="42" t="s">
        <v>606</v>
      </c>
      <c r="GUM337" s="42" t="s">
        <v>606</v>
      </c>
      <c r="GUN337" s="42" t="s">
        <v>606</v>
      </c>
      <c r="GUO337" s="42" t="s">
        <v>606</v>
      </c>
      <c r="GUP337" s="42" t="s">
        <v>606</v>
      </c>
      <c r="GUQ337" s="42" t="s">
        <v>606</v>
      </c>
      <c r="GUR337" s="42" t="s">
        <v>606</v>
      </c>
      <c r="GUS337" s="42" t="s">
        <v>606</v>
      </c>
      <c r="GUT337" s="42" t="s">
        <v>606</v>
      </c>
      <c r="GUU337" s="42" t="s">
        <v>606</v>
      </c>
      <c r="GUV337" s="42" t="s">
        <v>606</v>
      </c>
      <c r="GUW337" s="42" t="s">
        <v>606</v>
      </c>
      <c r="GUX337" s="42" t="s">
        <v>606</v>
      </c>
      <c r="GUY337" s="42" t="s">
        <v>606</v>
      </c>
      <c r="GUZ337" s="42" t="s">
        <v>606</v>
      </c>
      <c r="GVA337" s="42" t="s">
        <v>606</v>
      </c>
      <c r="GVB337" s="42" t="s">
        <v>606</v>
      </c>
      <c r="GVC337" s="42" t="s">
        <v>606</v>
      </c>
      <c r="GVD337" s="42" t="s">
        <v>606</v>
      </c>
      <c r="GVE337" s="42" t="s">
        <v>606</v>
      </c>
      <c r="GVF337" s="42" t="s">
        <v>606</v>
      </c>
      <c r="GVG337" s="42" t="s">
        <v>606</v>
      </c>
      <c r="GVH337" s="42" t="s">
        <v>606</v>
      </c>
      <c r="GVI337" s="42" t="s">
        <v>606</v>
      </c>
      <c r="GVJ337" s="42" t="s">
        <v>606</v>
      </c>
      <c r="GVK337" s="42" t="s">
        <v>606</v>
      </c>
      <c r="GVL337" s="42" t="s">
        <v>606</v>
      </c>
      <c r="GVM337" s="42" t="s">
        <v>606</v>
      </c>
      <c r="GVN337" s="42" t="s">
        <v>606</v>
      </c>
      <c r="GVO337" s="42" t="s">
        <v>606</v>
      </c>
      <c r="GVP337" s="42" t="s">
        <v>606</v>
      </c>
      <c r="GVQ337" s="42" t="s">
        <v>606</v>
      </c>
      <c r="GVR337" s="42" t="s">
        <v>606</v>
      </c>
      <c r="GVS337" s="42" t="s">
        <v>606</v>
      </c>
      <c r="GVT337" s="42" t="s">
        <v>606</v>
      </c>
      <c r="GVU337" s="42" t="s">
        <v>606</v>
      </c>
      <c r="GVV337" s="42" t="s">
        <v>606</v>
      </c>
      <c r="GVW337" s="42" t="s">
        <v>606</v>
      </c>
      <c r="GVX337" s="42" t="s">
        <v>606</v>
      </c>
      <c r="GVY337" s="42" t="s">
        <v>606</v>
      </c>
      <c r="GVZ337" s="42" t="s">
        <v>606</v>
      </c>
      <c r="GWA337" s="42" t="s">
        <v>606</v>
      </c>
      <c r="GWB337" s="42" t="s">
        <v>606</v>
      </c>
      <c r="GWC337" s="42" t="s">
        <v>606</v>
      </c>
      <c r="GWD337" s="42" t="s">
        <v>606</v>
      </c>
      <c r="GWE337" s="42" t="s">
        <v>606</v>
      </c>
      <c r="GWF337" s="42" t="s">
        <v>606</v>
      </c>
      <c r="GWG337" s="42" t="s">
        <v>606</v>
      </c>
      <c r="GWH337" s="42" t="s">
        <v>606</v>
      </c>
      <c r="GWI337" s="42" t="s">
        <v>606</v>
      </c>
      <c r="GWJ337" s="42" t="s">
        <v>606</v>
      </c>
      <c r="GWK337" s="42" t="s">
        <v>606</v>
      </c>
      <c r="GWL337" s="42" t="s">
        <v>606</v>
      </c>
      <c r="GWM337" s="42" t="s">
        <v>606</v>
      </c>
      <c r="GWN337" s="42" t="s">
        <v>606</v>
      </c>
      <c r="GWO337" s="42" t="s">
        <v>606</v>
      </c>
      <c r="GWP337" s="42" t="s">
        <v>606</v>
      </c>
      <c r="GWQ337" s="42" t="s">
        <v>606</v>
      </c>
      <c r="GWR337" s="42" t="s">
        <v>606</v>
      </c>
      <c r="GWS337" s="42" t="s">
        <v>606</v>
      </c>
      <c r="GWT337" s="42" t="s">
        <v>606</v>
      </c>
      <c r="GWU337" s="42" t="s">
        <v>606</v>
      </c>
      <c r="GWV337" s="42" t="s">
        <v>606</v>
      </c>
      <c r="GWW337" s="42" t="s">
        <v>606</v>
      </c>
      <c r="GWX337" s="42" t="s">
        <v>606</v>
      </c>
      <c r="GWY337" s="42" t="s">
        <v>606</v>
      </c>
      <c r="GWZ337" s="42" t="s">
        <v>606</v>
      </c>
      <c r="GXA337" s="42" t="s">
        <v>606</v>
      </c>
      <c r="GXB337" s="42" t="s">
        <v>606</v>
      </c>
      <c r="GXC337" s="42" t="s">
        <v>606</v>
      </c>
      <c r="GXD337" s="42" t="s">
        <v>606</v>
      </c>
      <c r="GXE337" s="42" t="s">
        <v>606</v>
      </c>
      <c r="GXF337" s="42" t="s">
        <v>606</v>
      </c>
      <c r="GXG337" s="42" t="s">
        <v>606</v>
      </c>
      <c r="GXH337" s="42" t="s">
        <v>606</v>
      </c>
      <c r="GXI337" s="42" t="s">
        <v>606</v>
      </c>
      <c r="GXJ337" s="42" t="s">
        <v>606</v>
      </c>
      <c r="GXK337" s="42" t="s">
        <v>606</v>
      </c>
      <c r="GXL337" s="42" t="s">
        <v>606</v>
      </c>
      <c r="GXM337" s="42" t="s">
        <v>606</v>
      </c>
      <c r="GXN337" s="42" t="s">
        <v>606</v>
      </c>
      <c r="GXO337" s="42" t="s">
        <v>606</v>
      </c>
      <c r="GXP337" s="42" t="s">
        <v>606</v>
      </c>
      <c r="GXQ337" s="42" t="s">
        <v>606</v>
      </c>
      <c r="GXR337" s="42" t="s">
        <v>606</v>
      </c>
      <c r="GXS337" s="42" t="s">
        <v>606</v>
      </c>
      <c r="GXT337" s="42" t="s">
        <v>606</v>
      </c>
      <c r="GXU337" s="42" t="s">
        <v>606</v>
      </c>
      <c r="GXV337" s="42" t="s">
        <v>606</v>
      </c>
      <c r="GXW337" s="42" t="s">
        <v>606</v>
      </c>
      <c r="GXX337" s="42" t="s">
        <v>606</v>
      </c>
      <c r="GXY337" s="42" t="s">
        <v>606</v>
      </c>
      <c r="GXZ337" s="42" t="s">
        <v>606</v>
      </c>
      <c r="GYA337" s="42" t="s">
        <v>606</v>
      </c>
      <c r="GYB337" s="42" t="s">
        <v>606</v>
      </c>
      <c r="GYC337" s="42" t="s">
        <v>606</v>
      </c>
      <c r="GYD337" s="42" t="s">
        <v>606</v>
      </c>
      <c r="GYE337" s="42" t="s">
        <v>606</v>
      </c>
      <c r="GYF337" s="42" t="s">
        <v>606</v>
      </c>
      <c r="GYG337" s="42" t="s">
        <v>606</v>
      </c>
      <c r="GYH337" s="42" t="s">
        <v>606</v>
      </c>
      <c r="GYI337" s="42" t="s">
        <v>606</v>
      </c>
      <c r="GYJ337" s="42" t="s">
        <v>606</v>
      </c>
      <c r="GYK337" s="42" t="s">
        <v>606</v>
      </c>
      <c r="GYL337" s="42" t="s">
        <v>606</v>
      </c>
      <c r="GYM337" s="42" t="s">
        <v>606</v>
      </c>
      <c r="GYN337" s="42" t="s">
        <v>606</v>
      </c>
      <c r="GYO337" s="42" t="s">
        <v>606</v>
      </c>
      <c r="GYP337" s="42" t="s">
        <v>606</v>
      </c>
      <c r="GYQ337" s="42" t="s">
        <v>606</v>
      </c>
      <c r="GYR337" s="42" t="s">
        <v>606</v>
      </c>
      <c r="GYS337" s="42" t="s">
        <v>606</v>
      </c>
      <c r="GYT337" s="42" t="s">
        <v>606</v>
      </c>
      <c r="GYU337" s="42" t="s">
        <v>606</v>
      </c>
      <c r="GYV337" s="42" t="s">
        <v>606</v>
      </c>
      <c r="GYW337" s="42" t="s">
        <v>606</v>
      </c>
      <c r="GYX337" s="42" t="s">
        <v>606</v>
      </c>
      <c r="GYY337" s="42" t="s">
        <v>606</v>
      </c>
      <c r="GYZ337" s="42" t="s">
        <v>606</v>
      </c>
      <c r="GZA337" s="42" t="s">
        <v>606</v>
      </c>
      <c r="GZB337" s="42" t="s">
        <v>606</v>
      </c>
      <c r="GZC337" s="42" t="s">
        <v>606</v>
      </c>
      <c r="GZD337" s="42" t="s">
        <v>606</v>
      </c>
      <c r="GZE337" s="42" t="s">
        <v>606</v>
      </c>
      <c r="GZF337" s="42" t="s">
        <v>606</v>
      </c>
      <c r="GZG337" s="42" t="s">
        <v>606</v>
      </c>
      <c r="GZH337" s="42" t="s">
        <v>606</v>
      </c>
      <c r="GZI337" s="42" t="s">
        <v>606</v>
      </c>
      <c r="GZJ337" s="42" t="s">
        <v>606</v>
      </c>
      <c r="GZK337" s="42" t="s">
        <v>606</v>
      </c>
      <c r="GZL337" s="42" t="s">
        <v>606</v>
      </c>
      <c r="GZM337" s="42" t="s">
        <v>606</v>
      </c>
      <c r="GZN337" s="42" t="s">
        <v>606</v>
      </c>
      <c r="GZO337" s="42" t="s">
        <v>606</v>
      </c>
      <c r="GZP337" s="42" t="s">
        <v>606</v>
      </c>
      <c r="GZQ337" s="42" t="s">
        <v>606</v>
      </c>
      <c r="GZR337" s="42" t="s">
        <v>606</v>
      </c>
      <c r="GZS337" s="42" t="s">
        <v>606</v>
      </c>
      <c r="GZT337" s="42" t="s">
        <v>606</v>
      </c>
      <c r="GZU337" s="42" t="s">
        <v>606</v>
      </c>
      <c r="GZV337" s="42" t="s">
        <v>606</v>
      </c>
      <c r="GZW337" s="42" t="s">
        <v>606</v>
      </c>
      <c r="GZX337" s="42" t="s">
        <v>606</v>
      </c>
      <c r="GZY337" s="42" t="s">
        <v>606</v>
      </c>
      <c r="GZZ337" s="42" t="s">
        <v>606</v>
      </c>
      <c r="HAA337" s="42" t="s">
        <v>606</v>
      </c>
      <c r="HAB337" s="42" t="s">
        <v>606</v>
      </c>
      <c r="HAC337" s="42" t="s">
        <v>606</v>
      </c>
      <c r="HAD337" s="42" t="s">
        <v>606</v>
      </c>
      <c r="HAE337" s="42" t="s">
        <v>606</v>
      </c>
      <c r="HAF337" s="42" t="s">
        <v>606</v>
      </c>
      <c r="HAG337" s="42" t="s">
        <v>606</v>
      </c>
      <c r="HAH337" s="42" t="s">
        <v>606</v>
      </c>
      <c r="HAI337" s="42" t="s">
        <v>606</v>
      </c>
      <c r="HAJ337" s="42" t="s">
        <v>606</v>
      </c>
      <c r="HAK337" s="42" t="s">
        <v>606</v>
      </c>
      <c r="HAL337" s="42" t="s">
        <v>606</v>
      </c>
      <c r="HAM337" s="42" t="s">
        <v>606</v>
      </c>
      <c r="HAN337" s="42" t="s">
        <v>606</v>
      </c>
      <c r="HAO337" s="42" t="s">
        <v>606</v>
      </c>
      <c r="HAP337" s="42" t="s">
        <v>606</v>
      </c>
      <c r="HAQ337" s="42" t="s">
        <v>606</v>
      </c>
      <c r="HAR337" s="42" t="s">
        <v>606</v>
      </c>
      <c r="HAS337" s="42" t="s">
        <v>606</v>
      </c>
      <c r="HAT337" s="42" t="s">
        <v>606</v>
      </c>
      <c r="HAU337" s="42" t="s">
        <v>606</v>
      </c>
      <c r="HAV337" s="42" t="s">
        <v>606</v>
      </c>
      <c r="HAW337" s="42" t="s">
        <v>606</v>
      </c>
      <c r="HAX337" s="42" t="s">
        <v>606</v>
      </c>
      <c r="HAY337" s="42" t="s">
        <v>606</v>
      </c>
      <c r="HAZ337" s="42" t="s">
        <v>606</v>
      </c>
      <c r="HBA337" s="42" t="s">
        <v>606</v>
      </c>
      <c r="HBB337" s="42" t="s">
        <v>606</v>
      </c>
      <c r="HBC337" s="42" t="s">
        <v>606</v>
      </c>
      <c r="HBD337" s="42" t="s">
        <v>606</v>
      </c>
      <c r="HBE337" s="42" t="s">
        <v>606</v>
      </c>
      <c r="HBF337" s="42" t="s">
        <v>606</v>
      </c>
      <c r="HBG337" s="42" t="s">
        <v>606</v>
      </c>
      <c r="HBH337" s="42" t="s">
        <v>606</v>
      </c>
      <c r="HBI337" s="42" t="s">
        <v>606</v>
      </c>
      <c r="HBJ337" s="42" t="s">
        <v>606</v>
      </c>
      <c r="HBK337" s="42" t="s">
        <v>606</v>
      </c>
      <c r="HBL337" s="42" t="s">
        <v>606</v>
      </c>
      <c r="HBM337" s="42" t="s">
        <v>606</v>
      </c>
      <c r="HBN337" s="42" t="s">
        <v>606</v>
      </c>
      <c r="HBO337" s="42" t="s">
        <v>606</v>
      </c>
      <c r="HBP337" s="42" t="s">
        <v>606</v>
      </c>
      <c r="HBQ337" s="42" t="s">
        <v>606</v>
      </c>
      <c r="HBR337" s="42" t="s">
        <v>606</v>
      </c>
      <c r="HBS337" s="42" t="s">
        <v>606</v>
      </c>
      <c r="HBT337" s="42" t="s">
        <v>606</v>
      </c>
      <c r="HBU337" s="42" t="s">
        <v>606</v>
      </c>
      <c r="HBV337" s="42" t="s">
        <v>606</v>
      </c>
      <c r="HBW337" s="42" t="s">
        <v>606</v>
      </c>
      <c r="HBX337" s="42" t="s">
        <v>606</v>
      </c>
      <c r="HBY337" s="42" t="s">
        <v>606</v>
      </c>
      <c r="HBZ337" s="42" t="s">
        <v>606</v>
      </c>
      <c r="HCA337" s="42" t="s">
        <v>606</v>
      </c>
      <c r="HCB337" s="42" t="s">
        <v>606</v>
      </c>
      <c r="HCC337" s="42" t="s">
        <v>606</v>
      </c>
      <c r="HCD337" s="42" t="s">
        <v>606</v>
      </c>
      <c r="HCE337" s="42" t="s">
        <v>606</v>
      </c>
      <c r="HCF337" s="42" t="s">
        <v>606</v>
      </c>
      <c r="HCG337" s="42" t="s">
        <v>606</v>
      </c>
      <c r="HCH337" s="42" t="s">
        <v>606</v>
      </c>
      <c r="HCI337" s="42" t="s">
        <v>606</v>
      </c>
      <c r="HCJ337" s="42" t="s">
        <v>606</v>
      </c>
      <c r="HCK337" s="42" t="s">
        <v>606</v>
      </c>
      <c r="HCL337" s="42" t="s">
        <v>606</v>
      </c>
      <c r="HCM337" s="42" t="s">
        <v>606</v>
      </c>
      <c r="HCN337" s="42" t="s">
        <v>606</v>
      </c>
      <c r="HCO337" s="42" t="s">
        <v>606</v>
      </c>
      <c r="HCP337" s="42" t="s">
        <v>606</v>
      </c>
      <c r="HCQ337" s="42" t="s">
        <v>606</v>
      </c>
      <c r="HCR337" s="42" t="s">
        <v>606</v>
      </c>
      <c r="HCS337" s="42" t="s">
        <v>606</v>
      </c>
      <c r="HCT337" s="42" t="s">
        <v>606</v>
      </c>
      <c r="HCU337" s="42" t="s">
        <v>606</v>
      </c>
      <c r="HCV337" s="42" t="s">
        <v>606</v>
      </c>
      <c r="HCW337" s="42" t="s">
        <v>606</v>
      </c>
      <c r="HCX337" s="42" t="s">
        <v>606</v>
      </c>
      <c r="HCY337" s="42" t="s">
        <v>606</v>
      </c>
      <c r="HCZ337" s="42" t="s">
        <v>606</v>
      </c>
      <c r="HDA337" s="42" t="s">
        <v>606</v>
      </c>
      <c r="HDB337" s="42" t="s">
        <v>606</v>
      </c>
      <c r="HDC337" s="42" t="s">
        <v>606</v>
      </c>
      <c r="HDD337" s="42" t="s">
        <v>606</v>
      </c>
      <c r="HDE337" s="42" t="s">
        <v>606</v>
      </c>
      <c r="HDF337" s="42" t="s">
        <v>606</v>
      </c>
      <c r="HDG337" s="42" t="s">
        <v>606</v>
      </c>
      <c r="HDH337" s="42" t="s">
        <v>606</v>
      </c>
      <c r="HDI337" s="42" t="s">
        <v>606</v>
      </c>
      <c r="HDJ337" s="42" t="s">
        <v>606</v>
      </c>
      <c r="HDK337" s="42" t="s">
        <v>606</v>
      </c>
      <c r="HDL337" s="42" t="s">
        <v>606</v>
      </c>
      <c r="HDM337" s="42" t="s">
        <v>606</v>
      </c>
      <c r="HDN337" s="42" t="s">
        <v>606</v>
      </c>
      <c r="HDO337" s="42" t="s">
        <v>606</v>
      </c>
      <c r="HDP337" s="42" t="s">
        <v>606</v>
      </c>
      <c r="HDQ337" s="42" t="s">
        <v>606</v>
      </c>
      <c r="HDR337" s="42" t="s">
        <v>606</v>
      </c>
      <c r="HDS337" s="42" t="s">
        <v>606</v>
      </c>
      <c r="HDT337" s="42" t="s">
        <v>606</v>
      </c>
      <c r="HDU337" s="42" t="s">
        <v>606</v>
      </c>
      <c r="HDV337" s="42" t="s">
        <v>606</v>
      </c>
      <c r="HDW337" s="42" t="s">
        <v>606</v>
      </c>
      <c r="HDX337" s="42" t="s">
        <v>606</v>
      </c>
      <c r="HDY337" s="42" t="s">
        <v>606</v>
      </c>
      <c r="HDZ337" s="42" t="s">
        <v>606</v>
      </c>
      <c r="HEA337" s="42" t="s">
        <v>606</v>
      </c>
      <c r="HEB337" s="42" t="s">
        <v>606</v>
      </c>
      <c r="HEC337" s="42" t="s">
        <v>606</v>
      </c>
      <c r="HED337" s="42" t="s">
        <v>606</v>
      </c>
      <c r="HEE337" s="42" t="s">
        <v>606</v>
      </c>
      <c r="HEF337" s="42" t="s">
        <v>606</v>
      </c>
      <c r="HEG337" s="42" t="s">
        <v>606</v>
      </c>
      <c r="HEH337" s="42" t="s">
        <v>606</v>
      </c>
      <c r="HEI337" s="42" t="s">
        <v>606</v>
      </c>
      <c r="HEJ337" s="42" t="s">
        <v>606</v>
      </c>
      <c r="HEK337" s="42" t="s">
        <v>606</v>
      </c>
      <c r="HEL337" s="42" t="s">
        <v>606</v>
      </c>
      <c r="HEM337" s="42" t="s">
        <v>606</v>
      </c>
      <c r="HEN337" s="42" t="s">
        <v>606</v>
      </c>
      <c r="HEO337" s="42" t="s">
        <v>606</v>
      </c>
      <c r="HEP337" s="42" t="s">
        <v>606</v>
      </c>
      <c r="HEQ337" s="42" t="s">
        <v>606</v>
      </c>
      <c r="HER337" s="42" t="s">
        <v>606</v>
      </c>
      <c r="HES337" s="42" t="s">
        <v>606</v>
      </c>
      <c r="HET337" s="42" t="s">
        <v>606</v>
      </c>
      <c r="HEU337" s="42" t="s">
        <v>606</v>
      </c>
      <c r="HEV337" s="42" t="s">
        <v>606</v>
      </c>
      <c r="HEW337" s="42" t="s">
        <v>606</v>
      </c>
      <c r="HEX337" s="42" t="s">
        <v>606</v>
      </c>
      <c r="HEY337" s="42" t="s">
        <v>606</v>
      </c>
      <c r="HEZ337" s="42" t="s">
        <v>606</v>
      </c>
      <c r="HFA337" s="42" t="s">
        <v>606</v>
      </c>
      <c r="HFB337" s="42" t="s">
        <v>606</v>
      </c>
      <c r="HFC337" s="42" t="s">
        <v>606</v>
      </c>
      <c r="HFD337" s="42" t="s">
        <v>606</v>
      </c>
      <c r="HFE337" s="42" t="s">
        <v>606</v>
      </c>
      <c r="HFF337" s="42" t="s">
        <v>606</v>
      </c>
      <c r="HFG337" s="42" t="s">
        <v>606</v>
      </c>
      <c r="HFH337" s="42" t="s">
        <v>606</v>
      </c>
      <c r="HFI337" s="42" t="s">
        <v>606</v>
      </c>
      <c r="HFJ337" s="42" t="s">
        <v>606</v>
      </c>
      <c r="HFK337" s="42" t="s">
        <v>606</v>
      </c>
      <c r="HFL337" s="42" t="s">
        <v>606</v>
      </c>
      <c r="HFM337" s="42" t="s">
        <v>606</v>
      </c>
      <c r="HFN337" s="42" t="s">
        <v>606</v>
      </c>
      <c r="HFO337" s="42" t="s">
        <v>606</v>
      </c>
      <c r="HFP337" s="42" t="s">
        <v>606</v>
      </c>
      <c r="HFQ337" s="42" t="s">
        <v>606</v>
      </c>
      <c r="HFR337" s="42" t="s">
        <v>606</v>
      </c>
      <c r="HFS337" s="42" t="s">
        <v>606</v>
      </c>
      <c r="HFT337" s="42" t="s">
        <v>606</v>
      </c>
      <c r="HFU337" s="42" t="s">
        <v>606</v>
      </c>
      <c r="HFV337" s="42" t="s">
        <v>606</v>
      </c>
      <c r="HFW337" s="42" t="s">
        <v>606</v>
      </c>
      <c r="HFX337" s="42" t="s">
        <v>606</v>
      </c>
      <c r="HFY337" s="42" t="s">
        <v>606</v>
      </c>
      <c r="HFZ337" s="42" t="s">
        <v>606</v>
      </c>
      <c r="HGA337" s="42" t="s">
        <v>606</v>
      </c>
      <c r="HGB337" s="42" t="s">
        <v>606</v>
      </c>
      <c r="HGC337" s="42" t="s">
        <v>606</v>
      </c>
      <c r="HGD337" s="42" t="s">
        <v>606</v>
      </c>
      <c r="HGE337" s="42" t="s">
        <v>606</v>
      </c>
      <c r="HGF337" s="42" t="s">
        <v>606</v>
      </c>
      <c r="HGG337" s="42" t="s">
        <v>606</v>
      </c>
      <c r="HGH337" s="42" t="s">
        <v>606</v>
      </c>
      <c r="HGI337" s="42" t="s">
        <v>606</v>
      </c>
      <c r="HGJ337" s="42" t="s">
        <v>606</v>
      </c>
      <c r="HGK337" s="42" t="s">
        <v>606</v>
      </c>
      <c r="HGL337" s="42" t="s">
        <v>606</v>
      </c>
      <c r="HGM337" s="42" t="s">
        <v>606</v>
      </c>
      <c r="HGN337" s="42" t="s">
        <v>606</v>
      </c>
      <c r="HGO337" s="42" t="s">
        <v>606</v>
      </c>
      <c r="HGP337" s="42" t="s">
        <v>606</v>
      </c>
      <c r="HGQ337" s="42" t="s">
        <v>606</v>
      </c>
      <c r="HGR337" s="42" t="s">
        <v>606</v>
      </c>
      <c r="HGS337" s="42" t="s">
        <v>606</v>
      </c>
      <c r="HGT337" s="42" t="s">
        <v>606</v>
      </c>
      <c r="HGU337" s="42" t="s">
        <v>606</v>
      </c>
      <c r="HGV337" s="42" t="s">
        <v>606</v>
      </c>
      <c r="HGW337" s="42" t="s">
        <v>606</v>
      </c>
      <c r="HGX337" s="42" t="s">
        <v>606</v>
      </c>
      <c r="HGY337" s="42" t="s">
        <v>606</v>
      </c>
      <c r="HGZ337" s="42" t="s">
        <v>606</v>
      </c>
      <c r="HHA337" s="42" t="s">
        <v>606</v>
      </c>
      <c r="HHB337" s="42" t="s">
        <v>606</v>
      </c>
      <c r="HHC337" s="42" t="s">
        <v>606</v>
      </c>
      <c r="HHD337" s="42" t="s">
        <v>606</v>
      </c>
      <c r="HHE337" s="42" t="s">
        <v>606</v>
      </c>
      <c r="HHF337" s="42" t="s">
        <v>606</v>
      </c>
      <c r="HHG337" s="42" t="s">
        <v>606</v>
      </c>
      <c r="HHH337" s="42" t="s">
        <v>606</v>
      </c>
      <c r="HHI337" s="42" t="s">
        <v>606</v>
      </c>
      <c r="HHJ337" s="42" t="s">
        <v>606</v>
      </c>
      <c r="HHK337" s="42" t="s">
        <v>606</v>
      </c>
      <c r="HHL337" s="42" t="s">
        <v>606</v>
      </c>
      <c r="HHM337" s="42" t="s">
        <v>606</v>
      </c>
      <c r="HHN337" s="42" t="s">
        <v>606</v>
      </c>
      <c r="HHO337" s="42" t="s">
        <v>606</v>
      </c>
      <c r="HHP337" s="42" t="s">
        <v>606</v>
      </c>
      <c r="HHQ337" s="42" t="s">
        <v>606</v>
      </c>
      <c r="HHR337" s="42" t="s">
        <v>606</v>
      </c>
      <c r="HHS337" s="42" t="s">
        <v>606</v>
      </c>
      <c r="HHT337" s="42" t="s">
        <v>606</v>
      </c>
      <c r="HHU337" s="42" t="s">
        <v>606</v>
      </c>
      <c r="HHV337" s="42" t="s">
        <v>606</v>
      </c>
      <c r="HHW337" s="42" t="s">
        <v>606</v>
      </c>
      <c r="HHX337" s="42" t="s">
        <v>606</v>
      </c>
      <c r="HHY337" s="42" t="s">
        <v>606</v>
      </c>
      <c r="HHZ337" s="42" t="s">
        <v>606</v>
      </c>
      <c r="HIA337" s="42" t="s">
        <v>606</v>
      </c>
      <c r="HIB337" s="42" t="s">
        <v>606</v>
      </c>
      <c r="HIC337" s="42" t="s">
        <v>606</v>
      </c>
      <c r="HID337" s="42" t="s">
        <v>606</v>
      </c>
      <c r="HIE337" s="42" t="s">
        <v>606</v>
      </c>
      <c r="HIF337" s="42" t="s">
        <v>606</v>
      </c>
      <c r="HIG337" s="42" t="s">
        <v>606</v>
      </c>
      <c r="HIH337" s="42" t="s">
        <v>606</v>
      </c>
      <c r="HII337" s="42" t="s">
        <v>606</v>
      </c>
      <c r="HIJ337" s="42" t="s">
        <v>606</v>
      </c>
      <c r="HIK337" s="42" t="s">
        <v>606</v>
      </c>
      <c r="HIL337" s="42" t="s">
        <v>606</v>
      </c>
      <c r="HIM337" s="42" t="s">
        <v>606</v>
      </c>
      <c r="HIN337" s="42" t="s">
        <v>606</v>
      </c>
      <c r="HIO337" s="42" t="s">
        <v>606</v>
      </c>
      <c r="HIP337" s="42" t="s">
        <v>606</v>
      </c>
      <c r="HIQ337" s="42" t="s">
        <v>606</v>
      </c>
      <c r="HIR337" s="42" t="s">
        <v>606</v>
      </c>
      <c r="HIS337" s="42" t="s">
        <v>606</v>
      </c>
      <c r="HIT337" s="42" t="s">
        <v>606</v>
      </c>
      <c r="HIU337" s="42" t="s">
        <v>606</v>
      </c>
      <c r="HIV337" s="42" t="s">
        <v>606</v>
      </c>
      <c r="HIW337" s="42" t="s">
        <v>606</v>
      </c>
      <c r="HIX337" s="42" t="s">
        <v>606</v>
      </c>
      <c r="HIY337" s="42" t="s">
        <v>606</v>
      </c>
      <c r="HIZ337" s="42" t="s">
        <v>606</v>
      </c>
      <c r="HJA337" s="42" t="s">
        <v>606</v>
      </c>
      <c r="HJB337" s="42" t="s">
        <v>606</v>
      </c>
      <c r="HJC337" s="42" t="s">
        <v>606</v>
      </c>
      <c r="HJD337" s="42" t="s">
        <v>606</v>
      </c>
      <c r="HJE337" s="42" t="s">
        <v>606</v>
      </c>
      <c r="HJF337" s="42" t="s">
        <v>606</v>
      </c>
      <c r="HJG337" s="42" t="s">
        <v>606</v>
      </c>
      <c r="HJH337" s="42" t="s">
        <v>606</v>
      </c>
      <c r="HJI337" s="42" t="s">
        <v>606</v>
      </c>
      <c r="HJJ337" s="42" t="s">
        <v>606</v>
      </c>
      <c r="HJK337" s="42" t="s">
        <v>606</v>
      </c>
      <c r="HJL337" s="42" t="s">
        <v>606</v>
      </c>
      <c r="HJM337" s="42" t="s">
        <v>606</v>
      </c>
      <c r="HJN337" s="42" t="s">
        <v>606</v>
      </c>
      <c r="HJO337" s="42" t="s">
        <v>606</v>
      </c>
      <c r="HJP337" s="42" t="s">
        <v>606</v>
      </c>
      <c r="HJQ337" s="42" t="s">
        <v>606</v>
      </c>
      <c r="HJR337" s="42" t="s">
        <v>606</v>
      </c>
      <c r="HJS337" s="42" t="s">
        <v>606</v>
      </c>
      <c r="HJT337" s="42" t="s">
        <v>606</v>
      </c>
      <c r="HJU337" s="42" t="s">
        <v>606</v>
      </c>
      <c r="HJV337" s="42" t="s">
        <v>606</v>
      </c>
      <c r="HJW337" s="42" t="s">
        <v>606</v>
      </c>
      <c r="HJX337" s="42" t="s">
        <v>606</v>
      </c>
      <c r="HJY337" s="42" t="s">
        <v>606</v>
      </c>
      <c r="HJZ337" s="42" t="s">
        <v>606</v>
      </c>
      <c r="HKA337" s="42" t="s">
        <v>606</v>
      </c>
      <c r="HKB337" s="42" t="s">
        <v>606</v>
      </c>
      <c r="HKC337" s="42" t="s">
        <v>606</v>
      </c>
      <c r="HKD337" s="42" t="s">
        <v>606</v>
      </c>
      <c r="HKE337" s="42" t="s">
        <v>606</v>
      </c>
      <c r="HKF337" s="42" t="s">
        <v>606</v>
      </c>
      <c r="HKG337" s="42" t="s">
        <v>606</v>
      </c>
      <c r="HKH337" s="42" t="s">
        <v>606</v>
      </c>
      <c r="HKI337" s="42" t="s">
        <v>606</v>
      </c>
      <c r="HKJ337" s="42" t="s">
        <v>606</v>
      </c>
      <c r="HKK337" s="42" t="s">
        <v>606</v>
      </c>
      <c r="HKL337" s="42" t="s">
        <v>606</v>
      </c>
      <c r="HKM337" s="42" t="s">
        <v>606</v>
      </c>
      <c r="HKN337" s="42" t="s">
        <v>606</v>
      </c>
      <c r="HKO337" s="42" t="s">
        <v>606</v>
      </c>
      <c r="HKP337" s="42" t="s">
        <v>606</v>
      </c>
      <c r="HKQ337" s="42" t="s">
        <v>606</v>
      </c>
      <c r="HKR337" s="42" t="s">
        <v>606</v>
      </c>
      <c r="HKS337" s="42" t="s">
        <v>606</v>
      </c>
      <c r="HKT337" s="42" t="s">
        <v>606</v>
      </c>
      <c r="HKU337" s="42" t="s">
        <v>606</v>
      </c>
      <c r="HKV337" s="42" t="s">
        <v>606</v>
      </c>
      <c r="HKW337" s="42" t="s">
        <v>606</v>
      </c>
      <c r="HKX337" s="42" t="s">
        <v>606</v>
      </c>
      <c r="HKY337" s="42" t="s">
        <v>606</v>
      </c>
      <c r="HKZ337" s="42" t="s">
        <v>606</v>
      </c>
      <c r="HLA337" s="42" t="s">
        <v>606</v>
      </c>
      <c r="HLB337" s="42" t="s">
        <v>606</v>
      </c>
      <c r="HLC337" s="42" t="s">
        <v>606</v>
      </c>
      <c r="HLD337" s="42" t="s">
        <v>606</v>
      </c>
      <c r="HLE337" s="42" t="s">
        <v>606</v>
      </c>
      <c r="HLF337" s="42" t="s">
        <v>606</v>
      </c>
      <c r="HLG337" s="42" t="s">
        <v>606</v>
      </c>
      <c r="HLH337" s="42" t="s">
        <v>606</v>
      </c>
      <c r="HLI337" s="42" t="s">
        <v>606</v>
      </c>
      <c r="HLJ337" s="42" t="s">
        <v>606</v>
      </c>
      <c r="HLK337" s="42" t="s">
        <v>606</v>
      </c>
      <c r="HLL337" s="42" t="s">
        <v>606</v>
      </c>
      <c r="HLM337" s="42" t="s">
        <v>606</v>
      </c>
      <c r="HLN337" s="42" t="s">
        <v>606</v>
      </c>
      <c r="HLO337" s="42" t="s">
        <v>606</v>
      </c>
      <c r="HLP337" s="42" t="s">
        <v>606</v>
      </c>
      <c r="HLQ337" s="42" t="s">
        <v>606</v>
      </c>
      <c r="HLR337" s="42" t="s">
        <v>606</v>
      </c>
      <c r="HLS337" s="42" t="s">
        <v>606</v>
      </c>
      <c r="HLT337" s="42" t="s">
        <v>606</v>
      </c>
      <c r="HLU337" s="42" t="s">
        <v>606</v>
      </c>
      <c r="HLV337" s="42" t="s">
        <v>606</v>
      </c>
      <c r="HLW337" s="42" t="s">
        <v>606</v>
      </c>
      <c r="HLX337" s="42" t="s">
        <v>606</v>
      </c>
      <c r="HLY337" s="42" t="s">
        <v>606</v>
      </c>
      <c r="HLZ337" s="42" t="s">
        <v>606</v>
      </c>
      <c r="HMA337" s="42" t="s">
        <v>606</v>
      </c>
      <c r="HMB337" s="42" t="s">
        <v>606</v>
      </c>
      <c r="HMC337" s="42" t="s">
        <v>606</v>
      </c>
      <c r="HMD337" s="42" t="s">
        <v>606</v>
      </c>
      <c r="HME337" s="42" t="s">
        <v>606</v>
      </c>
      <c r="HMF337" s="42" t="s">
        <v>606</v>
      </c>
      <c r="HMG337" s="42" t="s">
        <v>606</v>
      </c>
      <c r="HMH337" s="42" t="s">
        <v>606</v>
      </c>
      <c r="HMI337" s="42" t="s">
        <v>606</v>
      </c>
      <c r="HMJ337" s="42" t="s">
        <v>606</v>
      </c>
      <c r="HMK337" s="42" t="s">
        <v>606</v>
      </c>
      <c r="HML337" s="42" t="s">
        <v>606</v>
      </c>
      <c r="HMM337" s="42" t="s">
        <v>606</v>
      </c>
      <c r="HMN337" s="42" t="s">
        <v>606</v>
      </c>
      <c r="HMO337" s="42" t="s">
        <v>606</v>
      </c>
      <c r="HMP337" s="42" t="s">
        <v>606</v>
      </c>
      <c r="HMQ337" s="42" t="s">
        <v>606</v>
      </c>
      <c r="HMR337" s="42" t="s">
        <v>606</v>
      </c>
      <c r="HMS337" s="42" t="s">
        <v>606</v>
      </c>
      <c r="HMT337" s="42" t="s">
        <v>606</v>
      </c>
      <c r="HMU337" s="42" t="s">
        <v>606</v>
      </c>
      <c r="HMV337" s="42" t="s">
        <v>606</v>
      </c>
      <c r="HMW337" s="42" t="s">
        <v>606</v>
      </c>
      <c r="HMX337" s="42" t="s">
        <v>606</v>
      </c>
      <c r="HMY337" s="42" t="s">
        <v>606</v>
      </c>
      <c r="HMZ337" s="42" t="s">
        <v>606</v>
      </c>
      <c r="HNA337" s="42" t="s">
        <v>606</v>
      </c>
      <c r="HNB337" s="42" t="s">
        <v>606</v>
      </c>
      <c r="HNC337" s="42" t="s">
        <v>606</v>
      </c>
      <c r="HND337" s="42" t="s">
        <v>606</v>
      </c>
      <c r="HNE337" s="42" t="s">
        <v>606</v>
      </c>
      <c r="HNF337" s="42" t="s">
        <v>606</v>
      </c>
      <c r="HNG337" s="42" t="s">
        <v>606</v>
      </c>
      <c r="HNH337" s="42" t="s">
        <v>606</v>
      </c>
      <c r="HNI337" s="42" t="s">
        <v>606</v>
      </c>
      <c r="HNJ337" s="42" t="s">
        <v>606</v>
      </c>
      <c r="HNK337" s="42" t="s">
        <v>606</v>
      </c>
      <c r="HNL337" s="42" t="s">
        <v>606</v>
      </c>
      <c r="HNM337" s="42" t="s">
        <v>606</v>
      </c>
      <c r="HNN337" s="42" t="s">
        <v>606</v>
      </c>
      <c r="HNO337" s="42" t="s">
        <v>606</v>
      </c>
      <c r="HNP337" s="42" t="s">
        <v>606</v>
      </c>
      <c r="HNQ337" s="42" t="s">
        <v>606</v>
      </c>
      <c r="HNR337" s="42" t="s">
        <v>606</v>
      </c>
      <c r="HNS337" s="42" t="s">
        <v>606</v>
      </c>
      <c r="HNT337" s="42" t="s">
        <v>606</v>
      </c>
      <c r="HNU337" s="42" t="s">
        <v>606</v>
      </c>
      <c r="HNV337" s="42" t="s">
        <v>606</v>
      </c>
      <c r="HNW337" s="42" t="s">
        <v>606</v>
      </c>
      <c r="HNX337" s="42" t="s">
        <v>606</v>
      </c>
      <c r="HNY337" s="42" t="s">
        <v>606</v>
      </c>
      <c r="HNZ337" s="42" t="s">
        <v>606</v>
      </c>
      <c r="HOA337" s="42" t="s">
        <v>606</v>
      </c>
      <c r="HOB337" s="42" t="s">
        <v>606</v>
      </c>
      <c r="HOC337" s="42" t="s">
        <v>606</v>
      </c>
      <c r="HOD337" s="42" t="s">
        <v>606</v>
      </c>
      <c r="HOE337" s="42" t="s">
        <v>606</v>
      </c>
      <c r="HOF337" s="42" t="s">
        <v>606</v>
      </c>
      <c r="HOG337" s="42" t="s">
        <v>606</v>
      </c>
      <c r="HOH337" s="42" t="s">
        <v>606</v>
      </c>
      <c r="HOI337" s="42" t="s">
        <v>606</v>
      </c>
      <c r="HOJ337" s="42" t="s">
        <v>606</v>
      </c>
      <c r="HOK337" s="42" t="s">
        <v>606</v>
      </c>
      <c r="HOL337" s="42" t="s">
        <v>606</v>
      </c>
      <c r="HOM337" s="42" t="s">
        <v>606</v>
      </c>
      <c r="HON337" s="42" t="s">
        <v>606</v>
      </c>
      <c r="HOO337" s="42" t="s">
        <v>606</v>
      </c>
      <c r="HOP337" s="42" t="s">
        <v>606</v>
      </c>
      <c r="HOQ337" s="42" t="s">
        <v>606</v>
      </c>
      <c r="HOR337" s="42" t="s">
        <v>606</v>
      </c>
      <c r="HOS337" s="42" t="s">
        <v>606</v>
      </c>
      <c r="HOT337" s="42" t="s">
        <v>606</v>
      </c>
      <c r="HOU337" s="42" t="s">
        <v>606</v>
      </c>
      <c r="HOV337" s="42" t="s">
        <v>606</v>
      </c>
      <c r="HOW337" s="42" t="s">
        <v>606</v>
      </c>
      <c r="HOX337" s="42" t="s">
        <v>606</v>
      </c>
      <c r="HOY337" s="42" t="s">
        <v>606</v>
      </c>
      <c r="HOZ337" s="42" t="s">
        <v>606</v>
      </c>
      <c r="HPA337" s="42" t="s">
        <v>606</v>
      </c>
      <c r="HPB337" s="42" t="s">
        <v>606</v>
      </c>
      <c r="HPC337" s="42" t="s">
        <v>606</v>
      </c>
      <c r="HPD337" s="42" t="s">
        <v>606</v>
      </c>
      <c r="HPE337" s="42" t="s">
        <v>606</v>
      </c>
      <c r="HPF337" s="42" t="s">
        <v>606</v>
      </c>
      <c r="HPG337" s="42" t="s">
        <v>606</v>
      </c>
      <c r="HPH337" s="42" t="s">
        <v>606</v>
      </c>
      <c r="HPI337" s="42" t="s">
        <v>606</v>
      </c>
      <c r="HPJ337" s="42" t="s">
        <v>606</v>
      </c>
      <c r="HPK337" s="42" t="s">
        <v>606</v>
      </c>
      <c r="HPL337" s="42" t="s">
        <v>606</v>
      </c>
      <c r="HPM337" s="42" t="s">
        <v>606</v>
      </c>
      <c r="HPN337" s="42" t="s">
        <v>606</v>
      </c>
      <c r="HPO337" s="42" t="s">
        <v>606</v>
      </c>
      <c r="HPP337" s="42" t="s">
        <v>606</v>
      </c>
      <c r="HPQ337" s="42" t="s">
        <v>606</v>
      </c>
      <c r="HPR337" s="42" t="s">
        <v>606</v>
      </c>
      <c r="HPS337" s="42" t="s">
        <v>606</v>
      </c>
      <c r="HPT337" s="42" t="s">
        <v>606</v>
      </c>
      <c r="HPU337" s="42" t="s">
        <v>606</v>
      </c>
      <c r="HPV337" s="42" t="s">
        <v>606</v>
      </c>
      <c r="HPW337" s="42" t="s">
        <v>606</v>
      </c>
      <c r="HPX337" s="42" t="s">
        <v>606</v>
      </c>
      <c r="HPY337" s="42" t="s">
        <v>606</v>
      </c>
      <c r="HPZ337" s="42" t="s">
        <v>606</v>
      </c>
      <c r="HQA337" s="42" t="s">
        <v>606</v>
      </c>
      <c r="HQB337" s="42" t="s">
        <v>606</v>
      </c>
      <c r="HQC337" s="42" t="s">
        <v>606</v>
      </c>
      <c r="HQD337" s="42" t="s">
        <v>606</v>
      </c>
      <c r="HQE337" s="42" t="s">
        <v>606</v>
      </c>
      <c r="HQF337" s="42" t="s">
        <v>606</v>
      </c>
      <c r="HQG337" s="42" t="s">
        <v>606</v>
      </c>
      <c r="HQH337" s="42" t="s">
        <v>606</v>
      </c>
      <c r="HQI337" s="42" t="s">
        <v>606</v>
      </c>
      <c r="HQJ337" s="42" t="s">
        <v>606</v>
      </c>
      <c r="HQK337" s="42" t="s">
        <v>606</v>
      </c>
      <c r="HQL337" s="42" t="s">
        <v>606</v>
      </c>
      <c r="HQM337" s="42" t="s">
        <v>606</v>
      </c>
      <c r="HQN337" s="42" t="s">
        <v>606</v>
      </c>
      <c r="HQO337" s="42" t="s">
        <v>606</v>
      </c>
      <c r="HQP337" s="42" t="s">
        <v>606</v>
      </c>
      <c r="HQQ337" s="42" t="s">
        <v>606</v>
      </c>
      <c r="HQR337" s="42" t="s">
        <v>606</v>
      </c>
      <c r="HQS337" s="42" t="s">
        <v>606</v>
      </c>
      <c r="HQT337" s="42" t="s">
        <v>606</v>
      </c>
      <c r="HQU337" s="42" t="s">
        <v>606</v>
      </c>
      <c r="HQV337" s="42" t="s">
        <v>606</v>
      </c>
      <c r="HQW337" s="42" t="s">
        <v>606</v>
      </c>
      <c r="HQX337" s="42" t="s">
        <v>606</v>
      </c>
      <c r="HQY337" s="42" t="s">
        <v>606</v>
      </c>
      <c r="HQZ337" s="42" t="s">
        <v>606</v>
      </c>
      <c r="HRA337" s="42" t="s">
        <v>606</v>
      </c>
      <c r="HRB337" s="42" t="s">
        <v>606</v>
      </c>
      <c r="HRC337" s="42" t="s">
        <v>606</v>
      </c>
      <c r="HRD337" s="42" t="s">
        <v>606</v>
      </c>
      <c r="HRE337" s="42" t="s">
        <v>606</v>
      </c>
      <c r="HRF337" s="42" t="s">
        <v>606</v>
      </c>
      <c r="HRG337" s="42" t="s">
        <v>606</v>
      </c>
      <c r="HRH337" s="42" t="s">
        <v>606</v>
      </c>
      <c r="HRI337" s="42" t="s">
        <v>606</v>
      </c>
      <c r="HRJ337" s="42" t="s">
        <v>606</v>
      </c>
      <c r="HRK337" s="42" t="s">
        <v>606</v>
      </c>
      <c r="HRL337" s="42" t="s">
        <v>606</v>
      </c>
      <c r="HRM337" s="42" t="s">
        <v>606</v>
      </c>
      <c r="HRN337" s="42" t="s">
        <v>606</v>
      </c>
      <c r="HRO337" s="42" t="s">
        <v>606</v>
      </c>
      <c r="HRP337" s="42" t="s">
        <v>606</v>
      </c>
      <c r="HRQ337" s="42" t="s">
        <v>606</v>
      </c>
      <c r="HRR337" s="42" t="s">
        <v>606</v>
      </c>
      <c r="HRS337" s="42" t="s">
        <v>606</v>
      </c>
      <c r="HRT337" s="42" t="s">
        <v>606</v>
      </c>
      <c r="HRU337" s="42" t="s">
        <v>606</v>
      </c>
      <c r="HRV337" s="42" t="s">
        <v>606</v>
      </c>
      <c r="HRW337" s="42" t="s">
        <v>606</v>
      </c>
      <c r="HRX337" s="42" t="s">
        <v>606</v>
      </c>
      <c r="HRY337" s="42" t="s">
        <v>606</v>
      </c>
      <c r="HRZ337" s="42" t="s">
        <v>606</v>
      </c>
      <c r="HSA337" s="42" t="s">
        <v>606</v>
      </c>
      <c r="HSB337" s="42" t="s">
        <v>606</v>
      </c>
      <c r="HSC337" s="42" t="s">
        <v>606</v>
      </c>
      <c r="HSD337" s="42" t="s">
        <v>606</v>
      </c>
      <c r="HSE337" s="42" t="s">
        <v>606</v>
      </c>
      <c r="HSF337" s="42" t="s">
        <v>606</v>
      </c>
      <c r="HSG337" s="42" t="s">
        <v>606</v>
      </c>
      <c r="HSH337" s="42" t="s">
        <v>606</v>
      </c>
      <c r="HSI337" s="42" t="s">
        <v>606</v>
      </c>
      <c r="HSJ337" s="42" t="s">
        <v>606</v>
      </c>
      <c r="HSK337" s="42" t="s">
        <v>606</v>
      </c>
      <c r="HSL337" s="42" t="s">
        <v>606</v>
      </c>
      <c r="HSM337" s="42" t="s">
        <v>606</v>
      </c>
      <c r="HSN337" s="42" t="s">
        <v>606</v>
      </c>
      <c r="HSO337" s="42" t="s">
        <v>606</v>
      </c>
      <c r="HSP337" s="42" t="s">
        <v>606</v>
      </c>
      <c r="HSQ337" s="42" t="s">
        <v>606</v>
      </c>
      <c r="HSR337" s="42" t="s">
        <v>606</v>
      </c>
      <c r="HSS337" s="42" t="s">
        <v>606</v>
      </c>
      <c r="HST337" s="42" t="s">
        <v>606</v>
      </c>
      <c r="HSU337" s="42" t="s">
        <v>606</v>
      </c>
      <c r="HSV337" s="42" t="s">
        <v>606</v>
      </c>
      <c r="HSW337" s="42" t="s">
        <v>606</v>
      </c>
      <c r="HSX337" s="42" t="s">
        <v>606</v>
      </c>
      <c r="HSY337" s="42" t="s">
        <v>606</v>
      </c>
      <c r="HSZ337" s="42" t="s">
        <v>606</v>
      </c>
      <c r="HTA337" s="42" t="s">
        <v>606</v>
      </c>
      <c r="HTB337" s="42" t="s">
        <v>606</v>
      </c>
      <c r="HTC337" s="42" t="s">
        <v>606</v>
      </c>
      <c r="HTD337" s="42" t="s">
        <v>606</v>
      </c>
      <c r="HTE337" s="42" t="s">
        <v>606</v>
      </c>
      <c r="HTF337" s="42" t="s">
        <v>606</v>
      </c>
      <c r="HTG337" s="42" t="s">
        <v>606</v>
      </c>
      <c r="HTH337" s="42" t="s">
        <v>606</v>
      </c>
      <c r="HTI337" s="42" t="s">
        <v>606</v>
      </c>
      <c r="HTJ337" s="42" t="s">
        <v>606</v>
      </c>
      <c r="HTK337" s="42" t="s">
        <v>606</v>
      </c>
      <c r="HTL337" s="42" t="s">
        <v>606</v>
      </c>
      <c r="HTM337" s="42" t="s">
        <v>606</v>
      </c>
      <c r="HTN337" s="42" t="s">
        <v>606</v>
      </c>
      <c r="HTO337" s="42" t="s">
        <v>606</v>
      </c>
      <c r="HTP337" s="42" t="s">
        <v>606</v>
      </c>
      <c r="HTQ337" s="42" t="s">
        <v>606</v>
      </c>
      <c r="HTR337" s="42" t="s">
        <v>606</v>
      </c>
      <c r="HTS337" s="42" t="s">
        <v>606</v>
      </c>
      <c r="HTT337" s="42" t="s">
        <v>606</v>
      </c>
      <c r="HTU337" s="42" t="s">
        <v>606</v>
      </c>
      <c r="HTV337" s="42" t="s">
        <v>606</v>
      </c>
      <c r="HTW337" s="42" t="s">
        <v>606</v>
      </c>
      <c r="HTX337" s="42" t="s">
        <v>606</v>
      </c>
      <c r="HTY337" s="42" t="s">
        <v>606</v>
      </c>
      <c r="HTZ337" s="42" t="s">
        <v>606</v>
      </c>
      <c r="HUA337" s="42" t="s">
        <v>606</v>
      </c>
      <c r="HUB337" s="42" t="s">
        <v>606</v>
      </c>
      <c r="HUC337" s="42" t="s">
        <v>606</v>
      </c>
      <c r="HUD337" s="42" t="s">
        <v>606</v>
      </c>
      <c r="HUE337" s="42" t="s">
        <v>606</v>
      </c>
      <c r="HUF337" s="42" t="s">
        <v>606</v>
      </c>
      <c r="HUG337" s="42" t="s">
        <v>606</v>
      </c>
      <c r="HUH337" s="42" t="s">
        <v>606</v>
      </c>
      <c r="HUI337" s="42" t="s">
        <v>606</v>
      </c>
      <c r="HUJ337" s="42" t="s">
        <v>606</v>
      </c>
      <c r="HUK337" s="42" t="s">
        <v>606</v>
      </c>
      <c r="HUL337" s="42" t="s">
        <v>606</v>
      </c>
      <c r="HUM337" s="42" t="s">
        <v>606</v>
      </c>
      <c r="HUN337" s="42" t="s">
        <v>606</v>
      </c>
      <c r="HUO337" s="42" t="s">
        <v>606</v>
      </c>
      <c r="HUP337" s="42" t="s">
        <v>606</v>
      </c>
      <c r="HUQ337" s="42" t="s">
        <v>606</v>
      </c>
      <c r="HUR337" s="42" t="s">
        <v>606</v>
      </c>
      <c r="HUS337" s="42" t="s">
        <v>606</v>
      </c>
      <c r="HUT337" s="42" t="s">
        <v>606</v>
      </c>
      <c r="HUU337" s="42" t="s">
        <v>606</v>
      </c>
      <c r="HUV337" s="42" t="s">
        <v>606</v>
      </c>
      <c r="HUW337" s="42" t="s">
        <v>606</v>
      </c>
      <c r="HUX337" s="42" t="s">
        <v>606</v>
      </c>
      <c r="HUY337" s="42" t="s">
        <v>606</v>
      </c>
      <c r="HUZ337" s="42" t="s">
        <v>606</v>
      </c>
      <c r="HVA337" s="42" t="s">
        <v>606</v>
      </c>
      <c r="HVB337" s="42" t="s">
        <v>606</v>
      </c>
      <c r="HVC337" s="42" t="s">
        <v>606</v>
      </c>
      <c r="HVD337" s="42" t="s">
        <v>606</v>
      </c>
      <c r="HVE337" s="42" t="s">
        <v>606</v>
      </c>
      <c r="HVF337" s="42" t="s">
        <v>606</v>
      </c>
      <c r="HVG337" s="42" t="s">
        <v>606</v>
      </c>
      <c r="HVH337" s="42" t="s">
        <v>606</v>
      </c>
      <c r="HVI337" s="42" t="s">
        <v>606</v>
      </c>
      <c r="HVJ337" s="42" t="s">
        <v>606</v>
      </c>
      <c r="HVK337" s="42" t="s">
        <v>606</v>
      </c>
      <c r="HVL337" s="42" t="s">
        <v>606</v>
      </c>
      <c r="HVM337" s="42" t="s">
        <v>606</v>
      </c>
      <c r="HVN337" s="42" t="s">
        <v>606</v>
      </c>
      <c r="HVO337" s="42" t="s">
        <v>606</v>
      </c>
      <c r="HVP337" s="42" t="s">
        <v>606</v>
      </c>
      <c r="HVQ337" s="42" t="s">
        <v>606</v>
      </c>
      <c r="HVR337" s="42" t="s">
        <v>606</v>
      </c>
      <c r="HVS337" s="42" t="s">
        <v>606</v>
      </c>
      <c r="HVT337" s="42" t="s">
        <v>606</v>
      </c>
      <c r="HVU337" s="42" t="s">
        <v>606</v>
      </c>
      <c r="HVV337" s="42" t="s">
        <v>606</v>
      </c>
      <c r="HVW337" s="42" t="s">
        <v>606</v>
      </c>
      <c r="HVX337" s="42" t="s">
        <v>606</v>
      </c>
      <c r="HVY337" s="42" t="s">
        <v>606</v>
      </c>
      <c r="HVZ337" s="42" t="s">
        <v>606</v>
      </c>
      <c r="HWA337" s="42" t="s">
        <v>606</v>
      </c>
      <c r="HWB337" s="42" t="s">
        <v>606</v>
      </c>
      <c r="HWC337" s="42" t="s">
        <v>606</v>
      </c>
      <c r="HWD337" s="42" t="s">
        <v>606</v>
      </c>
      <c r="HWE337" s="42" t="s">
        <v>606</v>
      </c>
      <c r="HWF337" s="42" t="s">
        <v>606</v>
      </c>
      <c r="HWG337" s="42" t="s">
        <v>606</v>
      </c>
      <c r="HWH337" s="42" t="s">
        <v>606</v>
      </c>
      <c r="HWI337" s="42" t="s">
        <v>606</v>
      </c>
      <c r="HWJ337" s="42" t="s">
        <v>606</v>
      </c>
      <c r="HWK337" s="42" t="s">
        <v>606</v>
      </c>
      <c r="HWL337" s="42" t="s">
        <v>606</v>
      </c>
      <c r="HWM337" s="42" t="s">
        <v>606</v>
      </c>
      <c r="HWN337" s="42" t="s">
        <v>606</v>
      </c>
      <c r="HWO337" s="42" t="s">
        <v>606</v>
      </c>
      <c r="HWP337" s="42" t="s">
        <v>606</v>
      </c>
      <c r="HWQ337" s="42" t="s">
        <v>606</v>
      </c>
      <c r="HWR337" s="42" t="s">
        <v>606</v>
      </c>
      <c r="HWS337" s="42" t="s">
        <v>606</v>
      </c>
      <c r="HWT337" s="42" t="s">
        <v>606</v>
      </c>
      <c r="HWU337" s="42" t="s">
        <v>606</v>
      </c>
      <c r="HWV337" s="42" t="s">
        <v>606</v>
      </c>
      <c r="HWW337" s="42" t="s">
        <v>606</v>
      </c>
      <c r="HWX337" s="42" t="s">
        <v>606</v>
      </c>
      <c r="HWY337" s="42" t="s">
        <v>606</v>
      </c>
      <c r="HWZ337" s="42" t="s">
        <v>606</v>
      </c>
      <c r="HXA337" s="42" t="s">
        <v>606</v>
      </c>
      <c r="HXB337" s="42" t="s">
        <v>606</v>
      </c>
      <c r="HXC337" s="42" t="s">
        <v>606</v>
      </c>
      <c r="HXD337" s="42" t="s">
        <v>606</v>
      </c>
      <c r="HXE337" s="42" t="s">
        <v>606</v>
      </c>
      <c r="HXF337" s="42" t="s">
        <v>606</v>
      </c>
      <c r="HXG337" s="42" t="s">
        <v>606</v>
      </c>
      <c r="HXH337" s="42" t="s">
        <v>606</v>
      </c>
      <c r="HXI337" s="42" t="s">
        <v>606</v>
      </c>
      <c r="HXJ337" s="42" t="s">
        <v>606</v>
      </c>
      <c r="HXK337" s="42" t="s">
        <v>606</v>
      </c>
      <c r="HXL337" s="42" t="s">
        <v>606</v>
      </c>
      <c r="HXM337" s="42" t="s">
        <v>606</v>
      </c>
      <c r="HXN337" s="42" t="s">
        <v>606</v>
      </c>
      <c r="HXO337" s="42" t="s">
        <v>606</v>
      </c>
      <c r="HXP337" s="42" t="s">
        <v>606</v>
      </c>
      <c r="HXQ337" s="42" t="s">
        <v>606</v>
      </c>
      <c r="HXR337" s="42" t="s">
        <v>606</v>
      </c>
      <c r="HXS337" s="42" t="s">
        <v>606</v>
      </c>
      <c r="HXT337" s="42" t="s">
        <v>606</v>
      </c>
      <c r="HXU337" s="42" t="s">
        <v>606</v>
      </c>
      <c r="HXV337" s="42" t="s">
        <v>606</v>
      </c>
      <c r="HXW337" s="42" t="s">
        <v>606</v>
      </c>
      <c r="HXX337" s="42" t="s">
        <v>606</v>
      </c>
      <c r="HXY337" s="42" t="s">
        <v>606</v>
      </c>
      <c r="HXZ337" s="42" t="s">
        <v>606</v>
      </c>
      <c r="HYA337" s="42" t="s">
        <v>606</v>
      </c>
      <c r="HYB337" s="42" t="s">
        <v>606</v>
      </c>
      <c r="HYC337" s="42" t="s">
        <v>606</v>
      </c>
      <c r="HYD337" s="42" t="s">
        <v>606</v>
      </c>
      <c r="HYE337" s="42" t="s">
        <v>606</v>
      </c>
      <c r="HYF337" s="42" t="s">
        <v>606</v>
      </c>
      <c r="HYG337" s="42" t="s">
        <v>606</v>
      </c>
      <c r="HYH337" s="42" t="s">
        <v>606</v>
      </c>
      <c r="HYI337" s="42" t="s">
        <v>606</v>
      </c>
      <c r="HYJ337" s="42" t="s">
        <v>606</v>
      </c>
      <c r="HYK337" s="42" t="s">
        <v>606</v>
      </c>
      <c r="HYL337" s="42" t="s">
        <v>606</v>
      </c>
      <c r="HYM337" s="42" t="s">
        <v>606</v>
      </c>
      <c r="HYN337" s="42" t="s">
        <v>606</v>
      </c>
      <c r="HYO337" s="42" t="s">
        <v>606</v>
      </c>
      <c r="HYP337" s="42" t="s">
        <v>606</v>
      </c>
      <c r="HYQ337" s="42" t="s">
        <v>606</v>
      </c>
      <c r="HYR337" s="42" t="s">
        <v>606</v>
      </c>
      <c r="HYS337" s="42" t="s">
        <v>606</v>
      </c>
      <c r="HYT337" s="42" t="s">
        <v>606</v>
      </c>
      <c r="HYU337" s="42" t="s">
        <v>606</v>
      </c>
      <c r="HYV337" s="42" t="s">
        <v>606</v>
      </c>
      <c r="HYW337" s="42" t="s">
        <v>606</v>
      </c>
      <c r="HYX337" s="42" t="s">
        <v>606</v>
      </c>
      <c r="HYY337" s="42" t="s">
        <v>606</v>
      </c>
      <c r="HYZ337" s="42" t="s">
        <v>606</v>
      </c>
      <c r="HZA337" s="42" t="s">
        <v>606</v>
      </c>
      <c r="HZB337" s="42" t="s">
        <v>606</v>
      </c>
      <c r="HZC337" s="42" t="s">
        <v>606</v>
      </c>
      <c r="HZD337" s="42" t="s">
        <v>606</v>
      </c>
      <c r="HZE337" s="42" t="s">
        <v>606</v>
      </c>
      <c r="HZF337" s="42" t="s">
        <v>606</v>
      </c>
      <c r="HZG337" s="42" t="s">
        <v>606</v>
      </c>
      <c r="HZH337" s="42" t="s">
        <v>606</v>
      </c>
      <c r="HZI337" s="42" t="s">
        <v>606</v>
      </c>
      <c r="HZJ337" s="42" t="s">
        <v>606</v>
      </c>
      <c r="HZK337" s="42" t="s">
        <v>606</v>
      </c>
      <c r="HZL337" s="42" t="s">
        <v>606</v>
      </c>
      <c r="HZM337" s="42" t="s">
        <v>606</v>
      </c>
      <c r="HZN337" s="42" t="s">
        <v>606</v>
      </c>
      <c r="HZO337" s="42" t="s">
        <v>606</v>
      </c>
      <c r="HZP337" s="42" t="s">
        <v>606</v>
      </c>
      <c r="HZQ337" s="42" t="s">
        <v>606</v>
      </c>
      <c r="HZR337" s="42" t="s">
        <v>606</v>
      </c>
      <c r="HZS337" s="42" t="s">
        <v>606</v>
      </c>
      <c r="HZT337" s="42" t="s">
        <v>606</v>
      </c>
      <c r="HZU337" s="42" t="s">
        <v>606</v>
      </c>
      <c r="HZV337" s="42" t="s">
        <v>606</v>
      </c>
      <c r="HZW337" s="42" t="s">
        <v>606</v>
      </c>
      <c r="HZX337" s="42" t="s">
        <v>606</v>
      </c>
      <c r="HZY337" s="42" t="s">
        <v>606</v>
      </c>
      <c r="HZZ337" s="42" t="s">
        <v>606</v>
      </c>
      <c r="IAA337" s="42" t="s">
        <v>606</v>
      </c>
      <c r="IAB337" s="42" t="s">
        <v>606</v>
      </c>
      <c r="IAC337" s="42" t="s">
        <v>606</v>
      </c>
      <c r="IAD337" s="42" t="s">
        <v>606</v>
      </c>
      <c r="IAE337" s="42" t="s">
        <v>606</v>
      </c>
      <c r="IAF337" s="42" t="s">
        <v>606</v>
      </c>
      <c r="IAG337" s="42" t="s">
        <v>606</v>
      </c>
      <c r="IAH337" s="42" t="s">
        <v>606</v>
      </c>
      <c r="IAI337" s="42" t="s">
        <v>606</v>
      </c>
      <c r="IAJ337" s="42" t="s">
        <v>606</v>
      </c>
      <c r="IAK337" s="42" t="s">
        <v>606</v>
      </c>
      <c r="IAL337" s="42" t="s">
        <v>606</v>
      </c>
      <c r="IAM337" s="42" t="s">
        <v>606</v>
      </c>
      <c r="IAN337" s="42" t="s">
        <v>606</v>
      </c>
      <c r="IAO337" s="42" t="s">
        <v>606</v>
      </c>
      <c r="IAP337" s="42" t="s">
        <v>606</v>
      </c>
      <c r="IAQ337" s="42" t="s">
        <v>606</v>
      </c>
      <c r="IAR337" s="42" t="s">
        <v>606</v>
      </c>
      <c r="IAS337" s="42" t="s">
        <v>606</v>
      </c>
      <c r="IAT337" s="42" t="s">
        <v>606</v>
      </c>
      <c r="IAU337" s="42" t="s">
        <v>606</v>
      </c>
      <c r="IAV337" s="42" t="s">
        <v>606</v>
      </c>
      <c r="IAW337" s="42" t="s">
        <v>606</v>
      </c>
      <c r="IAX337" s="42" t="s">
        <v>606</v>
      </c>
      <c r="IAY337" s="42" t="s">
        <v>606</v>
      </c>
      <c r="IAZ337" s="42" t="s">
        <v>606</v>
      </c>
      <c r="IBA337" s="42" t="s">
        <v>606</v>
      </c>
      <c r="IBB337" s="42" t="s">
        <v>606</v>
      </c>
      <c r="IBC337" s="42" t="s">
        <v>606</v>
      </c>
      <c r="IBD337" s="42" t="s">
        <v>606</v>
      </c>
      <c r="IBE337" s="42" t="s">
        <v>606</v>
      </c>
      <c r="IBF337" s="42" t="s">
        <v>606</v>
      </c>
      <c r="IBG337" s="42" t="s">
        <v>606</v>
      </c>
      <c r="IBH337" s="42" t="s">
        <v>606</v>
      </c>
      <c r="IBI337" s="42" t="s">
        <v>606</v>
      </c>
      <c r="IBJ337" s="42" t="s">
        <v>606</v>
      </c>
      <c r="IBK337" s="42" t="s">
        <v>606</v>
      </c>
      <c r="IBL337" s="42" t="s">
        <v>606</v>
      </c>
      <c r="IBM337" s="42" t="s">
        <v>606</v>
      </c>
      <c r="IBN337" s="42" t="s">
        <v>606</v>
      </c>
      <c r="IBO337" s="42" t="s">
        <v>606</v>
      </c>
      <c r="IBP337" s="42" t="s">
        <v>606</v>
      </c>
      <c r="IBQ337" s="42" t="s">
        <v>606</v>
      </c>
      <c r="IBR337" s="42" t="s">
        <v>606</v>
      </c>
      <c r="IBS337" s="42" t="s">
        <v>606</v>
      </c>
      <c r="IBT337" s="42" t="s">
        <v>606</v>
      </c>
      <c r="IBU337" s="42" t="s">
        <v>606</v>
      </c>
      <c r="IBV337" s="42" t="s">
        <v>606</v>
      </c>
      <c r="IBW337" s="42" t="s">
        <v>606</v>
      </c>
      <c r="IBX337" s="42" t="s">
        <v>606</v>
      </c>
      <c r="IBY337" s="42" t="s">
        <v>606</v>
      </c>
      <c r="IBZ337" s="42" t="s">
        <v>606</v>
      </c>
      <c r="ICA337" s="42" t="s">
        <v>606</v>
      </c>
      <c r="ICB337" s="42" t="s">
        <v>606</v>
      </c>
      <c r="ICC337" s="42" t="s">
        <v>606</v>
      </c>
      <c r="ICD337" s="42" t="s">
        <v>606</v>
      </c>
      <c r="ICE337" s="42" t="s">
        <v>606</v>
      </c>
      <c r="ICF337" s="42" t="s">
        <v>606</v>
      </c>
      <c r="ICG337" s="42" t="s">
        <v>606</v>
      </c>
      <c r="ICH337" s="42" t="s">
        <v>606</v>
      </c>
      <c r="ICI337" s="42" t="s">
        <v>606</v>
      </c>
      <c r="ICJ337" s="42" t="s">
        <v>606</v>
      </c>
      <c r="ICK337" s="42" t="s">
        <v>606</v>
      </c>
      <c r="ICL337" s="42" t="s">
        <v>606</v>
      </c>
      <c r="ICM337" s="42" t="s">
        <v>606</v>
      </c>
      <c r="ICN337" s="42" t="s">
        <v>606</v>
      </c>
      <c r="ICO337" s="42" t="s">
        <v>606</v>
      </c>
      <c r="ICP337" s="42" t="s">
        <v>606</v>
      </c>
      <c r="ICQ337" s="42" t="s">
        <v>606</v>
      </c>
      <c r="ICR337" s="42" t="s">
        <v>606</v>
      </c>
      <c r="ICS337" s="42" t="s">
        <v>606</v>
      </c>
      <c r="ICT337" s="42" t="s">
        <v>606</v>
      </c>
      <c r="ICU337" s="42" t="s">
        <v>606</v>
      </c>
      <c r="ICV337" s="42" t="s">
        <v>606</v>
      </c>
      <c r="ICW337" s="42" t="s">
        <v>606</v>
      </c>
      <c r="ICX337" s="42" t="s">
        <v>606</v>
      </c>
      <c r="ICY337" s="42" t="s">
        <v>606</v>
      </c>
      <c r="ICZ337" s="42" t="s">
        <v>606</v>
      </c>
      <c r="IDA337" s="42" t="s">
        <v>606</v>
      </c>
      <c r="IDB337" s="42" t="s">
        <v>606</v>
      </c>
      <c r="IDC337" s="42" t="s">
        <v>606</v>
      </c>
      <c r="IDD337" s="42" t="s">
        <v>606</v>
      </c>
      <c r="IDE337" s="42" t="s">
        <v>606</v>
      </c>
      <c r="IDF337" s="42" t="s">
        <v>606</v>
      </c>
      <c r="IDG337" s="42" t="s">
        <v>606</v>
      </c>
      <c r="IDH337" s="42" t="s">
        <v>606</v>
      </c>
      <c r="IDI337" s="42" t="s">
        <v>606</v>
      </c>
      <c r="IDJ337" s="42" t="s">
        <v>606</v>
      </c>
      <c r="IDK337" s="42" t="s">
        <v>606</v>
      </c>
      <c r="IDL337" s="42" t="s">
        <v>606</v>
      </c>
      <c r="IDM337" s="42" t="s">
        <v>606</v>
      </c>
      <c r="IDN337" s="42" t="s">
        <v>606</v>
      </c>
      <c r="IDO337" s="42" t="s">
        <v>606</v>
      </c>
      <c r="IDP337" s="42" t="s">
        <v>606</v>
      </c>
      <c r="IDQ337" s="42" t="s">
        <v>606</v>
      </c>
      <c r="IDR337" s="42" t="s">
        <v>606</v>
      </c>
      <c r="IDS337" s="42" t="s">
        <v>606</v>
      </c>
      <c r="IDT337" s="42" t="s">
        <v>606</v>
      </c>
      <c r="IDU337" s="42" t="s">
        <v>606</v>
      </c>
      <c r="IDV337" s="42" t="s">
        <v>606</v>
      </c>
      <c r="IDW337" s="42" t="s">
        <v>606</v>
      </c>
      <c r="IDX337" s="42" t="s">
        <v>606</v>
      </c>
      <c r="IDY337" s="42" t="s">
        <v>606</v>
      </c>
      <c r="IDZ337" s="42" t="s">
        <v>606</v>
      </c>
      <c r="IEA337" s="42" t="s">
        <v>606</v>
      </c>
      <c r="IEB337" s="42" t="s">
        <v>606</v>
      </c>
      <c r="IEC337" s="42" t="s">
        <v>606</v>
      </c>
      <c r="IED337" s="42" t="s">
        <v>606</v>
      </c>
      <c r="IEE337" s="42" t="s">
        <v>606</v>
      </c>
      <c r="IEF337" s="42" t="s">
        <v>606</v>
      </c>
      <c r="IEG337" s="42" t="s">
        <v>606</v>
      </c>
      <c r="IEH337" s="42" t="s">
        <v>606</v>
      </c>
      <c r="IEI337" s="42" t="s">
        <v>606</v>
      </c>
      <c r="IEJ337" s="42" t="s">
        <v>606</v>
      </c>
      <c r="IEK337" s="42" t="s">
        <v>606</v>
      </c>
      <c r="IEL337" s="42" t="s">
        <v>606</v>
      </c>
      <c r="IEM337" s="42" t="s">
        <v>606</v>
      </c>
      <c r="IEN337" s="42" t="s">
        <v>606</v>
      </c>
      <c r="IEO337" s="42" t="s">
        <v>606</v>
      </c>
      <c r="IEP337" s="42" t="s">
        <v>606</v>
      </c>
      <c r="IEQ337" s="42" t="s">
        <v>606</v>
      </c>
      <c r="IER337" s="42" t="s">
        <v>606</v>
      </c>
      <c r="IES337" s="42" t="s">
        <v>606</v>
      </c>
      <c r="IET337" s="42" t="s">
        <v>606</v>
      </c>
      <c r="IEU337" s="42" t="s">
        <v>606</v>
      </c>
      <c r="IEV337" s="42" t="s">
        <v>606</v>
      </c>
      <c r="IEW337" s="42" t="s">
        <v>606</v>
      </c>
      <c r="IEX337" s="42" t="s">
        <v>606</v>
      </c>
      <c r="IEY337" s="42" t="s">
        <v>606</v>
      </c>
      <c r="IEZ337" s="42" t="s">
        <v>606</v>
      </c>
      <c r="IFA337" s="42" t="s">
        <v>606</v>
      </c>
      <c r="IFB337" s="42" t="s">
        <v>606</v>
      </c>
      <c r="IFC337" s="42" t="s">
        <v>606</v>
      </c>
      <c r="IFD337" s="42" t="s">
        <v>606</v>
      </c>
      <c r="IFE337" s="42" t="s">
        <v>606</v>
      </c>
      <c r="IFF337" s="42" t="s">
        <v>606</v>
      </c>
      <c r="IFG337" s="42" t="s">
        <v>606</v>
      </c>
      <c r="IFH337" s="42" t="s">
        <v>606</v>
      </c>
      <c r="IFI337" s="42" t="s">
        <v>606</v>
      </c>
      <c r="IFJ337" s="42" t="s">
        <v>606</v>
      </c>
      <c r="IFK337" s="42" t="s">
        <v>606</v>
      </c>
      <c r="IFL337" s="42" t="s">
        <v>606</v>
      </c>
      <c r="IFM337" s="42" t="s">
        <v>606</v>
      </c>
      <c r="IFN337" s="42" t="s">
        <v>606</v>
      </c>
      <c r="IFO337" s="42" t="s">
        <v>606</v>
      </c>
      <c r="IFP337" s="42" t="s">
        <v>606</v>
      </c>
      <c r="IFQ337" s="42" t="s">
        <v>606</v>
      </c>
      <c r="IFR337" s="42" t="s">
        <v>606</v>
      </c>
      <c r="IFS337" s="42" t="s">
        <v>606</v>
      </c>
      <c r="IFT337" s="42" t="s">
        <v>606</v>
      </c>
      <c r="IFU337" s="42" t="s">
        <v>606</v>
      </c>
      <c r="IFV337" s="42" t="s">
        <v>606</v>
      </c>
      <c r="IFW337" s="42" t="s">
        <v>606</v>
      </c>
      <c r="IFX337" s="42" t="s">
        <v>606</v>
      </c>
      <c r="IFY337" s="42" t="s">
        <v>606</v>
      </c>
      <c r="IFZ337" s="42" t="s">
        <v>606</v>
      </c>
      <c r="IGA337" s="42" t="s">
        <v>606</v>
      </c>
      <c r="IGB337" s="42" t="s">
        <v>606</v>
      </c>
      <c r="IGC337" s="42" t="s">
        <v>606</v>
      </c>
      <c r="IGD337" s="42" t="s">
        <v>606</v>
      </c>
      <c r="IGE337" s="42" t="s">
        <v>606</v>
      </c>
      <c r="IGF337" s="42" t="s">
        <v>606</v>
      </c>
      <c r="IGG337" s="42" t="s">
        <v>606</v>
      </c>
      <c r="IGH337" s="42" t="s">
        <v>606</v>
      </c>
      <c r="IGI337" s="42" t="s">
        <v>606</v>
      </c>
      <c r="IGJ337" s="42" t="s">
        <v>606</v>
      </c>
      <c r="IGK337" s="42" t="s">
        <v>606</v>
      </c>
      <c r="IGL337" s="42" t="s">
        <v>606</v>
      </c>
      <c r="IGM337" s="42" t="s">
        <v>606</v>
      </c>
      <c r="IGN337" s="42" t="s">
        <v>606</v>
      </c>
      <c r="IGO337" s="42" t="s">
        <v>606</v>
      </c>
      <c r="IGP337" s="42" t="s">
        <v>606</v>
      </c>
      <c r="IGQ337" s="42" t="s">
        <v>606</v>
      </c>
      <c r="IGR337" s="42" t="s">
        <v>606</v>
      </c>
      <c r="IGS337" s="42" t="s">
        <v>606</v>
      </c>
      <c r="IGT337" s="42" t="s">
        <v>606</v>
      </c>
      <c r="IGU337" s="42" t="s">
        <v>606</v>
      </c>
      <c r="IGV337" s="42" t="s">
        <v>606</v>
      </c>
      <c r="IGW337" s="42" t="s">
        <v>606</v>
      </c>
      <c r="IGX337" s="42" t="s">
        <v>606</v>
      </c>
      <c r="IGY337" s="42" t="s">
        <v>606</v>
      </c>
      <c r="IGZ337" s="42" t="s">
        <v>606</v>
      </c>
      <c r="IHA337" s="42" t="s">
        <v>606</v>
      </c>
      <c r="IHB337" s="42" t="s">
        <v>606</v>
      </c>
      <c r="IHC337" s="42" t="s">
        <v>606</v>
      </c>
      <c r="IHD337" s="42" t="s">
        <v>606</v>
      </c>
      <c r="IHE337" s="42" t="s">
        <v>606</v>
      </c>
      <c r="IHF337" s="42" t="s">
        <v>606</v>
      </c>
      <c r="IHG337" s="42" t="s">
        <v>606</v>
      </c>
      <c r="IHH337" s="42" t="s">
        <v>606</v>
      </c>
      <c r="IHI337" s="42" t="s">
        <v>606</v>
      </c>
      <c r="IHJ337" s="42" t="s">
        <v>606</v>
      </c>
      <c r="IHK337" s="42" t="s">
        <v>606</v>
      </c>
      <c r="IHL337" s="42" t="s">
        <v>606</v>
      </c>
      <c r="IHM337" s="42" t="s">
        <v>606</v>
      </c>
      <c r="IHN337" s="42" t="s">
        <v>606</v>
      </c>
      <c r="IHO337" s="42" t="s">
        <v>606</v>
      </c>
      <c r="IHP337" s="42" t="s">
        <v>606</v>
      </c>
      <c r="IHQ337" s="42" t="s">
        <v>606</v>
      </c>
      <c r="IHR337" s="42" t="s">
        <v>606</v>
      </c>
      <c r="IHS337" s="42" t="s">
        <v>606</v>
      </c>
      <c r="IHT337" s="42" t="s">
        <v>606</v>
      </c>
      <c r="IHU337" s="42" t="s">
        <v>606</v>
      </c>
      <c r="IHV337" s="42" t="s">
        <v>606</v>
      </c>
      <c r="IHW337" s="42" t="s">
        <v>606</v>
      </c>
      <c r="IHX337" s="42" t="s">
        <v>606</v>
      </c>
      <c r="IHY337" s="42" t="s">
        <v>606</v>
      </c>
      <c r="IHZ337" s="42" t="s">
        <v>606</v>
      </c>
      <c r="IIA337" s="42" t="s">
        <v>606</v>
      </c>
      <c r="IIB337" s="42" t="s">
        <v>606</v>
      </c>
      <c r="IIC337" s="42" t="s">
        <v>606</v>
      </c>
      <c r="IID337" s="42" t="s">
        <v>606</v>
      </c>
      <c r="IIE337" s="42" t="s">
        <v>606</v>
      </c>
      <c r="IIF337" s="42" t="s">
        <v>606</v>
      </c>
      <c r="IIG337" s="42" t="s">
        <v>606</v>
      </c>
      <c r="IIH337" s="42" t="s">
        <v>606</v>
      </c>
      <c r="III337" s="42" t="s">
        <v>606</v>
      </c>
      <c r="IIJ337" s="42" t="s">
        <v>606</v>
      </c>
      <c r="IIK337" s="42" t="s">
        <v>606</v>
      </c>
      <c r="IIL337" s="42" t="s">
        <v>606</v>
      </c>
      <c r="IIM337" s="42" t="s">
        <v>606</v>
      </c>
      <c r="IIN337" s="42" t="s">
        <v>606</v>
      </c>
      <c r="IIO337" s="42" t="s">
        <v>606</v>
      </c>
      <c r="IIP337" s="42" t="s">
        <v>606</v>
      </c>
      <c r="IIQ337" s="42" t="s">
        <v>606</v>
      </c>
      <c r="IIR337" s="42" t="s">
        <v>606</v>
      </c>
      <c r="IIS337" s="42" t="s">
        <v>606</v>
      </c>
      <c r="IIT337" s="42" t="s">
        <v>606</v>
      </c>
      <c r="IIU337" s="42" t="s">
        <v>606</v>
      </c>
      <c r="IIV337" s="42" t="s">
        <v>606</v>
      </c>
      <c r="IIW337" s="42" t="s">
        <v>606</v>
      </c>
      <c r="IIX337" s="42" t="s">
        <v>606</v>
      </c>
      <c r="IIY337" s="42" t="s">
        <v>606</v>
      </c>
      <c r="IIZ337" s="42" t="s">
        <v>606</v>
      </c>
      <c r="IJA337" s="42" t="s">
        <v>606</v>
      </c>
      <c r="IJB337" s="42" t="s">
        <v>606</v>
      </c>
      <c r="IJC337" s="42" t="s">
        <v>606</v>
      </c>
      <c r="IJD337" s="42" t="s">
        <v>606</v>
      </c>
      <c r="IJE337" s="42" t="s">
        <v>606</v>
      </c>
      <c r="IJF337" s="42" t="s">
        <v>606</v>
      </c>
      <c r="IJG337" s="42" t="s">
        <v>606</v>
      </c>
      <c r="IJH337" s="42" t="s">
        <v>606</v>
      </c>
      <c r="IJI337" s="42" t="s">
        <v>606</v>
      </c>
      <c r="IJJ337" s="42" t="s">
        <v>606</v>
      </c>
      <c r="IJK337" s="42" t="s">
        <v>606</v>
      </c>
      <c r="IJL337" s="42" t="s">
        <v>606</v>
      </c>
      <c r="IJM337" s="42" t="s">
        <v>606</v>
      </c>
      <c r="IJN337" s="42" t="s">
        <v>606</v>
      </c>
      <c r="IJO337" s="42" t="s">
        <v>606</v>
      </c>
      <c r="IJP337" s="42" t="s">
        <v>606</v>
      </c>
      <c r="IJQ337" s="42" t="s">
        <v>606</v>
      </c>
      <c r="IJR337" s="42" t="s">
        <v>606</v>
      </c>
      <c r="IJS337" s="42" t="s">
        <v>606</v>
      </c>
      <c r="IJT337" s="42" t="s">
        <v>606</v>
      </c>
      <c r="IJU337" s="42" t="s">
        <v>606</v>
      </c>
      <c r="IJV337" s="42" t="s">
        <v>606</v>
      </c>
      <c r="IJW337" s="42" t="s">
        <v>606</v>
      </c>
      <c r="IJX337" s="42" t="s">
        <v>606</v>
      </c>
      <c r="IJY337" s="42" t="s">
        <v>606</v>
      </c>
      <c r="IJZ337" s="42" t="s">
        <v>606</v>
      </c>
      <c r="IKA337" s="42" t="s">
        <v>606</v>
      </c>
      <c r="IKB337" s="42" t="s">
        <v>606</v>
      </c>
      <c r="IKC337" s="42" t="s">
        <v>606</v>
      </c>
      <c r="IKD337" s="42" t="s">
        <v>606</v>
      </c>
      <c r="IKE337" s="42" t="s">
        <v>606</v>
      </c>
      <c r="IKF337" s="42" t="s">
        <v>606</v>
      </c>
      <c r="IKG337" s="42" t="s">
        <v>606</v>
      </c>
      <c r="IKH337" s="42" t="s">
        <v>606</v>
      </c>
      <c r="IKI337" s="42" t="s">
        <v>606</v>
      </c>
      <c r="IKJ337" s="42" t="s">
        <v>606</v>
      </c>
      <c r="IKK337" s="42" t="s">
        <v>606</v>
      </c>
      <c r="IKL337" s="42" t="s">
        <v>606</v>
      </c>
      <c r="IKM337" s="42" t="s">
        <v>606</v>
      </c>
      <c r="IKN337" s="42" t="s">
        <v>606</v>
      </c>
      <c r="IKO337" s="42" t="s">
        <v>606</v>
      </c>
      <c r="IKP337" s="42" t="s">
        <v>606</v>
      </c>
      <c r="IKQ337" s="42" t="s">
        <v>606</v>
      </c>
      <c r="IKR337" s="42" t="s">
        <v>606</v>
      </c>
      <c r="IKS337" s="42" t="s">
        <v>606</v>
      </c>
      <c r="IKT337" s="42" t="s">
        <v>606</v>
      </c>
      <c r="IKU337" s="42" t="s">
        <v>606</v>
      </c>
      <c r="IKV337" s="42" t="s">
        <v>606</v>
      </c>
      <c r="IKW337" s="42" t="s">
        <v>606</v>
      </c>
      <c r="IKX337" s="42" t="s">
        <v>606</v>
      </c>
      <c r="IKY337" s="42" t="s">
        <v>606</v>
      </c>
      <c r="IKZ337" s="42" t="s">
        <v>606</v>
      </c>
      <c r="ILA337" s="42" t="s">
        <v>606</v>
      </c>
      <c r="ILB337" s="42" t="s">
        <v>606</v>
      </c>
      <c r="ILC337" s="42" t="s">
        <v>606</v>
      </c>
      <c r="ILD337" s="42" t="s">
        <v>606</v>
      </c>
      <c r="ILE337" s="42" t="s">
        <v>606</v>
      </c>
      <c r="ILF337" s="42" t="s">
        <v>606</v>
      </c>
      <c r="ILG337" s="42" t="s">
        <v>606</v>
      </c>
      <c r="ILH337" s="42" t="s">
        <v>606</v>
      </c>
      <c r="ILI337" s="42" t="s">
        <v>606</v>
      </c>
      <c r="ILJ337" s="42" t="s">
        <v>606</v>
      </c>
      <c r="ILK337" s="42" t="s">
        <v>606</v>
      </c>
      <c r="ILL337" s="42" t="s">
        <v>606</v>
      </c>
      <c r="ILM337" s="42" t="s">
        <v>606</v>
      </c>
      <c r="ILN337" s="42" t="s">
        <v>606</v>
      </c>
      <c r="ILO337" s="42" t="s">
        <v>606</v>
      </c>
      <c r="ILP337" s="42" t="s">
        <v>606</v>
      </c>
      <c r="ILQ337" s="42" t="s">
        <v>606</v>
      </c>
      <c r="ILR337" s="42" t="s">
        <v>606</v>
      </c>
      <c r="ILS337" s="42" t="s">
        <v>606</v>
      </c>
      <c r="ILT337" s="42" t="s">
        <v>606</v>
      </c>
      <c r="ILU337" s="42" t="s">
        <v>606</v>
      </c>
      <c r="ILV337" s="42" t="s">
        <v>606</v>
      </c>
      <c r="ILW337" s="42" t="s">
        <v>606</v>
      </c>
      <c r="ILX337" s="42" t="s">
        <v>606</v>
      </c>
      <c r="ILY337" s="42" t="s">
        <v>606</v>
      </c>
      <c r="ILZ337" s="42" t="s">
        <v>606</v>
      </c>
      <c r="IMA337" s="42" t="s">
        <v>606</v>
      </c>
      <c r="IMB337" s="42" t="s">
        <v>606</v>
      </c>
      <c r="IMC337" s="42" t="s">
        <v>606</v>
      </c>
      <c r="IMD337" s="42" t="s">
        <v>606</v>
      </c>
      <c r="IME337" s="42" t="s">
        <v>606</v>
      </c>
      <c r="IMF337" s="42" t="s">
        <v>606</v>
      </c>
      <c r="IMG337" s="42" t="s">
        <v>606</v>
      </c>
      <c r="IMH337" s="42" t="s">
        <v>606</v>
      </c>
      <c r="IMI337" s="42" t="s">
        <v>606</v>
      </c>
      <c r="IMJ337" s="42" t="s">
        <v>606</v>
      </c>
      <c r="IMK337" s="42" t="s">
        <v>606</v>
      </c>
      <c r="IML337" s="42" t="s">
        <v>606</v>
      </c>
      <c r="IMM337" s="42" t="s">
        <v>606</v>
      </c>
      <c r="IMN337" s="42" t="s">
        <v>606</v>
      </c>
      <c r="IMO337" s="42" t="s">
        <v>606</v>
      </c>
      <c r="IMP337" s="42" t="s">
        <v>606</v>
      </c>
      <c r="IMQ337" s="42" t="s">
        <v>606</v>
      </c>
      <c r="IMR337" s="42" t="s">
        <v>606</v>
      </c>
      <c r="IMS337" s="42" t="s">
        <v>606</v>
      </c>
      <c r="IMT337" s="42" t="s">
        <v>606</v>
      </c>
      <c r="IMU337" s="42" t="s">
        <v>606</v>
      </c>
      <c r="IMV337" s="42" t="s">
        <v>606</v>
      </c>
      <c r="IMW337" s="42" t="s">
        <v>606</v>
      </c>
      <c r="IMX337" s="42" t="s">
        <v>606</v>
      </c>
      <c r="IMY337" s="42" t="s">
        <v>606</v>
      </c>
      <c r="IMZ337" s="42" t="s">
        <v>606</v>
      </c>
      <c r="INA337" s="42" t="s">
        <v>606</v>
      </c>
      <c r="INB337" s="42" t="s">
        <v>606</v>
      </c>
      <c r="INC337" s="42" t="s">
        <v>606</v>
      </c>
      <c r="IND337" s="42" t="s">
        <v>606</v>
      </c>
      <c r="INE337" s="42" t="s">
        <v>606</v>
      </c>
      <c r="INF337" s="42" t="s">
        <v>606</v>
      </c>
      <c r="ING337" s="42" t="s">
        <v>606</v>
      </c>
      <c r="INH337" s="42" t="s">
        <v>606</v>
      </c>
      <c r="INI337" s="42" t="s">
        <v>606</v>
      </c>
      <c r="INJ337" s="42" t="s">
        <v>606</v>
      </c>
      <c r="INK337" s="42" t="s">
        <v>606</v>
      </c>
      <c r="INL337" s="42" t="s">
        <v>606</v>
      </c>
      <c r="INM337" s="42" t="s">
        <v>606</v>
      </c>
      <c r="INN337" s="42" t="s">
        <v>606</v>
      </c>
      <c r="INO337" s="42" t="s">
        <v>606</v>
      </c>
      <c r="INP337" s="42" t="s">
        <v>606</v>
      </c>
      <c r="INQ337" s="42" t="s">
        <v>606</v>
      </c>
      <c r="INR337" s="42" t="s">
        <v>606</v>
      </c>
      <c r="INS337" s="42" t="s">
        <v>606</v>
      </c>
      <c r="INT337" s="42" t="s">
        <v>606</v>
      </c>
      <c r="INU337" s="42" t="s">
        <v>606</v>
      </c>
      <c r="INV337" s="42" t="s">
        <v>606</v>
      </c>
      <c r="INW337" s="42" t="s">
        <v>606</v>
      </c>
      <c r="INX337" s="42" t="s">
        <v>606</v>
      </c>
      <c r="INY337" s="42" t="s">
        <v>606</v>
      </c>
      <c r="INZ337" s="42" t="s">
        <v>606</v>
      </c>
      <c r="IOA337" s="42" t="s">
        <v>606</v>
      </c>
      <c r="IOB337" s="42" t="s">
        <v>606</v>
      </c>
      <c r="IOC337" s="42" t="s">
        <v>606</v>
      </c>
      <c r="IOD337" s="42" t="s">
        <v>606</v>
      </c>
      <c r="IOE337" s="42" t="s">
        <v>606</v>
      </c>
      <c r="IOF337" s="42" t="s">
        <v>606</v>
      </c>
      <c r="IOG337" s="42" t="s">
        <v>606</v>
      </c>
      <c r="IOH337" s="42" t="s">
        <v>606</v>
      </c>
      <c r="IOI337" s="42" t="s">
        <v>606</v>
      </c>
      <c r="IOJ337" s="42" t="s">
        <v>606</v>
      </c>
      <c r="IOK337" s="42" t="s">
        <v>606</v>
      </c>
      <c r="IOL337" s="42" t="s">
        <v>606</v>
      </c>
      <c r="IOM337" s="42" t="s">
        <v>606</v>
      </c>
      <c r="ION337" s="42" t="s">
        <v>606</v>
      </c>
      <c r="IOO337" s="42" t="s">
        <v>606</v>
      </c>
      <c r="IOP337" s="42" t="s">
        <v>606</v>
      </c>
      <c r="IOQ337" s="42" t="s">
        <v>606</v>
      </c>
      <c r="IOR337" s="42" t="s">
        <v>606</v>
      </c>
      <c r="IOS337" s="42" t="s">
        <v>606</v>
      </c>
      <c r="IOT337" s="42" t="s">
        <v>606</v>
      </c>
      <c r="IOU337" s="42" t="s">
        <v>606</v>
      </c>
      <c r="IOV337" s="42" t="s">
        <v>606</v>
      </c>
      <c r="IOW337" s="42" t="s">
        <v>606</v>
      </c>
      <c r="IOX337" s="42" t="s">
        <v>606</v>
      </c>
      <c r="IOY337" s="42" t="s">
        <v>606</v>
      </c>
      <c r="IOZ337" s="42" t="s">
        <v>606</v>
      </c>
      <c r="IPA337" s="42" t="s">
        <v>606</v>
      </c>
      <c r="IPB337" s="42" t="s">
        <v>606</v>
      </c>
      <c r="IPC337" s="42" t="s">
        <v>606</v>
      </c>
      <c r="IPD337" s="42" t="s">
        <v>606</v>
      </c>
      <c r="IPE337" s="42" t="s">
        <v>606</v>
      </c>
      <c r="IPF337" s="42" t="s">
        <v>606</v>
      </c>
      <c r="IPG337" s="42" t="s">
        <v>606</v>
      </c>
      <c r="IPH337" s="42" t="s">
        <v>606</v>
      </c>
      <c r="IPI337" s="42" t="s">
        <v>606</v>
      </c>
      <c r="IPJ337" s="42" t="s">
        <v>606</v>
      </c>
      <c r="IPK337" s="42" t="s">
        <v>606</v>
      </c>
      <c r="IPL337" s="42" t="s">
        <v>606</v>
      </c>
      <c r="IPM337" s="42" t="s">
        <v>606</v>
      </c>
      <c r="IPN337" s="42" t="s">
        <v>606</v>
      </c>
      <c r="IPO337" s="42" t="s">
        <v>606</v>
      </c>
      <c r="IPP337" s="42" t="s">
        <v>606</v>
      </c>
      <c r="IPQ337" s="42" t="s">
        <v>606</v>
      </c>
      <c r="IPR337" s="42" t="s">
        <v>606</v>
      </c>
      <c r="IPS337" s="42" t="s">
        <v>606</v>
      </c>
      <c r="IPT337" s="42" t="s">
        <v>606</v>
      </c>
      <c r="IPU337" s="42" t="s">
        <v>606</v>
      </c>
      <c r="IPV337" s="42" t="s">
        <v>606</v>
      </c>
      <c r="IPW337" s="42" t="s">
        <v>606</v>
      </c>
      <c r="IPX337" s="42" t="s">
        <v>606</v>
      </c>
      <c r="IPY337" s="42" t="s">
        <v>606</v>
      </c>
      <c r="IPZ337" s="42" t="s">
        <v>606</v>
      </c>
      <c r="IQA337" s="42" t="s">
        <v>606</v>
      </c>
      <c r="IQB337" s="42" t="s">
        <v>606</v>
      </c>
      <c r="IQC337" s="42" t="s">
        <v>606</v>
      </c>
      <c r="IQD337" s="42" t="s">
        <v>606</v>
      </c>
      <c r="IQE337" s="42" t="s">
        <v>606</v>
      </c>
      <c r="IQF337" s="42" t="s">
        <v>606</v>
      </c>
      <c r="IQG337" s="42" t="s">
        <v>606</v>
      </c>
      <c r="IQH337" s="42" t="s">
        <v>606</v>
      </c>
      <c r="IQI337" s="42" t="s">
        <v>606</v>
      </c>
      <c r="IQJ337" s="42" t="s">
        <v>606</v>
      </c>
      <c r="IQK337" s="42" t="s">
        <v>606</v>
      </c>
      <c r="IQL337" s="42" t="s">
        <v>606</v>
      </c>
      <c r="IQM337" s="42" t="s">
        <v>606</v>
      </c>
      <c r="IQN337" s="42" t="s">
        <v>606</v>
      </c>
      <c r="IQO337" s="42" t="s">
        <v>606</v>
      </c>
      <c r="IQP337" s="42" t="s">
        <v>606</v>
      </c>
      <c r="IQQ337" s="42" t="s">
        <v>606</v>
      </c>
      <c r="IQR337" s="42" t="s">
        <v>606</v>
      </c>
      <c r="IQS337" s="42" t="s">
        <v>606</v>
      </c>
      <c r="IQT337" s="42" t="s">
        <v>606</v>
      </c>
      <c r="IQU337" s="42" t="s">
        <v>606</v>
      </c>
      <c r="IQV337" s="42" t="s">
        <v>606</v>
      </c>
      <c r="IQW337" s="42" t="s">
        <v>606</v>
      </c>
      <c r="IQX337" s="42" t="s">
        <v>606</v>
      </c>
      <c r="IQY337" s="42" t="s">
        <v>606</v>
      </c>
      <c r="IQZ337" s="42" t="s">
        <v>606</v>
      </c>
      <c r="IRA337" s="42" t="s">
        <v>606</v>
      </c>
      <c r="IRB337" s="42" t="s">
        <v>606</v>
      </c>
      <c r="IRC337" s="42" t="s">
        <v>606</v>
      </c>
      <c r="IRD337" s="42" t="s">
        <v>606</v>
      </c>
      <c r="IRE337" s="42" t="s">
        <v>606</v>
      </c>
      <c r="IRF337" s="42" t="s">
        <v>606</v>
      </c>
      <c r="IRG337" s="42" t="s">
        <v>606</v>
      </c>
      <c r="IRH337" s="42" t="s">
        <v>606</v>
      </c>
      <c r="IRI337" s="42" t="s">
        <v>606</v>
      </c>
      <c r="IRJ337" s="42" t="s">
        <v>606</v>
      </c>
      <c r="IRK337" s="42" t="s">
        <v>606</v>
      </c>
      <c r="IRL337" s="42" t="s">
        <v>606</v>
      </c>
      <c r="IRM337" s="42" t="s">
        <v>606</v>
      </c>
      <c r="IRN337" s="42" t="s">
        <v>606</v>
      </c>
      <c r="IRO337" s="42" t="s">
        <v>606</v>
      </c>
      <c r="IRP337" s="42" t="s">
        <v>606</v>
      </c>
      <c r="IRQ337" s="42" t="s">
        <v>606</v>
      </c>
      <c r="IRR337" s="42" t="s">
        <v>606</v>
      </c>
      <c r="IRS337" s="42" t="s">
        <v>606</v>
      </c>
      <c r="IRT337" s="42" t="s">
        <v>606</v>
      </c>
      <c r="IRU337" s="42" t="s">
        <v>606</v>
      </c>
      <c r="IRV337" s="42" t="s">
        <v>606</v>
      </c>
      <c r="IRW337" s="42" t="s">
        <v>606</v>
      </c>
      <c r="IRX337" s="42" t="s">
        <v>606</v>
      </c>
      <c r="IRY337" s="42" t="s">
        <v>606</v>
      </c>
      <c r="IRZ337" s="42" t="s">
        <v>606</v>
      </c>
      <c r="ISA337" s="42" t="s">
        <v>606</v>
      </c>
      <c r="ISB337" s="42" t="s">
        <v>606</v>
      </c>
      <c r="ISC337" s="42" t="s">
        <v>606</v>
      </c>
      <c r="ISD337" s="42" t="s">
        <v>606</v>
      </c>
      <c r="ISE337" s="42" t="s">
        <v>606</v>
      </c>
      <c r="ISF337" s="42" t="s">
        <v>606</v>
      </c>
      <c r="ISG337" s="42" t="s">
        <v>606</v>
      </c>
      <c r="ISH337" s="42" t="s">
        <v>606</v>
      </c>
      <c r="ISI337" s="42" t="s">
        <v>606</v>
      </c>
      <c r="ISJ337" s="42" t="s">
        <v>606</v>
      </c>
      <c r="ISK337" s="42" t="s">
        <v>606</v>
      </c>
      <c r="ISL337" s="42" t="s">
        <v>606</v>
      </c>
      <c r="ISM337" s="42" t="s">
        <v>606</v>
      </c>
      <c r="ISN337" s="42" t="s">
        <v>606</v>
      </c>
      <c r="ISO337" s="42" t="s">
        <v>606</v>
      </c>
      <c r="ISP337" s="42" t="s">
        <v>606</v>
      </c>
      <c r="ISQ337" s="42" t="s">
        <v>606</v>
      </c>
      <c r="ISR337" s="42" t="s">
        <v>606</v>
      </c>
      <c r="ISS337" s="42" t="s">
        <v>606</v>
      </c>
      <c r="IST337" s="42" t="s">
        <v>606</v>
      </c>
      <c r="ISU337" s="42" t="s">
        <v>606</v>
      </c>
      <c r="ISV337" s="42" t="s">
        <v>606</v>
      </c>
      <c r="ISW337" s="42" t="s">
        <v>606</v>
      </c>
      <c r="ISX337" s="42" t="s">
        <v>606</v>
      </c>
      <c r="ISY337" s="42" t="s">
        <v>606</v>
      </c>
      <c r="ISZ337" s="42" t="s">
        <v>606</v>
      </c>
      <c r="ITA337" s="42" t="s">
        <v>606</v>
      </c>
      <c r="ITB337" s="42" t="s">
        <v>606</v>
      </c>
      <c r="ITC337" s="42" t="s">
        <v>606</v>
      </c>
      <c r="ITD337" s="42" t="s">
        <v>606</v>
      </c>
      <c r="ITE337" s="42" t="s">
        <v>606</v>
      </c>
      <c r="ITF337" s="42" t="s">
        <v>606</v>
      </c>
      <c r="ITG337" s="42" t="s">
        <v>606</v>
      </c>
      <c r="ITH337" s="42" t="s">
        <v>606</v>
      </c>
      <c r="ITI337" s="42" t="s">
        <v>606</v>
      </c>
      <c r="ITJ337" s="42" t="s">
        <v>606</v>
      </c>
      <c r="ITK337" s="42" t="s">
        <v>606</v>
      </c>
      <c r="ITL337" s="42" t="s">
        <v>606</v>
      </c>
      <c r="ITM337" s="42" t="s">
        <v>606</v>
      </c>
      <c r="ITN337" s="42" t="s">
        <v>606</v>
      </c>
      <c r="ITO337" s="42" t="s">
        <v>606</v>
      </c>
      <c r="ITP337" s="42" t="s">
        <v>606</v>
      </c>
      <c r="ITQ337" s="42" t="s">
        <v>606</v>
      </c>
      <c r="ITR337" s="42" t="s">
        <v>606</v>
      </c>
      <c r="ITS337" s="42" t="s">
        <v>606</v>
      </c>
      <c r="ITT337" s="42" t="s">
        <v>606</v>
      </c>
      <c r="ITU337" s="42" t="s">
        <v>606</v>
      </c>
      <c r="ITV337" s="42" t="s">
        <v>606</v>
      </c>
      <c r="ITW337" s="42" t="s">
        <v>606</v>
      </c>
      <c r="ITX337" s="42" t="s">
        <v>606</v>
      </c>
      <c r="ITY337" s="42" t="s">
        <v>606</v>
      </c>
      <c r="ITZ337" s="42" t="s">
        <v>606</v>
      </c>
      <c r="IUA337" s="42" t="s">
        <v>606</v>
      </c>
      <c r="IUB337" s="42" t="s">
        <v>606</v>
      </c>
      <c r="IUC337" s="42" t="s">
        <v>606</v>
      </c>
      <c r="IUD337" s="42" t="s">
        <v>606</v>
      </c>
      <c r="IUE337" s="42" t="s">
        <v>606</v>
      </c>
      <c r="IUF337" s="42" t="s">
        <v>606</v>
      </c>
      <c r="IUG337" s="42" t="s">
        <v>606</v>
      </c>
      <c r="IUH337" s="42" t="s">
        <v>606</v>
      </c>
      <c r="IUI337" s="42" t="s">
        <v>606</v>
      </c>
      <c r="IUJ337" s="42" t="s">
        <v>606</v>
      </c>
      <c r="IUK337" s="42" t="s">
        <v>606</v>
      </c>
      <c r="IUL337" s="42" t="s">
        <v>606</v>
      </c>
      <c r="IUM337" s="42" t="s">
        <v>606</v>
      </c>
      <c r="IUN337" s="42" t="s">
        <v>606</v>
      </c>
      <c r="IUO337" s="42" t="s">
        <v>606</v>
      </c>
      <c r="IUP337" s="42" t="s">
        <v>606</v>
      </c>
      <c r="IUQ337" s="42" t="s">
        <v>606</v>
      </c>
      <c r="IUR337" s="42" t="s">
        <v>606</v>
      </c>
      <c r="IUS337" s="42" t="s">
        <v>606</v>
      </c>
      <c r="IUT337" s="42" t="s">
        <v>606</v>
      </c>
      <c r="IUU337" s="42" t="s">
        <v>606</v>
      </c>
      <c r="IUV337" s="42" t="s">
        <v>606</v>
      </c>
      <c r="IUW337" s="42" t="s">
        <v>606</v>
      </c>
      <c r="IUX337" s="42" t="s">
        <v>606</v>
      </c>
      <c r="IUY337" s="42" t="s">
        <v>606</v>
      </c>
      <c r="IUZ337" s="42" t="s">
        <v>606</v>
      </c>
      <c r="IVA337" s="42" t="s">
        <v>606</v>
      </c>
      <c r="IVB337" s="42" t="s">
        <v>606</v>
      </c>
      <c r="IVC337" s="42" t="s">
        <v>606</v>
      </c>
      <c r="IVD337" s="42" t="s">
        <v>606</v>
      </c>
      <c r="IVE337" s="42" t="s">
        <v>606</v>
      </c>
      <c r="IVF337" s="42" t="s">
        <v>606</v>
      </c>
      <c r="IVG337" s="42" t="s">
        <v>606</v>
      </c>
      <c r="IVH337" s="42" t="s">
        <v>606</v>
      </c>
      <c r="IVI337" s="42" t="s">
        <v>606</v>
      </c>
      <c r="IVJ337" s="42" t="s">
        <v>606</v>
      </c>
      <c r="IVK337" s="42" t="s">
        <v>606</v>
      </c>
      <c r="IVL337" s="42" t="s">
        <v>606</v>
      </c>
      <c r="IVM337" s="42" t="s">
        <v>606</v>
      </c>
      <c r="IVN337" s="42" t="s">
        <v>606</v>
      </c>
      <c r="IVO337" s="42" t="s">
        <v>606</v>
      </c>
      <c r="IVP337" s="42" t="s">
        <v>606</v>
      </c>
      <c r="IVQ337" s="42" t="s">
        <v>606</v>
      </c>
      <c r="IVR337" s="42" t="s">
        <v>606</v>
      </c>
      <c r="IVS337" s="42" t="s">
        <v>606</v>
      </c>
      <c r="IVT337" s="42" t="s">
        <v>606</v>
      </c>
      <c r="IVU337" s="42" t="s">
        <v>606</v>
      </c>
      <c r="IVV337" s="42" t="s">
        <v>606</v>
      </c>
      <c r="IVW337" s="42" t="s">
        <v>606</v>
      </c>
      <c r="IVX337" s="42" t="s">
        <v>606</v>
      </c>
      <c r="IVY337" s="42" t="s">
        <v>606</v>
      </c>
      <c r="IVZ337" s="42" t="s">
        <v>606</v>
      </c>
      <c r="IWA337" s="42" t="s">
        <v>606</v>
      </c>
      <c r="IWB337" s="42" t="s">
        <v>606</v>
      </c>
      <c r="IWC337" s="42" t="s">
        <v>606</v>
      </c>
      <c r="IWD337" s="42" t="s">
        <v>606</v>
      </c>
      <c r="IWE337" s="42" t="s">
        <v>606</v>
      </c>
      <c r="IWF337" s="42" t="s">
        <v>606</v>
      </c>
      <c r="IWG337" s="42" t="s">
        <v>606</v>
      </c>
      <c r="IWH337" s="42" t="s">
        <v>606</v>
      </c>
      <c r="IWI337" s="42" t="s">
        <v>606</v>
      </c>
      <c r="IWJ337" s="42" t="s">
        <v>606</v>
      </c>
      <c r="IWK337" s="42" t="s">
        <v>606</v>
      </c>
      <c r="IWL337" s="42" t="s">
        <v>606</v>
      </c>
      <c r="IWM337" s="42" t="s">
        <v>606</v>
      </c>
      <c r="IWN337" s="42" t="s">
        <v>606</v>
      </c>
      <c r="IWO337" s="42" t="s">
        <v>606</v>
      </c>
      <c r="IWP337" s="42" t="s">
        <v>606</v>
      </c>
      <c r="IWQ337" s="42" t="s">
        <v>606</v>
      </c>
      <c r="IWR337" s="42" t="s">
        <v>606</v>
      </c>
      <c r="IWS337" s="42" t="s">
        <v>606</v>
      </c>
      <c r="IWT337" s="42" t="s">
        <v>606</v>
      </c>
      <c r="IWU337" s="42" t="s">
        <v>606</v>
      </c>
      <c r="IWV337" s="42" t="s">
        <v>606</v>
      </c>
      <c r="IWW337" s="42" t="s">
        <v>606</v>
      </c>
      <c r="IWX337" s="42" t="s">
        <v>606</v>
      </c>
      <c r="IWY337" s="42" t="s">
        <v>606</v>
      </c>
      <c r="IWZ337" s="42" t="s">
        <v>606</v>
      </c>
      <c r="IXA337" s="42" t="s">
        <v>606</v>
      </c>
      <c r="IXB337" s="42" t="s">
        <v>606</v>
      </c>
      <c r="IXC337" s="42" t="s">
        <v>606</v>
      </c>
      <c r="IXD337" s="42" t="s">
        <v>606</v>
      </c>
      <c r="IXE337" s="42" t="s">
        <v>606</v>
      </c>
      <c r="IXF337" s="42" t="s">
        <v>606</v>
      </c>
      <c r="IXG337" s="42" t="s">
        <v>606</v>
      </c>
      <c r="IXH337" s="42" t="s">
        <v>606</v>
      </c>
      <c r="IXI337" s="42" t="s">
        <v>606</v>
      </c>
      <c r="IXJ337" s="42" t="s">
        <v>606</v>
      </c>
      <c r="IXK337" s="42" t="s">
        <v>606</v>
      </c>
      <c r="IXL337" s="42" t="s">
        <v>606</v>
      </c>
      <c r="IXM337" s="42" t="s">
        <v>606</v>
      </c>
      <c r="IXN337" s="42" t="s">
        <v>606</v>
      </c>
      <c r="IXO337" s="42" t="s">
        <v>606</v>
      </c>
      <c r="IXP337" s="42" t="s">
        <v>606</v>
      </c>
      <c r="IXQ337" s="42" t="s">
        <v>606</v>
      </c>
      <c r="IXR337" s="42" t="s">
        <v>606</v>
      </c>
      <c r="IXS337" s="42" t="s">
        <v>606</v>
      </c>
      <c r="IXT337" s="42" t="s">
        <v>606</v>
      </c>
      <c r="IXU337" s="42" t="s">
        <v>606</v>
      </c>
      <c r="IXV337" s="42" t="s">
        <v>606</v>
      </c>
      <c r="IXW337" s="42" t="s">
        <v>606</v>
      </c>
      <c r="IXX337" s="42" t="s">
        <v>606</v>
      </c>
      <c r="IXY337" s="42" t="s">
        <v>606</v>
      </c>
      <c r="IXZ337" s="42" t="s">
        <v>606</v>
      </c>
      <c r="IYA337" s="42" t="s">
        <v>606</v>
      </c>
      <c r="IYB337" s="42" t="s">
        <v>606</v>
      </c>
      <c r="IYC337" s="42" t="s">
        <v>606</v>
      </c>
      <c r="IYD337" s="42" t="s">
        <v>606</v>
      </c>
      <c r="IYE337" s="42" t="s">
        <v>606</v>
      </c>
      <c r="IYF337" s="42" t="s">
        <v>606</v>
      </c>
      <c r="IYG337" s="42" t="s">
        <v>606</v>
      </c>
      <c r="IYH337" s="42" t="s">
        <v>606</v>
      </c>
      <c r="IYI337" s="42" t="s">
        <v>606</v>
      </c>
      <c r="IYJ337" s="42" t="s">
        <v>606</v>
      </c>
      <c r="IYK337" s="42" t="s">
        <v>606</v>
      </c>
      <c r="IYL337" s="42" t="s">
        <v>606</v>
      </c>
      <c r="IYM337" s="42" t="s">
        <v>606</v>
      </c>
      <c r="IYN337" s="42" t="s">
        <v>606</v>
      </c>
      <c r="IYO337" s="42" t="s">
        <v>606</v>
      </c>
      <c r="IYP337" s="42" t="s">
        <v>606</v>
      </c>
      <c r="IYQ337" s="42" t="s">
        <v>606</v>
      </c>
      <c r="IYR337" s="42" t="s">
        <v>606</v>
      </c>
      <c r="IYS337" s="42" t="s">
        <v>606</v>
      </c>
      <c r="IYT337" s="42" t="s">
        <v>606</v>
      </c>
      <c r="IYU337" s="42" t="s">
        <v>606</v>
      </c>
      <c r="IYV337" s="42" t="s">
        <v>606</v>
      </c>
      <c r="IYW337" s="42" t="s">
        <v>606</v>
      </c>
      <c r="IYX337" s="42" t="s">
        <v>606</v>
      </c>
      <c r="IYY337" s="42" t="s">
        <v>606</v>
      </c>
      <c r="IYZ337" s="42" t="s">
        <v>606</v>
      </c>
      <c r="IZA337" s="42" t="s">
        <v>606</v>
      </c>
      <c r="IZB337" s="42" t="s">
        <v>606</v>
      </c>
      <c r="IZC337" s="42" t="s">
        <v>606</v>
      </c>
      <c r="IZD337" s="42" t="s">
        <v>606</v>
      </c>
      <c r="IZE337" s="42" t="s">
        <v>606</v>
      </c>
      <c r="IZF337" s="42" t="s">
        <v>606</v>
      </c>
      <c r="IZG337" s="42" t="s">
        <v>606</v>
      </c>
      <c r="IZH337" s="42" t="s">
        <v>606</v>
      </c>
      <c r="IZI337" s="42" t="s">
        <v>606</v>
      </c>
      <c r="IZJ337" s="42" t="s">
        <v>606</v>
      </c>
      <c r="IZK337" s="42" t="s">
        <v>606</v>
      </c>
      <c r="IZL337" s="42" t="s">
        <v>606</v>
      </c>
      <c r="IZM337" s="42" t="s">
        <v>606</v>
      </c>
      <c r="IZN337" s="42" t="s">
        <v>606</v>
      </c>
      <c r="IZO337" s="42" t="s">
        <v>606</v>
      </c>
      <c r="IZP337" s="42" t="s">
        <v>606</v>
      </c>
      <c r="IZQ337" s="42" t="s">
        <v>606</v>
      </c>
      <c r="IZR337" s="42" t="s">
        <v>606</v>
      </c>
      <c r="IZS337" s="42" t="s">
        <v>606</v>
      </c>
      <c r="IZT337" s="42" t="s">
        <v>606</v>
      </c>
      <c r="IZU337" s="42" t="s">
        <v>606</v>
      </c>
      <c r="IZV337" s="42" t="s">
        <v>606</v>
      </c>
      <c r="IZW337" s="42" t="s">
        <v>606</v>
      </c>
      <c r="IZX337" s="42" t="s">
        <v>606</v>
      </c>
      <c r="IZY337" s="42" t="s">
        <v>606</v>
      </c>
      <c r="IZZ337" s="42" t="s">
        <v>606</v>
      </c>
      <c r="JAA337" s="42" t="s">
        <v>606</v>
      </c>
      <c r="JAB337" s="42" t="s">
        <v>606</v>
      </c>
      <c r="JAC337" s="42" t="s">
        <v>606</v>
      </c>
      <c r="JAD337" s="42" t="s">
        <v>606</v>
      </c>
      <c r="JAE337" s="42" t="s">
        <v>606</v>
      </c>
      <c r="JAF337" s="42" t="s">
        <v>606</v>
      </c>
      <c r="JAG337" s="42" t="s">
        <v>606</v>
      </c>
      <c r="JAH337" s="42" t="s">
        <v>606</v>
      </c>
      <c r="JAI337" s="42" t="s">
        <v>606</v>
      </c>
      <c r="JAJ337" s="42" t="s">
        <v>606</v>
      </c>
      <c r="JAK337" s="42" t="s">
        <v>606</v>
      </c>
      <c r="JAL337" s="42" t="s">
        <v>606</v>
      </c>
      <c r="JAM337" s="42" t="s">
        <v>606</v>
      </c>
      <c r="JAN337" s="42" t="s">
        <v>606</v>
      </c>
      <c r="JAO337" s="42" t="s">
        <v>606</v>
      </c>
      <c r="JAP337" s="42" t="s">
        <v>606</v>
      </c>
      <c r="JAQ337" s="42" t="s">
        <v>606</v>
      </c>
      <c r="JAR337" s="42" t="s">
        <v>606</v>
      </c>
      <c r="JAS337" s="42" t="s">
        <v>606</v>
      </c>
      <c r="JAT337" s="42" t="s">
        <v>606</v>
      </c>
      <c r="JAU337" s="42" t="s">
        <v>606</v>
      </c>
      <c r="JAV337" s="42" t="s">
        <v>606</v>
      </c>
      <c r="JAW337" s="42" t="s">
        <v>606</v>
      </c>
      <c r="JAX337" s="42" t="s">
        <v>606</v>
      </c>
      <c r="JAY337" s="42" t="s">
        <v>606</v>
      </c>
      <c r="JAZ337" s="42" t="s">
        <v>606</v>
      </c>
      <c r="JBA337" s="42" t="s">
        <v>606</v>
      </c>
      <c r="JBB337" s="42" t="s">
        <v>606</v>
      </c>
      <c r="JBC337" s="42" t="s">
        <v>606</v>
      </c>
      <c r="JBD337" s="42" t="s">
        <v>606</v>
      </c>
      <c r="JBE337" s="42" t="s">
        <v>606</v>
      </c>
      <c r="JBF337" s="42" t="s">
        <v>606</v>
      </c>
      <c r="JBG337" s="42" t="s">
        <v>606</v>
      </c>
      <c r="JBH337" s="42" t="s">
        <v>606</v>
      </c>
      <c r="JBI337" s="42" t="s">
        <v>606</v>
      </c>
      <c r="JBJ337" s="42" t="s">
        <v>606</v>
      </c>
      <c r="JBK337" s="42" t="s">
        <v>606</v>
      </c>
      <c r="JBL337" s="42" t="s">
        <v>606</v>
      </c>
      <c r="JBM337" s="42" t="s">
        <v>606</v>
      </c>
      <c r="JBN337" s="42" t="s">
        <v>606</v>
      </c>
      <c r="JBO337" s="42" t="s">
        <v>606</v>
      </c>
      <c r="JBP337" s="42" t="s">
        <v>606</v>
      </c>
      <c r="JBQ337" s="42" t="s">
        <v>606</v>
      </c>
      <c r="JBR337" s="42" t="s">
        <v>606</v>
      </c>
      <c r="JBS337" s="42" t="s">
        <v>606</v>
      </c>
      <c r="JBT337" s="42" t="s">
        <v>606</v>
      </c>
      <c r="JBU337" s="42" t="s">
        <v>606</v>
      </c>
      <c r="JBV337" s="42" t="s">
        <v>606</v>
      </c>
      <c r="JBW337" s="42" t="s">
        <v>606</v>
      </c>
      <c r="JBX337" s="42" t="s">
        <v>606</v>
      </c>
      <c r="JBY337" s="42" t="s">
        <v>606</v>
      </c>
      <c r="JBZ337" s="42" t="s">
        <v>606</v>
      </c>
      <c r="JCA337" s="42" t="s">
        <v>606</v>
      </c>
      <c r="JCB337" s="42" t="s">
        <v>606</v>
      </c>
      <c r="JCC337" s="42" t="s">
        <v>606</v>
      </c>
      <c r="JCD337" s="42" t="s">
        <v>606</v>
      </c>
      <c r="JCE337" s="42" t="s">
        <v>606</v>
      </c>
      <c r="JCF337" s="42" t="s">
        <v>606</v>
      </c>
      <c r="JCG337" s="42" t="s">
        <v>606</v>
      </c>
      <c r="JCH337" s="42" t="s">
        <v>606</v>
      </c>
      <c r="JCI337" s="42" t="s">
        <v>606</v>
      </c>
      <c r="JCJ337" s="42" t="s">
        <v>606</v>
      </c>
      <c r="JCK337" s="42" t="s">
        <v>606</v>
      </c>
      <c r="JCL337" s="42" t="s">
        <v>606</v>
      </c>
      <c r="JCM337" s="42" t="s">
        <v>606</v>
      </c>
      <c r="JCN337" s="42" t="s">
        <v>606</v>
      </c>
      <c r="JCO337" s="42" t="s">
        <v>606</v>
      </c>
      <c r="JCP337" s="42" t="s">
        <v>606</v>
      </c>
      <c r="JCQ337" s="42" t="s">
        <v>606</v>
      </c>
      <c r="JCR337" s="42" t="s">
        <v>606</v>
      </c>
      <c r="JCS337" s="42" t="s">
        <v>606</v>
      </c>
      <c r="JCT337" s="42" t="s">
        <v>606</v>
      </c>
      <c r="JCU337" s="42" t="s">
        <v>606</v>
      </c>
      <c r="JCV337" s="42" t="s">
        <v>606</v>
      </c>
      <c r="JCW337" s="42" t="s">
        <v>606</v>
      </c>
      <c r="JCX337" s="42" t="s">
        <v>606</v>
      </c>
      <c r="JCY337" s="42" t="s">
        <v>606</v>
      </c>
      <c r="JCZ337" s="42" t="s">
        <v>606</v>
      </c>
      <c r="JDA337" s="42" t="s">
        <v>606</v>
      </c>
      <c r="JDB337" s="42" t="s">
        <v>606</v>
      </c>
      <c r="JDC337" s="42" t="s">
        <v>606</v>
      </c>
      <c r="JDD337" s="42" t="s">
        <v>606</v>
      </c>
      <c r="JDE337" s="42" t="s">
        <v>606</v>
      </c>
      <c r="JDF337" s="42" t="s">
        <v>606</v>
      </c>
      <c r="JDG337" s="42" t="s">
        <v>606</v>
      </c>
      <c r="JDH337" s="42" t="s">
        <v>606</v>
      </c>
      <c r="JDI337" s="42" t="s">
        <v>606</v>
      </c>
      <c r="JDJ337" s="42" t="s">
        <v>606</v>
      </c>
      <c r="JDK337" s="42" t="s">
        <v>606</v>
      </c>
      <c r="JDL337" s="42" t="s">
        <v>606</v>
      </c>
      <c r="JDM337" s="42" t="s">
        <v>606</v>
      </c>
      <c r="JDN337" s="42" t="s">
        <v>606</v>
      </c>
      <c r="JDO337" s="42" t="s">
        <v>606</v>
      </c>
      <c r="JDP337" s="42" t="s">
        <v>606</v>
      </c>
      <c r="JDQ337" s="42" t="s">
        <v>606</v>
      </c>
      <c r="JDR337" s="42" t="s">
        <v>606</v>
      </c>
      <c r="JDS337" s="42" t="s">
        <v>606</v>
      </c>
      <c r="JDT337" s="42" t="s">
        <v>606</v>
      </c>
      <c r="JDU337" s="42" t="s">
        <v>606</v>
      </c>
      <c r="JDV337" s="42" t="s">
        <v>606</v>
      </c>
      <c r="JDW337" s="42" t="s">
        <v>606</v>
      </c>
      <c r="JDX337" s="42" t="s">
        <v>606</v>
      </c>
      <c r="JDY337" s="42" t="s">
        <v>606</v>
      </c>
      <c r="JDZ337" s="42" t="s">
        <v>606</v>
      </c>
      <c r="JEA337" s="42" t="s">
        <v>606</v>
      </c>
      <c r="JEB337" s="42" t="s">
        <v>606</v>
      </c>
      <c r="JEC337" s="42" t="s">
        <v>606</v>
      </c>
      <c r="JED337" s="42" t="s">
        <v>606</v>
      </c>
      <c r="JEE337" s="42" t="s">
        <v>606</v>
      </c>
      <c r="JEF337" s="42" t="s">
        <v>606</v>
      </c>
      <c r="JEG337" s="42" t="s">
        <v>606</v>
      </c>
      <c r="JEH337" s="42" t="s">
        <v>606</v>
      </c>
      <c r="JEI337" s="42" t="s">
        <v>606</v>
      </c>
      <c r="JEJ337" s="42" t="s">
        <v>606</v>
      </c>
      <c r="JEK337" s="42" t="s">
        <v>606</v>
      </c>
      <c r="JEL337" s="42" t="s">
        <v>606</v>
      </c>
      <c r="JEM337" s="42" t="s">
        <v>606</v>
      </c>
      <c r="JEN337" s="42" t="s">
        <v>606</v>
      </c>
      <c r="JEO337" s="42" t="s">
        <v>606</v>
      </c>
      <c r="JEP337" s="42" t="s">
        <v>606</v>
      </c>
      <c r="JEQ337" s="42" t="s">
        <v>606</v>
      </c>
      <c r="JER337" s="42" t="s">
        <v>606</v>
      </c>
      <c r="JES337" s="42" t="s">
        <v>606</v>
      </c>
      <c r="JET337" s="42" t="s">
        <v>606</v>
      </c>
      <c r="JEU337" s="42" t="s">
        <v>606</v>
      </c>
      <c r="JEV337" s="42" t="s">
        <v>606</v>
      </c>
      <c r="JEW337" s="42" t="s">
        <v>606</v>
      </c>
      <c r="JEX337" s="42" t="s">
        <v>606</v>
      </c>
      <c r="JEY337" s="42" t="s">
        <v>606</v>
      </c>
      <c r="JEZ337" s="42" t="s">
        <v>606</v>
      </c>
      <c r="JFA337" s="42" t="s">
        <v>606</v>
      </c>
      <c r="JFB337" s="42" t="s">
        <v>606</v>
      </c>
      <c r="JFC337" s="42" t="s">
        <v>606</v>
      </c>
      <c r="JFD337" s="42" t="s">
        <v>606</v>
      </c>
      <c r="JFE337" s="42" t="s">
        <v>606</v>
      </c>
      <c r="JFF337" s="42" t="s">
        <v>606</v>
      </c>
      <c r="JFG337" s="42" t="s">
        <v>606</v>
      </c>
      <c r="JFH337" s="42" t="s">
        <v>606</v>
      </c>
      <c r="JFI337" s="42" t="s">
        <v>606</v>
      </c>
      <c r="JFJ337" s="42" t="s">
        <v>606</v>
      </c>
      <c r="JFK337" s="42" t="s">
        <v>606</v>
      </c>
      <c r="JFL337" s="42" t="s">
        <v>606</v>
      </c>
      <c r="JFM337" s="42" t="s">
        <v>606</v>
      </c>
      <c r="JFN337" s="42" t="s">
        <v>606</v>
      </c>
      <c r="JFO337" s="42" t="s">
        <v>606</v>
      </c>
      <c r="JFP337" s="42" t="s">
        <v>606</v>
      </c>
      <c r="JFQ337" s="42" t="s">
        <v>606</v>
      </c>
      <c r="JFR337" s="42" t="s">
        <v>606</v>
      </c>
      <c r="JFS337" s="42" t="s">
        <v>606</v>
      </c>
      <c r="JFT337" s="42" t="s">
        <v>606</v>
      </c>
      <c r="JFU337" s="42" t="s">
        <v>606</v>
      </c>
      <c r="JFV337" s="42" t="s">
        <v>606</v>
      </c>
      <c r="JFW337" s="42" t="s">
        <v>606</v>
      </c>
      <c r="JFX337" s="42" t="s">
        <v>606</v>
      </c>
      <c r="JFY337" s="42" t="s">
        <v>606</v>
      </c>
      <c r="JFZ337" s="42" t="s">
        <v>606</v>
      </c>
      <c r="JGA337" s="42" t="s">
        <v>606</v>
      </c>
      <c r="JGB337" s="42" t="s">
        <v>606</v>
      </c>
      <c r="JGC337" s="42" t="s">
        <v>606</v>
      </c>
      <c r="JGD337" s="42" t="s">
        <v>606</v>
      </c>
      <c r="JGE337" s="42" t="s">
        <v>606</v>
      </c>
      <c r="JGF337" s="42" t="s">
        <v>606</v>
      </c>
      <c r="JGG337" s="42" t="s">
        <v>606</v>
      </c>
      <c r="JGH337" s="42" t="s">
        <v>606</v>
      </c>
      <c r="JGI337" s="42" t="s">
        <v>606</v>
      </c>
      <c r="JGJ337" s="42" t="s">
        <v>606</v>
      </c>
      <c r="JGK337" s="42" t="s">
        <v>606</v>
      </c>
      <c r="JGL337" s="42" t="s">
        <v>606</v>
      </c>
      <c r="JGM337" s="42" t="s">
        <v>606</v>
      </c>
      <c r="JGN337" s="42" t="s">
        <v>606</v>
      </c>
      <c r="JGO337" s="42" t="s">
        <v>606</v>
      </c>
      <c r="JGP337" s="42" t="s">
        <v>606</v>
      </c>
      <c r="JGQ337" s="42" t="s">
        <v>606</v>
      </c>
      <c r="JGR337" s="42" t="s">
        <v>606</v>
      </c>
      <c r="JGS337" s="42" t="s">
        <v>606</v>
      </c>
      <c r="JGT337" s="42" t="s">
        <v>606</v>
      </c>
      <c r="JGU337" s="42" t="s">
        <v>606</v>
      </c>
      <c r="JGV337" s="42" t="s">
        <v>606</v>
      </c>
      <c r="JGW337" s="42" t="s">
        <v>606</v>
      </c>
      <c r="JGX337" s="42" t="s">
        <v>606</v>
      </c>
      <c r="JGY337" s="42" t="s">
        <v>606</v>
      </c>
      <c r="JGZ337" s="42" t="s">
        <v>606</v>
      </c>
      <c r="JHA337" s="42" t="s">
        <v>606</v>
      </c>
      <c r="JHB337" s="42" t="s">
        <v>606</v>
      </c>
      <c r="JHC337" s="42" t="s">
        <v>606</v>
      </c>
      <c r="JHD337" s="42" t="s">
        <v>606</v>
      </c>
      <c r="JHE337" s="42" t="s">
        <v>606</v>
      </c>
      <c r="JHF337" s="42" t="s">
        <v>606</v>
      </c>
      <c r="JHG337" s="42" t="s">
        <v>606</v>
      </c>
      <c r="JHH337" s="42" t="s">
        <v>606</v>
      </c>
      <c r="JHI337" s="42" t="s">
        <v>606</v>
      </c>
      <c r="JHJ337" s="42" t="s">
        <v>606</v>
      </c>
      <c r="JHK337" s="42" t="s">
        <v>606</v>
      </c>
      <c r="JHL337" s="42" t="s">
        <v>606</v>
      </c>
      <c r="JHM337" s="42" t="s">
        <v>606</v>
      </c>
      <c r="JHN337" s="42" t="s">
        <v>606</v>
      </c>
      <c r="JHO337" s="42" t="s">
        <v>606</v>
      </c>
      <c r="JHP337" s="42" t="s">
        <v>606</v>
      </c>
      <c r="JHQ337" s="42" t="s">
        <v>606</v>
      </c>
      <c r="JHR337" s="42" t="s">
        <v>606</v>
      </c>
      <c r="JHS337" s="42" t="s">
        <v>606</v>
      </c>
      <c r="JHT337" s="42" t="s">
        <v>606</v>
      </c>
      <c r="JHU337" s="42" t="s">
        <v>606</v>
      </c>
      <c r="JHV337" s="42" t="s">
        <v>606</v>
      </c>
      <c r="JHW337" s="42" t="s">
        <v>606</v>
      </c>
      <c r="JHX337" s="42" t="s">
        <v>606</v>
      </c>
      <c r="JHY337" s="42" t="s">
        <v>606</v>
      </c>
      <c r="JHZ337" s="42" t="s">
        <v>606</v>
      </c>
      <c r="JIA337" s="42" t="s">
        <v>606</v>
      </c>
      <c r="JIB337" s="42" t="s">
        <v>606</v>
      </c>
      <c r="JIC337" s="42" t="s">
        <v>606</v>
      </c>
      <c r="JID337" s="42" t="s">
        <v>606</v>
      </c>
      <c r="JIE337" s="42" t="s">
        <v>606</v>
      </c>
      <c r="JIF337" s="42" t="s">
        <v>606</v>
      </c>
      <c r="JIG337" s="42" t="s">
        <v>606</v>
      </c>
      <c r="JIH337" s="42" t="s">
        <v>606</v>
      </c>
      <c r="JII337" s="42" t="s">
        <v>606</v>
      </c>
      <c r="JIJ337" s="42" t="s">
        <v>606</v>
      </c>
      <c r="JIK337" s="42" t="s">
        <v>606</v>
      </c>
      <c r="JIL337" s="42" t="s">
        <v>606</v>
      </c>
      <c r="JIM337" s="42" t="s">
        <v>606</v>
      </c>
      <c r="JIN337" s="42" t="s">
        <v>606</v>
      </c>
      <c r="JIO337" s="42" t="s">
        <v>606</v>
      </c>
      <c r="JIP337" s="42" t="s">
        <v>606</v>
      </c>
      <c r="JIQ337" s="42" t="s">
        <v>606</v>
      </c>
      <c r="JIR337" s="42" t="s">
        <v>606</v>
      </c>
      <c r="JIS337" s="42" t="s">
        <v>606</v>
      </c>
      <c r="JIT337" s="42" t="s">
        <v>606</v>
      </c>
      <c r="JIU337" s="42" t="s">
        <v>606</v>
      </c>
      <c r="JIV337" s="42" t="s">
        <v>606</v>
      </c>
      <c r="JIW337" s="42" t="s">
        <v>606</v>
      </c>
      <c r="JIX337" s="42" t="s">
        <v>606</v>
      </c>
      <c r="JIY337" s="42" t="s">
        <v>606</v>
      </c>
      <c r="JIZ337" s="42" t="s">
        <v>606</v>
      </c>
      <c r="JJA337" s="42" t="s">
        <v>606</v>
      </c>
      <c r="JJB337" s="42" t="s">
        <v>606</v>
      </c>
      <c r="JJC337" s="42" t="s">
        <v>606</v>
      </c>
      <c r="JJD337" s="42" t="s">
        <v>606</v>
      </c>
      <c r="JJE337" s="42" t="s">
        <v>606</v>
      </c>
      <c r="JJF337" s="42" t="s">
        <v>606</v>
      </c>
      <c r="JJG337" s="42" t="s">
        <v>606</v>
      </c>
      <c r="JJH337" s="42" t="s">
        <v>606</v>
      </c>
      <c r="JJI337" s="42" t="s">
        <v>606</v>
      </c>
      <c r="JJJ337" s="42" t="s">
        <v>606</v>
      </c>
      <c r="JJK337" s="42" t="s">
        <v>606</v>
      </c>
      <c r="JJL337" s="42" t="s">
        <v>606</v>
      </c>
      <c r="JJM337" s="42" t="s">
        <v>606</v>
      </c>
      <c r="JJN337" s="42" t="s">
        <v>606</v>
      </c>
      <c r="JJO337" s="42" t="s">
        <v>606</v>
      </c>
      <c r="JJP337" s="42" t="s">
        <v>606</v>
      </c>
      <c r="JJQ337" s="42" t="s">
        <v>606</v>
      </c>
      <c r="JJR337" s="42" t="s">
        <v>606</v>
      </c>
      <c r="JJS337" s="42" t="s">
        <v>606</v>
      </c>
      <c r="JJT337" s="42" t="s">
        <v>606</v>
      </c>
      <c r="JJU337" s="42" t="s">
        <v>606</v>
      </c>
      <c r="JJV337" s="42" t="s">
        <v>606</v>
      </c>
      <c r="JJW337" s="42" t="s">
        <v>606</v>
      </c>
      <c r="JJX337" s="42" t="s">
        <v>606</v>
      </c>
      <c r="JJY337" s="42" t="s">
        <v>606</v>
      </c>
      <c r="JJZ337" s="42" t="s">
        <v>606</v>
      </c>
      <c r="JKA337" s="42" t="s">
        <v>606</v>
      </c>
      <c r="JKB337" s="42" t="s">
        <v>606</v>
      </c>
      <c r="JKC337" s="42" t="s">
        <v>606</v>
      </c>
      <c r="JKD337" s="42" t="s">
        <v>606</v>
      </c>
      <c r="JKE337" s="42" t="s">
        <v>606</v>
      </c>
      <c r="JKF337" s="42" t="s">
        <v>606</v>
      </c>
      <c r="JKG337" s="42" t="s">
        <v>606</v>
      </c>
      <c r="JKH337" s="42" t="s">
        <v>606</v>
      </c>
      <c r="JKI337" s="42" t="s">
        <v>606</v>
      </c>
      <c r="JKJ337" s="42" t="s">
        <v>606</v>
      </c>
      <c r="JKK337" s="42" t="s">
        <v>606</v>
      </c>
      <c r="JKL337" s="42" t="s">
        <v>606</v>
      </c>
      <c r="JKM337" s="42" t="s">
        <v>606</v>
      </c>
      <c r="JKN337" s="42" t="s">
        <v>606</v>
      </c>
      <c r="JKO337" s="42" t="s">
        <v>606</v>
      </c>
      <c r="JKP337" s="42" t="s">
        <v>606</v>
      </c>
      <c r="JKQ337" s="42" t="s">
        <v>606</v>
      </c>
      <c r="JKR337" s="42" t="s">
        <v>606</v>
      </c>
      <c r="JKS337" s="42" t="s">
        <v>606</v>
      </c>
      <c r="JKT337" s="42" t="s">
        <v>606</v>
      </c>
      <c r="JKU337" s="42" t="s">
        <v>606</v>
      </c>
      <c r="JKV337" s="42" t="s">
        <v>606</v>
      </c>
      <c r="JKW337" s="42" t="s">
        <v>606</v>
      </c>
      <c r="JKX337" s="42" t="s">
        <v>606</v>
      </c>
      <c r="JKY337" s="42" t="s">
        <v>606</v>
      </c>
      <c r="JKZ337" s="42" t="s">
        <v>606</v>
      </c>
      <c r="JLA337" s="42" t="s">
        <v>606</v>
      </c>
      <c r="JLB337" s="42" t="s">
        <v>606</v>
      </c>
      <c r="JLC337" s="42" t="s">
        <v>606</v>
      </c>
      <c r="JLD337" s="42" t="s">
        <v>606</v>
      </c>
      <c r="JLE337" s="42" t="s">
        <v>606</v>
      </c>
      <c r="JLF337" s="42" t="s">
        <v>606</v>
      </c>
      <c r="JLG337" s="42" t="s">
        <v>606</v>
      </c>
      <c r="JLH337" s="42" t="s">
        <v>606</v>
      </c>
      <c r="JLI337" s="42" t="s">
        <v>606</v>
      </c>
      <c r="JLJ337" s="42" t="s">
        <v>606</v>
      </c>
      <c r="JLK337" s="42" t="s">
        <v>606</v>
      </c>
      <c r="JLL337" s="42" t="s">
        <v>606</v>
      </c>
      <c r="JLM337" s="42" t="s">
        <v>606</v>
      </c>
      <c r="JLN337" s="42" t="s">
        <v>606</v>
      </c>
      <c r="JLO337" s="42" t="s">
        <v>606</v>
      </c>
      <c r="JLP337" s="42" t="s">
        <v>606</v>
      </c>
      <c r="JLQ337" s="42" t="s">
        <v>606</v>
      </c>
      <c r="JLR337" s="42" t="s">
        <v>606</v>
      </c>
      <c r="JLS337" s="42" t="s">
        <v>606</v>
      </c>
      <c r="JLT337" s="42" t="s">
        <v>606</v>
      </c>
      <c r="JLU337" s="42" t="s">
        <v>606</v>
      </c>
      <c r="JLV337" s="42" t="s">
        <v>606</v>
      </c>
      <c r="JLW337" s="42" t="s">
        <v>606</v>
      </c>
      <c r="JLX337" s="42" t="s">
        <v>606</v>
      </c>
      <c r="JLY337" s="42" t="s">
        <v>606</v>
      </c>
      <c r="JLZ337" s="42" t="s">
        <v>606</v>
      </c>
      <c r="JMA337" s="42" t="s">
        <v>606</v>
      </c>
      <c r="JMB337" s="42" t="s">
        <v>606</v>
      </c>
      <c r="JMC337" s="42" t="s">
        <v>606</v>
      </c>
      <c r="JMD337" s="42" t="s">
        <v>606</v>
      </c>
      <c r="JME337" s="42" t="s">
        <v>606</v>
      </c>
      <c r="JMF337" s="42" t="s">
        <v>606</v>
      </c>
      <c r="JMG337" s="42" t="s">
        <v>606</v>
      </c>
      <c r="JMH337" s="42" t="s">
        <v>606</v>
      </c>
      <c r="JMI337" s="42" t="s">
        <v>606</v>
      </c>
      <c r="JMJ337" s="42" t="s">
        <v>606</v>
      </c>
      <c r="JMK337" s="42" t="s">
        <v>606</v>
      </c>
      <c r="JML337" s="42" t="s">
        <v>606</v>
      </c>
      <c r="JMM337" s="42" t="s">
        <v>606</v>
      </c>
      <c r="JMN337" s="42" t="s">
        <v>606</v>
      </c>
      <c r="JMO337" s="42" t="s">
        <v>606</v>
      </c>
      <c r="JMP337" s="42" t="s">
        <v>606</v>
      </c>
      <c r="JMQ337" s="42" t="s">
        <v>606</v>
      </c>
      <c r="JMR337" s="42" t="s">
        <v>606</v>
      </c>
      <c r="JMS337" s="42" t="s">
        <v>606</v>
      </c>
      <c r="JMT337" s="42" t="s">
        <v>606</v>
      </c>
      <c r="JMU337" s="42" t="s">
        <v>606</v>
      </c>
      <c r="JMV337" s="42" t="s">
        <v>606</v>
      </c>
      <c r="JMW337" s="42" t="s">
        <v>606</v>
      </c>
      <c r="JMX337" s="42" t="s">
        <v>606</v>
      </c>
      <c r="JMY337" s="42" t="s">
        <v>606</v>
      </c>
      <c r="JMZ337" s="42" t="s">
        <v>606</v>
      </c>
      <c r="JNA337" s="42" t="s">
        <v>606</v>
      </c>
      <c r="JNB337" s="42" t="s">
        <v>606</v>
      </c>
      <c r="JNC337" s="42" t="s">
        <v>606</v>
      </c>
      <c r="JND337" s="42" t="s">
        <v>606</v>
      </c>
      <c r="JNE337" s="42" t="s">
        <v>606</v>
      </c>
      <c r="JNF337" s="42" t="s">
        <v>606</v>
      </c>
      <c r="JNG337" s="42" t="s">
        <v>606</v>
      </c>
      <c r="JNH337" s="42" t="s">
        <v>606</v>
      </c>
      <c r="JNI337" s="42" t="s">
        <v>606</v>
      </c>
      <c r="JNJ337" s="42" t="s">
        <v>606</v>
      </c>
      <c r="JNK337" s="42" t="s">
        <v>606</v>
      </c>
      <c r="JNL337" s="42" t="s">
        <v>606</v>
      </c>
      <c r="JNM337" s="42" t="s">
        <v>606</v>
      </c>
      <c r="JNN337" s="42" t="s">
        <v>606</v>
      </c>
      <c r="JNO337" s="42" t="s">
        <v>606</v>
      </c>
      <c r="JNP337" s="42" t="s">
        <v>606</v>
      </c>
      <c r="JNQ337" s="42" t="s">
        <v>606</v>
      </c>
      <c r="JNR337" s="42" t="s">
        <v>606</v>
      </c>
      <c r="JNS337" s="42" t="s">
        <v>606</v>
      </c>
      <c r="JNT337" s="42" t="s">
        <v>606</v>
      </c>
      <c r="JNU337" s="42" t="s">
        <v>606</v>
      </c>
      <c r="JNV337" s="42" t="s">
        <v>606</v>
      </c>
      <c r="JNW337" s="42" t="s">
        <v>606</v>
      </c>
      <c r="JNX337" s="42" t="s">
        <v>606</v>
      </c>
      <c r="JNY337" s="42" t="s">
        <v>606</v>
      </c>
      <c r="JNZ337" s="42" t="s">
        <v>606</v>
      </c>
      <c r="JOA337" s="42" t="s">
        <v>606</v>
      </c>
      <c r="JOB337" s="42" t="s">
        <v>606</v>
      </c>
      <c r="JOC337" s="42" t="s">
        <v>606</v>
      </c>
      <c r="JOD337" s="42" t="s">
        <v>606</v>
      </c>
      <c r="JOE337" s="42" t="s">
        <v>606</v>
      </c>
      <c r="JOF337" s="42" t="s">
        <v>606</v>
      </c>
      <c r="JOG337" s="42" t="s">
        <v>606</v>
      </c>
      <c r="JOH337" s="42" t="s">
        <v>606</v>
      </c>
      <c r="JOI337" s="42" t="s">
        <v>606</v>
      </c>
      <c r="JOJ337" s="42" t="s">
        <v>606</v>
      </c>
      <c r="JOK337" s="42" t="s">
        <v>606</v>
      </c>
      <c r="JOL337" s="42" t="s">
        <v>606</v>
      </c>
      <c r="JOM337" s="42" t="s">
        <v>606</v>
      </c>
      <c r="JON337" s="42" t="s">
        <v>606</v>
      </c>
      <c r="JOO337" s="42" t="s">
        <v>606</v>
      </c>
      <c r="JOP337" s="42" t="s">
        <v>606</v>
      </c>
      <c r="JOQ337" s="42" t="s">
        <v>606</v>
      </c>
      <c r="JOR337" s="42" t="s">
        <v>606</v>
      </c>
      <c r="JOS337" s="42" t="s">
        <v>606</v>
      </c>
      <c r="JOT337" s="42" t="s">
        <v>606</v>
      </c>
      <c r="JOU337" s="42" t="s">
        <v>606</v>
      </c>
      <c r="JOV337" s="42" t="s">
        <v>606</v>
      </c>
      <c r="JOW337" s="42" t="s">
        <v>606</v>
      </c>
      <c r="JOX337" s="42" t="s">
        <v>606</v>
      </c>
      <c r="JOY337" s="42" t="s">
        <v>606</v>
      </c>
      <c r="JOZ337" s="42" t="s">
        <v>606</v>
      </c>
      <c r="JPA337" s="42" t="s">
        <v>606</v>
      </c>
      <c r="JPB337" s="42" t="s">
        <v>606</v>
      </c>
      <c r="JPC337" s="42" t="s">
        <v>606</v>
      </c>
      <c r="JPD337" s="42" t="s">
        <v>606</v>
      </c>
      <c r="JPE337" s="42" t="s">
        <v>606</v>
      </c>
      <c r="JPF337" s="42" t="s">
        <v>606</v>
      </c>
      <c r="JPG337" s="42" t="s">
        <v>606</v>
      </c>
      <c r="JPH337" s="42" t="s">
        <v>606</v>
      </c>
      <c r="JPI337" s="42" t="s">
        <v>606</v>
      </c>
      <c r="JPJ337" s="42" t="s">
        <v>606</v>
      </c>
      <c r="JPK337" s="42" t="s">
        <v>606</v>
      </c>
      <c r="JPL337" s="42" t="s">
        <v>606</v>
      </c>
      <c r="JPM337" s="42" t="s">
        <v>606</v>
      </c>
      <c r="JPN337" s="42" t="s">
        <v>606</v>
      </c>
      <c r="JPO337" s="42" t="s">
        <v>606</v>
      </c>
      <c r="JPP337" s="42" t="s">
        <v>606</v>
      </c>
      <c r="JPQ337" s="42" t="s">
        <v>606</v>
      </c>
      <c r="JPR337" s="42" t="s">
        <v>606</v>
      </c>
      <c r="JPS337" s="42" t="s">
        <v>606</v>
      </c>
      <c r="JPT337" s="42" t="s">
        <v>606</v>
      </c>
      <c r="JPU337" s="42" t="s">
        <v>606</v>
      </c>
      <c r="JPV337" s="42" t="s">
        <v>606</v>
      </c>
      <c r="JPW337" s="42" t="s">
        <v>606</v>
      </c>
      <c r="JPX337" s="42" t="s">
        <v>606</v>
      </c>
      <c r="JPY337" s="42" t="s">
        <v>606</v>
      </c>
      <c r="JPZ337" s="42" t="s">
        <v>606</v>
      </c>
      <c r="JQA337" s="42" t="s">
        <v>606</v>
      </c>
      <c r="JQB337" s="42" t="s">
        <v>606</v>
      </c>
      <c r="JQC337" s="42" t="s">
        <v>606</v>
      </c>
      <c r="JQD337" s="42" t="s">
        <v>606</v>
      </c>
      <c r="JQE337" s="42" t="s">
        <v>606</v>
      </c>
      <c r="JQF337" s="42" t="s">
        <v>606</v>
      </c>
      <c r="JQG337" s="42" t="s">
        <v>606</v>
      </c>
      <c r="JQH337" s="42" t="s">
        <v>606</v>
      </c>
      <c r="JQI337" s="42" t="s">
        <v>606</v>
      </c>
      <c r="JQJ337" s="42" t="s">
        <v>606</v>
      </c>
      <c r="JQK337" s="42" t="s">
        <v>606</v>
      </c>
      <c r="JQL337" s="42" t="s">
        <v>606</v>
      </c>
      <c r="JQM337" s="42" t="s">
        <v>606</v>
      </c>
      <c r="JQN337" s="42" t="s">
        <v>606</v>
      </c>
      <c r="JQO337" s="42" t="s">
        <v>606</v>
      </c>
      <c r="JQP337" s="42" t="s">
        <v>606</v>
      </c>
      <c r="JQQ337" s="42" t="s">
        <v>606</v>
      </c>
      <c r="JQR337" s="42" t="s">
        <v>606</v>
      </c>
      <c r="JQS337" s="42" t="s">
        <v>606</v>
      </c>
      <c r="JQT337" s="42" t="s">
        <v>606</v>
      </c>
      <c r="JQU337" s="42" t="s">
        <v>606</v>
      </c>
      <c r="JQV337" s="42" t="s">
        <v>606</v>
      </c>
      <c r="JQW337" s="42" t="s">
        <v>606</v>
      </c>
      <c r="JQX337" s="42" t="s">
        <v>606</v>
      </c>
      <c r="JQY337" s="42" t="s">
        <v>606</v>
      </c>
      <c r="JQZ337" s="42" t="s">
        <v>606</v>
      </c>
      <c r="JRA337" s="42" t="s">
        <v>606</v>
      </c>
      <c r="JRB337" s="42" t="s">
        <v>606</v>
      </c>
      <c r="JRC337" s="42" t="s">
        <v>606</v>
      </c>
      <c r="JRD337" s="42" t="s">
        <v>606</v>
      </c>
      <c r="JRE337" s="42" t="s">
        <v>606</v>
      </c>
      <c r="JRF337" s="42" t="s">
        <v>606</v>
      </c>
      <c r="JRG337" s="42" t="s">
        <v>606</v>
      </c>
      <c r="JRH337" s="42" t="s">
        <v>606</v>
      </c>
      <c r="JRI337" s="42" t="s">
        <v>606</v>
      </c>
      <c r="JRJ337" s="42" t="s">
        <v>606</v>
      </c>
      <c r="JRK337" s="42" t="s">
        <v>606</v>
      </c>
      <c r="JRL337" s="42" t="s">
        <v>606</v>
      </c>
      <c r="JRM337" s="42" t="s">
        <v>606</v>
      </c>
      <c r="JRN337" s="42" t="s">
        <v>606</v>
      </c>
      <c r="JRO337" s="42" t="s">
        <v>606</v>
      </c>
      <c r="JRP337" s="42" t="s">
        <v>606</v>
      </c>
      <c r="JRQ337" s="42" t="s">
        <v>606</v>
      </c>
      <c r="JRR337" s="42" t="s">
        <v>606</v>
      </c>
      <c r="JRS337" s="42" t="s">
        <v>606</v>
      </c>
      <c r="JRT337" s="42" t="s">
        <v>606</v>
      </c>
      <c r="JRU337" s="42" t="s">
        <v>606</v>
      </c>
      <c r="JRV337" s="42" t="s">
        <v>606</v>
      </c>
      <c r="JRW337" s="42" t="s">
        <v>606</v>
      </c>
      <c r="JRX337" s="42" t="s">
        <v>606</v>
      </c>
      <c r="JRY337" s="42" t="s">
        <v>606</v>
      </c>
      <c r="JRZ337" s="42" t="s">
        <v>606</v>
      </c>
      <c r="JSA337" s="42" t="s">
        <v>606</v>
      </c>
      <c r="JSB337" s="42" t="s">
        <v>606</v>
      </c>
      <c r="JSC337" s="42" t="s">
        <v>606</v>
      </c>
      <c r="JSD337" s="42" t="s">
        <v>606</v>
      </c>
      <c r="JSE337" s="42" t="s">
        <v>606</v>
      </c>
      <c r="JSF337" s="42" t="s">
        <v>606</v>
      </c>
      <c r="JSG337" s="42" t="s">
        <v>606</v>
      </c>
      <c r="JSH337" s="42" t="s">
        <v>606</v>
      </c>
      <c r="JSI337" s="42" t="s">
        <v>606</v>
      </c>
      <c r="JSJ337" s="42" t="s">
        <v>606</v>
      </c>
      <c r="JSK337" s="42" t="s">
        <v>606</v>
      </c>
      <c r="JSL337" s="42" t="s">
        <v>606</v>
      </c>
      <c r="JSM337" s="42" t="s">
        <v>606</v>
      </c>
      <c r="JSN337" s="42" t="s">
        <v>606</v>
      </c>
      <c r="JSO337" s="42" t="s">
        <v>606</v>
      </c>
      <c r="JSP337" s="42" t="s">
        <v>606</v>
      </c>
      <c r="JSQ337" s="42" t="s">
        <v>606</v>
      </c>
      <c r="JSR337" s="42" t="s">
        <v>606</v>
      </c>
      <c r="JSS337" s="42" t="s">
        <v>606</v>
      </c>
      <c r="JST337" s="42" t="s">
        <v>606</v>
      </c>
      <c r="JSU337" s="42" t="s">
        <v>606</v>
      </c>
      <c r="JSV337" s="42" t="s">
        <v>606</v>
      </c>
      <c r="JSW337" s="42" t="s">
        <v>606</v>
      </c>
      <c r="JSX337" s="42" t="s">
        <v>606</v>
      </c>
      <c r="JSY337" s="42" t="s">
        <v>606</v>
      </c>
      <c r="JSZ337" s="42" t="s">
        <v>606</v>
      </c>
      <c r="JTA337" s="42" t="s">
        <v>606</v>
      </c>
      <c r="JTB337" s="42" t="s">
        <v>606</v>
      </c>
      <c r="JTC337" s="42" t="s">
        <v>606</v>
      </c>
      <c r="JTD337" s="42" t="s">
        <v>606</v>
      </c>
      <c r="JTE337" s="42" t="s">
        <v>606</v>
      </c>
      <c r="JTF337" s="42" t="s">
        <v>606</v>
      </c>
      <c r="JTG337" s="42" t="s">
        <v>606</v>
      </c>
      <c r="JTH337" s="42" t="s">
        <v>606</v>
      </c>
      <c r="JTI337" s="42" t="s">
        <v>606</v>
      </c>
      <c r="JTJ337" s="42" t="s">
        <v>606</v>
      </c>
      <c r="JTK337" s="42" t="s">
        <v>606</v>
      </c>
      <c r="JTL337" s="42" t="s">
        <v>606</v>
      </c>
      <c r="JTM337" s="42" t="s">
        <v>606</v>
      </c>
      <c r="JTN337" s="42" t="s">
        <v>606</v>
      </c>
      <c r="JTO337" s="42" t="s">
        <v>606</v>
      </c>
      <c r="JTP337" s="42" t="s">
        <v>606</v>
      </c>
      <c r="JTQ337" s="42" t="s">
        <v>606</v>
      </c>
      <c r="JTR337" s="42" t="s">
        <v>606</v>
      </c>
      <c r="JTS337" s="42" t="s">
        <v>606</v>
      </c>
      <c r="JTT337" s="42" t="s">
        <v>606</v>
      </c>
      <c r="JTU337" s="42" t="s">
        <v>606</v>
      </c>
      <c r="JTV337" s="42" t="s">
        <v>606</v>
      </c>
      <c r="JTW337" s="42" t="s">
        <v>606</v>
      </c>
      <c r="JTX337" s="42" t="s">
        <v>606</v>
      </c>
      <c r="JTY337" s="42" t="s">
        <v>606</v>
      </c>
      <c r="JTZ337" s="42" t="s">
        <v>606</v>
      </c>
      <c r="JUA337" s="42" t="s">
        <v>606</v>
      </c>
      <c r="JUB337" s="42" t="s">
        <v>606</v>
      </c>
      <c r="JUC337" s="42" t="s">
        <v>606</v>
      </c>
      <c r="JUD337" s="42" t="s">
        <v>606</v>
      </c>
      <c r="JUE337" s="42" t="s">
        <v>606</v>
      </c>
      <c r="JUF337" s="42" t="s">
        <v>606</v>
      </c>
      <c r="JUG337" s="42" t="s">
        <v>606</v>
      </c>
      <c r="JUH337" s="42" t="s">
        <v>606</v>
      </c>
      <c r="JUI337" s="42" t="s">
        <v>606</v>
      </c>
      <c r="JUJ337" s="42" t="s">
        <v>606</v>
      </c>
      <c r="JUK337" s="42" t="s">
        <v>606</v>
      </c>
      <c r="JUL337" s="42" t="s">
        <v>606</v>
      </c>
      <c r="JUM337" s="42" t="s">
        <v>606</v>
      </c>
      <c r="JUN337" s="42" t="s">
        <v>606</v>
      </c>
      <c r="JUO337" s="42" t="s">
        <v>606</v>
      </c>
      <c r="JUP337" s="42" t="s">
        <v>606</v>
      </c>
      <c r="JUQ337" s="42" t="s">
        <v>606</v>
      </c>
      <c r="JUR337" s="42" t="s">
        <v>606</v>
      </c>
      <c r="JUS337" s="42" t="s">
        <v>606</v>
      </c>
      <c r="JUT337" s="42" t="s">
        <v>606</v>
      </c>
      <c r="JUU337" s="42" t="s">
        <v>606</v>
      </c>
      <c r="JUV337" s="42" t="s">
        <v>606</v>
      </c>
      <c r="JUW337" s="42" t="s">
        <v>606</v>
      </c>
      <c r="JUX337" s="42" t="s">
        <v>606</v>
      </c>
      <c r="JUY337" s="42" t="s">
        <v>606</v>
      </c>
      <c r="JUZ337" s="42" t="s">
        <v>606</v>
      </c>
      <c r="JVA337" s="42" t="s">
        <v>606</v>
      </c>
      <c r="JVB337" s="42" t="s">
        <v>606</v>
      </c>
      <c r="JVC337" s="42" t="s">
        <v>606</v>
      </c>
      <c r="JVD337" s="42" t="s">
        <v>606</v>
      </c>
      <c r="JVE337" s="42" t="s">
        <v>606</v>
      </c>
      <c r="JVF337" s="42" t="s">
        <v>606</v>
      </c>
      <c r="JVG337" s="42" t="s">
        <v>606</v>
      </c>
      <c r="JVH337" s="42" t="s">
        <v>606</v>
      </c>
      <c r="JVI337" s="42" t="s">
        <v>606</v>
      </c>
      <c r="JVJ337" s="42" t="s">
        <v>606</v>
      </c>
      <c r="JVK337" s="42" t="s">
        <v>606</v>
      </c>
      <c r="JVL337" s="42" t="s">
        <v>606</v>
      </c>
      <c r="JVM337" s="42" t="s">
        <v>606</v>
      </c>
      <c r="JVN337" s="42" t="s">
        <v>606</v>
      </c>
      <c r="JVO337" s="42" t="s">
        <v>606</v>
      </c>
      <c r="JVP337" s="42" t="s">
        <v>606</v>
      </c>
      <c r="JVQ337" s="42" t="s">
        <v>606</v>
      </c>
      <c r="JVR337" s="42" t="s">
        <v>606</v>
      </c>
      <c r="JVS337" s="42" t="s">
        <v>606</v>
      </c>
      <c r="JVT337" s="42" t="s">
        <v>606</v>
      </c>
      <c r="JVU337" s="42" t="s">
        <v>606</v>
      </c>
      <c r="JVV337" s="42" t="s">
        <v>606</v>
      </c>
      <c r="JVW337" s="42" t="s">
        <v>606</v>
      </c>
      <c r="JVX337" s="42" t="s">
        <v>606</v>
      </c>
      <c r="JVY337" s="42" t="s">
        <v>606</v>
      </c>
      <c r="JVZ337" s="42" t="s">
        <v>606</v>
      </c>
      <c r="JWA337" s="42" t="s">
        <v>606</v>
      </c>
      <c r="JWB337" s="42" t="s">
        <v>606</v>
      </c>
      <c r="JWC337" s="42" t="s">
        <v>606</v>
      </c>
      <c r="JWD337" s="42" t="s">
        <v>606</v>
      </c>
      <c r="JWE337" s="42" t="s">
        <v>606</v>
      </c>
      <c r="JWF337" s="42" t="s">
        <v>606</v>
      </c>
      <c r="JWG337" s="42" t="s">
        <v>606</v>
      </c>
      <c r="JWH337" s="42" t="s">
        <v>606</v>
      </c>
      <c r="JWI337" s="42" t="s">
        <v>606</v>
      </c>
      <c r="JWJ337" s="42" t="s">
        <v>606</v>
      </c>
      <c r="JWK337" s="42" t="s">
        <v>606</v>
      </c>
      <c r="JWL337" s="42" t="s">
        <v>606</v>
      </c>
      <c r="JWM337" s="42" t="s">
        <v>606</v>
      </c>
      <c r="JWN337" s="42" t="s">
        <v>606</v>
      </c>
      <c r="JWO337" s="42" t="s">
        <v>606</v>
      </c>
      <c r="JWP337" s="42" t="s">
        <v>606</v>
      </c>
      <c r="JWQ337" s="42" t="s">
        <v>606</v>
      </c>
      <c r="JWR337" s="42" t="s">
        <v>606</v>
      </c>
      <c r="JWS337" s="42" t="s">
        <v>606</v>
      </c>
      <c r="JWT337" s="42" t="s">
        <v>606</v>
      </c>
      <c r="JWU337" s="42" t="s">
        <v>606</v>
      </c>
      <c r="JWV337" s="42" t="s">
        <v>606</v>
      </c>
      <c r="JWW337" s="42" t="s">
        <v>606</v>
      </c>
      <c r="JWX337" s="42" t="s">
        <v>606</v>
      </c>
      <c r="JWY337" s="42" t="s">
        <v>606</v>
      </c>
      <c r="JWZ337" s="42" t="s">
        <v>606</v>
      </c>
      <c r="JXA337" s="42" t="s">
        <v>606</v>
      </c>
      <c r="JXB337" s="42" t="s">
        <v>606</v>
      </c>
      <c r="JXC337" s="42" t="s">
        <v>606</v>
      </c>
      <c r="JXD337" s="42" t="s">
        <v>606</v>
      </c>
      <c r="JXE337" s="42" t="s">
        <v>606</v>
      </c>
      <c r="JXF337" s="42" t="s">
        <v>606</v>
      </c>
      <c r="JXG337" s="42" t="s">
        <v>606</v>
      </c>
      <c r="JXH337" s="42" t="s">
        <v>606</v>
      </c>
      <c r="JXI337" s="42" t="s">
        <v>606</v>
      </c>
      <c r="JXJ337" s="42" t="s">
        <v>606</v>
      </c>
      <c r="JXK337" s="42" t="s">
        <v>606</v>
      </c>
      <c r="JXL337" s="42" t="s">
        <v>606</v>
      </c>
      <c r="JXM337" s="42" t="s">
        <v>606</v>
      </c>
      <c r="JXN337" s="42" t="s">
        <v>606</v>
      </c>
      <c r="JXO337" s="42" t="s">
        <v>606</v>
      </c>
      <c r="JXP337" s="42" t="s">
        <v>606</v>
      </c>
      <c r="JXQ337" s="42" t="s">
        <v>606</v>
      </c>
      <c r="JXR337" s="42" t="s">
        <v>606</v>
      </c>
      <c r="JXS337" s="42" t="s">
        <v>606</v>
      </c>
      <c r="JXT337" s="42" t="s">
        <v>606</v>
      </c>
      <c r="JXU337" s="42" t="s">
        <v>606</v>
      </c>
      <c r="JXV337" s="42" t="s">
        <v>606</v>
      </c>
      <c r="JXW337" s="42" t="s">
        <v>606</v>
      </c>
      <c r="JXX337" s="42" t="s">
        <v>606</v>
      </c>
      <c r="JXY337" s="42" t="s">
        <v>606</v>
      </c>
      <c r="JXZ337" s="42" t="s">
        <v>606</v>
      </c>
      <c r="JYA337" s="42" t="s">
        <v>606</v>
      </c>
      <c r="JYB337" s="42" t="s">
        <v>606</v>
      </c>
      <c r="JYC337" s="42" t="s">
        <v>606</v>
      </c>
      <c r="JYD337" s="42" t="s">
        <v>606</v>
      </c>
      <c r="JYE337" s="42" t="s">
        <v>606</v>
      </c>
      <c r="JYF337" s="42" t="s">
        <v>606</v>
      </c>
      <c r="JYG337" s="42" t="s">
        <v>606</v>
      </c>
      <c r="JYH337" s="42" t="s">
        <v>606</v>
      </c>
      <c r="JYI337" s="42" t="s">
        <v>606</v>
      </c>
      <c r="JYJ337" s="42" t="s">
        <v>606</v>
      </c>
      <c r="JYK337" s="42" t="s">
        <v>606</v>
      </c>
      <c r="JYL337" s="42" t="s">
        <v>606</v>
      </c>
      <c r="JYM337" s="42" t="s">
        <v>606</v>
      </c>
      <c r="JYN337" s="42" t="s">
        <v>606</v>
      </c>
      <c r="JYO337" s="42" t="s">
        <v>606</v>
      </c>
      <c r="JYP337" s="42" t="s">
        <v>606</v>
      </c>
      <c r="JYQ337" s="42" t="s">
        <v>606</v>
      </c>
      <c r="JYR337" s="42" t="s">
        <v>606</v>
      </c>
      <c r="JYS337" s="42" t="s">
        <v>606</v>
      </c>
      <c r="JYT337" s="42" t="s">
        <v>606</v>
      </c>
      <c r="JYU337" s="42" t="s">
        <v>606</v>
      </c>
      <c r="JYV337" s="42" t="s">
        <v>606</v>
      </c>
      <c r="JYW337" s="42" t="s">
        <v>606</v>
      </c>
      <c r="JYX337" s="42" t="s">
        <v>606</v>
      </c>
      <c r="JYY337" s="42" t="s">
        <v>606</v>
      </c>
      <c r="JYZ337" s="42" t="s">
        <v>606</v>
      </c>
      <c r="JZA337" s="42" t="s">
        <v>606</v>
      </c>
      <c r="JZB337" s="42" t="s">
        <v>606</v>
      </c>
      <c r="JZC337" s="42" t="s">
        <v>606</v>
      </c>
      <c r="JZD337" s="42" t="s">
        <v>606</v>
      </c>
      <c r="JZE337" s="42" t="s">
        <v>606</v>
      </c>
      <c r="JZF337" s="42" t="s">
        <v>606</v>
      </c>
      <c r="JZG337" s="42" t="s">
        <v>606</v>
      </c>
      <c r="JZH337" s="42" t="s">
        <v>606</v>
      </c>
      <c r="JZI337" s="42" t="s">
        <v>606</v>
      </c>
      <c r="JZJ337" s="42" t="s">
        <v>606</v>
      </c>
      <c r="JZK337" s="42" t="s">
        <v>606</v>
      </c>
      <c r="JZL337" s="42" t="s">
        <v>606</v>
      </c>
      <c r="JZM337" s="42" t="s">
        <v>606</v>
      </c>
      <c r="JZN337" s="42" t="s">
        <v>606</v>
      </c>
      <c r="JZO337" s="42" t="s">
        <v>606</v>
      </c>
      <c r="JZP337" s="42" t="s">
        <v>606</v>
      </c>
      <c r="JZQ337" s="42" t="s">
        <v>606</v>
      </c>
      <c r="JZR337" s="42" t="s">
        <v>606</v>
      </c>
      <c r="JZS337" s="42" t="s">
        <v>606</v>
      </c>
      <c r="JZT337" s="42" t="s">
        <v>606</v>
      </c>
      <c r="JZU337" s="42" t="s">
        <v>606</v>
      </c>
      <c r="JZV337" s="42" t="s">
        <v>606</v>
      </c>
      <c r="JZW337" s="42" t="s">
        <v>606</v>
      </c>
      <c r="JZX337" s="42" t="s">
        <v>606</v>
      </c>
      <c r="JZY337" s="42" t="s">
        <v>606</v>
      </c>
      <c r="JZZ337" s="42" t="s">
        <v>606</v>
      </c>
      <c r="KAA337" s="42" t="s">
        <v>606</v>
      </c>
      <c r="KAB337" s="42" t="s">
        <v>606</v>
      </c>
      <c r="KAC337" s="42" t="s">
        <v>606</v>
      </c>
      <c r="KAD337" s="42" t="s">
        <v>606</v>
      </c>
      <c r="KAE337" s="42" t="s">
        <v>606</v>
      </c>
      <c r="KAF337" s="42" t="s">
        <v>606</v>
      </c>
      <c r="KAG337" s="42" t="s">
        <v>606</v>
      </c>
      <c r="KAH337" s="42" t="s">
        <v>606</v>
      </c>
      <c r="KAI337" s="42" t="s">
        <v>606</v>
      </c>
      <c r="KAJ337" s="42" t="s">
        <v>606</v>
      </c>
      <c r="KAK337" s="42" t="s">
        <v>606</v>
      </c>
      <c r="KAL337" s="42" t="s">
        <v>606</v>
      </c>
      <c r="KAM337" s="42" t="s">
        <v>606</v>
      </c>
      <c r="KAN337" s="42" t="s">
        <v>606</v>
      </c>
      <c r="KAO337" s="42" t="s">
        <v>606</v>
      </c>
      <c r="KAP337" s="42" t="s">
        <v>606</v>
      </c>
      <c r="KAQ337" s="42" t="s">
        <v>606</v>
      </c>
      <c r="KAR337" s="42" t="s">
        <v>606</v>
      </c>
      <c r="KAS337" s="42" t="s">
        <v>606</v>
      </c>
      <c r="KAT337" s="42" t="s">
        <v>606</v>
      </c>
      <c r="KAU337" s="42" t="s">
        <v>606</v>
      </c>
      <c r="KAV337" s="42" t="s">
        <v>606</v>
      </c>
      <c r="KAW337" s="42" t="s">
        <v>606</v>
      </c>
      <c r="KAX337" s="42" t="s">
        <v>606</v>
      </c>
      <c r="KAY337" s="42" t="s">
        <v>606</v>
      </c>
      <c r="KAZ337" s="42" t="s">
        <v>606</v>
      </c>
      <c r="KBA337" s="42" t="s">
        <v>606</v>
      </c>
      <c r="KBB337" s="42" t="s">
        <v>606</v>
      </c>
      <c r="KBC337" s="42" t="s">
        <v>606</v>
      </c>
      <c r="KBD337" s="42" t="s">
        <v>606</v>
      </c>
      <c r="KBE337" s="42" t="s">
        <v>606</v>
      </c>
      <c r="KBF337" s="42" t="s">
        <v>606</v>
      </c>
      <c r="KBG337" s="42" t="s">
        <v>606</v>
      </c>
      <c r="KBH337" s="42" t="s">
        <v>606</v>
      </c>
      <c r="KBI337" s="42" t="s">
        <v>606</v>
      </c>
      <c r="KBJ337" s="42" t="s">
        <v>606</v>
      </c>
      <c r="KBK337" s="42" t="s">
        <v>606</v>
      </c>
      <c r="KBL337" s="42" t="s">
        <v>606</v>
      </c>
      <c r="KBM337" s="42" t="s">
        <v>606</v>
      </c>
      <c r="KBN337" s="42" t="s">
        <v>606</v>
      </c>
      <c r="KBO337" s="42" t="s">
        <v>606</v>
      </c>
      <c r="KBP337" s="42" t="s">
        <v>606</v>
      </c>
      <c r="KBQ337" s="42" t="s">
        <v>606</v>
      </c>
      <c r="KBR337" s="42" t="s">
        <v>606</v>
      </c>
      <c r="KBS337" s="42" t="s">
        <v>606</v>
      </c>
      <c r="KBT337" s="42" t="s">
        <v>606</v>
      </c>
      <c r="KBU337" s="42" t="s">
        <v>606</v>
      </c>
      <c r="KBV337" s="42" t="s">
        <v>606</v>
      </c>
      <c r="KBW337" s="42" t="s">
        <v>606</v>
      </c>
      <c r="KBX337" s="42" t="s">
        <v>606</v>
      </c>
      <c r="KBY337" s="42" t="s">
        <v>606</v>
      </c>
      <c r="KBZ337" s="42" t="s">
        <v>606</v>
      </c>
      <c r="KCA337" s="42" t="s">
        <v>606</v>
      </c>
      <c r="KCB337" s="42" t="s">
        <v>606</v>
      </c>
      <c r="KCC337" s="42" t="s">
        <v>606</v>
      </c>
      <c r="KCD337" s="42" t="s">
        <v>606</v>
      </c>
      <c r="KCE337" s="42" t="s">
        <v>606</v>
      </c>
      <c r="KCF337" s="42" t="s">
        <v>606</v>
      </c>
      <c r="KCG337" s="42" t="s">
        <v>606</v>
      </c>
      <c r="KCH337" s="42" t="s">
        <v>606</v>
      </c>
      <c r="KCI337" s="42" t="s">
        <v>606</v>
      </c>
      <c r="KCJ337" s="42" t="s">
        <v>606</v>
      </c>
      <c r="KCK337" s="42" t="s">
        <v>606</v>
      </c>
      <c r="KCL337" s="42" t="s">
        <v>606</v>
      </c>
      <c r="KCM337" s="42" t="s">
        <v>606</v>
      </c>
      <c r="KCN337" s="42" t="s">
        <v>606</v>
      </c>
      <c r="KCO337" s="42" t="s">
        <v>606</v>
      </c>
      <c r="KCP337" s="42" t="s">
        <v>606</v>
      </c>
      <c r="KCQ337" s="42" t="s">
        <v>606</v>
      </c>
      <c r="KCR337" s="42" t="s">
        <v>606</v>
      </c>
      <c r="KCS337" s="42" t="s">
        <v>606</v>
      </c>
      <c r="KCT337" s="42" t="s">
        <v>606</v>
      </c>
      <c r="KCU337" s="42" t="s">
        <v>606</v>
      </c>
      <c r="KCV337" s="42" t="s">
        <v>606</v>
      </c>
      <c r="KCW337" s="42" t="s">
        <v>606</v>
      </c>
      <c r="KCX337" s="42" t="s">
        <v>606</v>
      </c>
      <c r="KCY337" s="42" t="s">
        <v>606</v>
      </c>
      <c r="KCZ337" s="42" t="s">
        <v>606</v>
      </c>
      <c r="KDA337" s="42" t="s">
        <v>606</v>
      </c>
      <c r="KDB337" s="42" t="s">
        <v>606</v>
      </c>
      <c r="KDC337" s="42" t="s">
        <v>606</v>
      </c>
      <c r="KDD337" s="42" t="s">
        <v>606</v>
      </c>
      <c r="KDE337" s="42" t="s">
        <v>606</v>
      </c>
      <c r="KDF337" s="42" t="s">
        <v>606</v>
      </c>
      <c r="KDG337" s="42" t="s">
        <v>606</v>
      </c>
      <c r="KDH337" s="42" t="s">
        <v>606</v>
      </c>
      <c r="KDI337" s="42" t="s">
        <v>606</v>
      </c>
      <c r="KDJ337" s="42" t="s">
        <v>606</v>
      </c>
      <c r="KDK337" s="42" t="s">
        <v>606</v>
      </c>
      <c r="KDL337" s="42" t="s">
        <v>606</v>
      </c>
      <c r="KDM337" s="42" t="s">
        <v>606</v>
      </c>
      <c r="KDN337" s="42" t="s">
        <v>606</v>
      </c>
      <c r="KDO337" s="42" t="s">
        <v>606</v>
      </c>
      <c r="KDP337" s="42" t="s">
        <v>606</v>
      </c>
      <c r="KDQ337" s="42" t="s">
        <v>606</v>
      </c>
      <c r="KDR337" s="42" t="s">
        <v>606</v>
      </c>
      <c r="KDS337" s="42" t="s">
        <v>606</v>
      </c>
      <c r="KDT337" s="42" t="s">
        <v>606</v>
      </c>
      <c r="KDU337" s="42" t="s">
        <v>606</v>
      </c>
      <c r="KDV337" s="42" t="s">
        <v>606</v>
      </c>
      <c r="KDW337" s="42" t="s">
        <v>606</v>
      </c>
      <c r="KDX337" s="42" t="s">
        <v>606</v>
      </c>
      <c r="KDY337" s="42" t="s">
        <v>606</v>
      </c>
      <c r="KDZ337" s="42" t="s">
        <v>606</v>
      </c>
      <c r="KEA337" s="42" t="s">
        <v>606</v>
      </c>
      <c r="KEB337" s="42" t="s">
        <v>606</v>
      </c>
      <c r="KEC337" s="42" t="s">
        <v>606</v>
      </c>
      <c r="KED337" s="42" t="s">
        <v>606</v>
      </c>
      <c r="KEE337" s="42" t="s">
        <v>606</v>
      </c>
      <c r="KEF337" s="42" t="s">
        <v>606</v>
      </c>
      <c r="KEG337" s="42" t="s">
        <v>606</v>
      </c>
      <c r="KEH337" s="42" t="s">
        <v>606</v>
      </c>
      <c r="KEI337" s="42" t="s">
        <v>606</v>
      </c>
      <c r="KEJ337" s="42" t="s">
        <v>606</v>
      </c>
      <c r="KEK337" s="42" t="s">
        <v>606</v>
      </c>
      <c r="KEL337" s="42" t="s">
        <v>606</v>
      </c>
      <c r="KEM337" s="42" t="s">
        <v>606</v>
      </c>
      <c r="KEN337" s="42" t="s">
        <v>606</v>
      </c>
      <c r="KEO337" s="42" t="s">
        <v>606</v>
      </c>
      <c r="KEP337" s="42" t="s">
        <v>606</v>
      </c>
      <c r="KEQ337" s="42" t="s">
        <v>606</v>
      </c>
      <c r="KER337" s="42" t="s">
        <v>606</v>
      </c>
      <c r="KES337" s="42" t="s">
        <v>606</v>
      </c>
      <c r="KET337" s="42" t="s">
        <v>606</v>
      </c>
      <c r="KEU337" s="42" t="s">
        <v>606</v>
      </c>
      <c r="KEV337" s="42" t="s">
        <v>606</v>
      </c>
      <c r="KEW337" s="42" t="s">
        <v>606</v>
      </c>
      <c r="KEX337" s="42" t="s">
        <v>606</v>
      </c>
      <c r="KEY337" s="42" t="s">
        <v>606</v>
      </c>
      <c r="KEZ337" s="42" t="s">
        <v>606</v>
      </c>
      <c r="KFA337" s="42" t="s">
        <v>606</v>
      </c>
      <c r="KFB337" s="42" t="s">
        <v>606</v>
      </c>
      <c r="KFC337" s="42" t="s">
        <v>606</v>
      </c>
      <c r="KFD337" s="42" t="s">
        <v>606</v>
      </c>
      <c r="KFE337" s="42" t="s">
        <v>606</v>
      </c>
      <c r="KFF337" s="42" t="s">
        <v>606</v>
      </c>
      <c r="KFG337" s="42" t="s">
        <v>606</v>
      </c>
      <c r="KFH337" s="42" t="s">
        <v>606</v>
      </c>
      <c r="KFI337" s="42" t="s">
        <v>606</v>
      </c>
      <c r="KFJ337" s="42" t="s">
        <v>606</v>
      </c>
      <c r="KFK337" s="42" t="s">
        <v>606</v>
      </c>
      <c r="KFL337" s="42" t="s">
        <v>606</v>
      </c>
      <c r="KFM337" s="42" t="s">
        <v>606</v>
      </c>
      <c r="KFN337" s="42" t="s">
        <v>606</v>
      </c>
      <c r="KFO337" s="42" t="s">
        <v>606</v>
      </c>
      <c r="KFP337" s="42" t="s">
        <v>606</v>
      </c>
      <c r="KFQ337" s="42" t="s">
        <v>606</v>
      </c>
      <c r="KFR337" s="42" t="s">
        <v>606</v>
      </c>
      <c r="KFS337" s="42" t="s">
        <v>606</v>
      </c>
      <c r="KFT337" s="42" t="s">
        <v>606</v>
      </c>
      <c r="KFU337" s="42" t="s">
        <v>606</v>
      </c>
      <c r="KFV337" s="42" t="s">
        <v>606</v>
      </c>
      <c r="KFW337" s="42" t="s">
        <v>606</v>
      </c>
      <c r="KFX337" s="42" t="s">
        <v>606</v>
      </c>
      <c r="KFY337" s="42" t="s">
        <v>606</v>
      </c>
      <c r="KFZ337" s="42" t="s">
        <v>606</v>
      </c>
      <c r="KGA337" s="42" t="s">
        <v>606</v>
      </c>
      <c r="KGB337" s="42" t="s">
        <v>606</v>
      </c>
      <c r="KGC337" s="42" t="s">
        <v>606</v>
      </c>
      <c r="KGD337" s="42" t="s">
        <v>606</v>
      </c>
      <c r="KGE337" s="42" t="s">
        <v>606</v>
      </c>
      <c r="KGF337" s="42" t="s">
        <v>606</v>
      </c>
      <c r="KGG337" s="42" t="s">
        <v>606</v>
      </c>
      <c r="KGH337" s="42" t="s">
        <v>606</v>
      </c>
      <c r="KGI337" s="42" t="s">
        <v>606</v>
      </c>
      <c r="KGJ337" s="42" t="s">
        <v>606</v>
      </c>
      <c r="KGK337" s="42" t="s">
        <v>606</v>
      </c>
      <c r="KGL337" s="42" t="s">
        <v>606</v>
      </c>
      <c r="KGM337" s="42" t="s">
        <v>606</v>
      </c>
      <c r="KGN337" s="42" t="s">
        <v>606</v>
      </c>
      <c r="KGO337" s="42" t="s">
        <v>606</v>
      </c>
      <c r="KGP337" s="42" t="s">
        <v>606</v>
      </c>
      <c r="KGQ337" s="42" t="s">
        <v>606</v>
      </c>
      <c r="KGR337" s="42" t="s">
        <v>606</v>
      </c>
      <c r="KGS337" s="42" t="s">
        <v>606</v>
      </c>
      <c r="KGT337" s="42" t="s">
        <v>606</v>
      </c>
      <c r="KGU337" s="42" t="s">
        <v>606</v>
      </c>
      <c r="KGV337" s="42" t="s">
        <v>606</v>
      </c>
      <c r="KGW337" s="42" t="s">
        <v>606</v>
      </c>
      <c r="KGX337" s="42" t="s">
        <v>606</v>
      </c>
      <c r="KGY337" s="42" t="s">
        <v>606</v>
      </c>
      <c r="KGZ337" s="42" t="s">
        <v>606</v>
      </c>
      <c r="KHA337" s="42" t="s">
        <v>606</v>
      </c>
      <c r="KHB337" s="42" t="s">
        <v>606</v>
      </c>
      <c r="KHC337" s="42" t="s">
        <v>606</v>
      </c>
      <c r="KHD337" s="42" t="s">
        <v>606</v>
      </c>
      <c r="KHE337" s="42" t="s">
        <v>606</v>
      </c>
      <c r="KHF337" s="42" t="s">
        <v>606</v>
      </c>
      <c r="KHG337" s="42" t="s">
        <v>606</v>
      </c>
      <c r="KHH337" s="42" t="s">
        <v>606</v>
      </c>
      <c r="KHI337" s="42" t="s">
        <v>606</v>
      </c>
      <c r="KHJ337" s="42" t="s">
        <v>606</v>
      </c>
      <c r="KHK337" s="42" t="s">
        <v>606</v>
      </c>
      <c r="KHL337" s="42" t="s">
        <v>606</v>
      </c>
      <c r="KHM337" s="42" t="s">
        <v>606</v>
      </c>
      <c r="KHN337" s="42" t="s">
        <v>606</v>
      </c>
      <c r="KHO337" s="42" t="s">
        <v>606</v>
      </c>
      <c r="KHP337" s="42" t="s">
        <v>606</v>
      </c>
      <c r="KHQ337" s="42" t="s">
        <v>606</v>
      </c>
      <c r="KHR337" s="42" t="s">
        <v>606</v>
      </c>
      <c r="KHS337" s="42" t="s">
        <v>606</v>
      </c>
      <c r="KHT337" s="42" t="s">
        <v>606</v>
      </c>
      <c r="KHU337" s="42" t="s">
        <v>606</v>
      </c>
      <c r="KHV337" s="42" t="s">
        <v>606</v>
      </c>
      <c r="KHW337" s="42" t="s">
        <v>606</v>
      </c>
      <c r="KHX337" s="42" t="s">
        <v>606</v>
      </c>
      <c r="KHY337" s="42" t="s">
        <v>606</v>
      </c>
      <c r="KHZ337" s="42" t="s">
        <v>606</v>
      </c>
      <c r="KIA337" s="42" t="s">
        <v>606</v>
      </c>
      <c r="KIB337" s="42" t="s">
        <v>606</v>
      </c>
      <c r="KIC337" s="42" t="s">
        <v>606</v>
      </c>
      <c r="KID337" s="42" t="s">
        <v>606</v>
      </c>
      <c r="KIE337" s="42" t="s">
        <v>606</v>
      </c>
      <c r="KIF337" s="42" t="s">
        <v>606</v>
      </c>
      <c r="KIG337" s="42" t="s">
        <v>606</v>
      </c>
      <c r="KIH337" s="42" t="s">
        <v>606</v>
      </c>
      <c r="KII337" s="42" t="s">
        <v>606</v>
      </c>
      <c r="KIJ337" s="42" t="s">
        <v>606</v>
      </c>
      <c r="KIK337" s="42" t="s">
        <v>606</v>
      </c>
      <c r="KIL337" s="42" t="s">
        <v>606</v>
      </c>
      <c r="KIM337" s="42" t="s">
        <v>606</v>
      </c>
      <c r="KIN337" s="42" t="s">
        <v>606</v>
      </c>
      <c r="KIO337" s="42" t="s">
        <v>606</v>
      </c>
      <c r="KIP337" s="42" t="s">
        <v>606</v>
      </c>
      <c r="KIQ337" s="42" t="s">
        <v>606</v>
      </c>
      <c r="KIR337" s="42" t="s">
        <v>606</v>
      </c>
      <c r="KIS337" s="42" t="s">
        <v>606</v>
      </c>
      <c r="KIT337" s="42" t="s">
        <v>606</v>
      </c>
      <c r="KIU337" s="42" t="s">
        <v>606</v>
      </c>
      <c r="KIV337" s="42" t="s">
        <v>606</v>
      </c>
      <c r="KIW337" s="42" t="s">
        <v>606</v>
      </c>
      <c r="KIX337" s="42" t="s">
        <v>606</v>
      </c>
      <c r="KIY337" s="42" t="s">
        <v>606</v>
      </c>
      <c r="KIZ337" s="42" t="s">
        <v>606</v>
      </c>
      <c r="KJA337" s="42" t="s">
        <v>606</v>
      </c>
      <c r="KJB337" s="42" t="s">
        <v>606</v>
      </c>
      <c r="KJC337" s="42" t="s">
        <v>606</v>
      </c>
      <c r="KJD337" s="42" t="s">
        <v>606</v>
      </c>
      <c r="KJE337" s="42" t="s">
        <v>606</v>
      </c>
      <c r="KJF337" s="42" t="s">
        <v>606</v>
      </c>
      <c r="KJG337" s="42" t="s">
        <v>606</v>
      </c>
      <c r="KJH337" s="42" t="s">
        <v>606</v>
      </c>
      <c r="KJI337" s="42" t="s">
        <v>606</v>
      </c>
      <c r="KJJ337" s="42" t="s">
        <v>606</v>
      </c>
      <c r="KJK337" s="42" t="s">
        <v>606</v>
      </c>
      <c r="KJL337" s="42" t="s">
        <v>606</v>
      </c>
      <c r="KJM337" s="42" t="s">
        <v>606</v>
      </c>
      <c r="KJN337" s="42" t="s">
        <v>606</v>
      </c>
      <c r="KJO337" s="42" t="s">
        <v>606</v>
      </c>
      <c r="KJP337" s="42" t="s">
        <v>606</v>
      </c>
      <c r="KJQ337" s="42" t="s">
        <v>606</v>
      </c>
      <c r="KJR337" s="42" t="s">
        <v>606</v>
      </c>
      <c r="KJS337" s="42" t="s">
        <v>606</v>
      </c>
      <c r="KJT337" s="42" t="s">
        <v>606</v>
      </c>
      <c r="KJU337" s="42" t="s">
        <v>606</v>
      </c>
      <c r="KJV337" s="42" t="s">
        <v>606</v>
      </c>
      <c r="KJW337" s="42" t="s">
        <v>606</v>
      </c>
      <c r="KJX337" s="42" t="s">
        <v>606</v>
      </c>
      <c r="KJY337" s="42" t="s">
        <v>606</v>
      </c>
      <c r="KJZ337" s="42" t="s">
        <v>606</v>
      </c>
      <c r="KKA337" s="42" t="s">
        <v>606</v>
      </c>
      <c r="KKB337" s="42" t="s">
        <v>606</v>
      </c>
      <c r="KKC337" s="42" t="s">
        <v>606</v>
      </c>
      <c r="KKD337" s="42" t="s">
        <v>606</v>
      </c>
      <c r="KKE337" s="42" t="s">
        <v>606</v>
      </c>
      <c r="KKF337" s="42" t="s">
        <v>606</v>
      </c>
      <c r="KKG337" s="42" t="s">
        <v>606</v>
      </c>
      <c r="KKH337" s="42" t="s">
        <v>606</v>
      </c>
      <c r="KKI337" s="42" t="s">
        <v>606</v>
      </c>
      <c r="KKJ337" s="42" t="s">
        <v>606</v>
      </c>
      <c r="KKK337" s="42" t="s">
        <v>606</v>
      </c>
      <c r="KKL337" s="42" t="s">
        <v>606</v>
      </c>
      <c r="KKM337" s="42" t="s">
        <v>606</v>
      </c>
      <c r="KKN337" s="42" t="s">
        <v>606</v>
      </c>
      <c r="KKO337" s="42" t="s">
        <v>606</v>
      </c>
      <c r="KKP337" s="42" t="s">
        <v>606</v>
      </c>
      <c r="KKQ337" s="42" t="s">
        <v>606</v>
      </c>
      <c r="KKR337" s="42" t="s">
        <v>606</v>
      </c>
      <c r="KKS337" s="42" t="s">
        <v>606</v>
      </c>
      <c r="KKT337" s="42" t="s">
        <v>606</v>
      </c>
      <c r="KKU337" s="42" t="s">
        <v>606</v>
      </c>
      <c r="KKV337" s="42" t="s">
        <v>606</v>
      </c>
      <c r="KKW337" s="42" t="s">
        <v>606</v>
      </c>
      <c r="KKX337" s="42" t="s">
        <v>606</v>
      </c>
      <c r="KKY337" s="42" t="s">
        <v>606</v>
      </c>
      <c r="KKZ337" s="42" t="s">
        <v>606</v>
      </c>
      <c r="KLA337" s="42" t="s">
        <v>606</v>
      </c>
      <c r="KLB337" s="42" t="s">
        <v>606</v>
      </c>
      <c r="KLC337" s="42" t="s">
        <v>606</v>
      </c>
      <c r="KLD337" s="42" t="s">
        <v>606</v>
      </c>
      <c r="KLE337" s="42" t="s">
        <v>606</v>
      </c>
      <c r="KLF337" s="42" t="s">
        <v>606</v>
      </c>
      <c r="KLG337" s="42" t="s">
        <v>606</v>
      </c>
      <c r="KLH337" s="42" t="s">
        <v>606</v>
      </c>
      <c r="KLI337" s="42" t="s">
        <v>606</v>
      </c>
      <c r="KLJ337" s="42" t="s">
        <v>606</v>
      </c>
      <c r="KLK337" s="42" t="s">
        <v>606</v>
      </c>
      <c r="KLL337" s="42" t="s">
        <v>606</v>
      </c>
      <c r="KLM337" s="42" t="s">
        <v>606</v>
      </c>
      <c r="KLN337" s="42" t="s">
        <v>606</v>
      </c>
      <c r="KLO337" s="42" t="s">
        <v>606</v>
      </c>
      <c r="KLP337" s="42" t="s">
        <v>606</v>
      </c>
      <c r="KLQ337" s="42" t="s">
        <v>606</v>
      </c>
      <c r="KLR337" s="42" t="s">
        <v>606</v>
      </c>
      <c r="KLS337" s="42" t="s">
        <v>606</v>
      </c>
      <c r="KLT337" s="42" t="s">
        <v>606</v>
      </c>
      <c r="KLU337" s="42" t="s">
        <v>606</v>
      </c>
      <c r="KLV337" s="42" t="s">
        <v>606</v>
      </c>
      <c r="KLW337" s="42" t="s">
        <v>606</v>
      </c>
      <c r="KLX337" s="42" t="s">
        <v>606</v>
      </c>
      <c r="KLY337" s="42" t="s">
        <v>606</v>
      </c>
      <c r="KLZ337" s="42" t="s">
        <v>606</v>
      </c>
      <c r="KMA337" s="42" t="s">
        <v>606</v>
      </c>
      <c r="KMB337" s="42" t="s">
        <v>606</v>
      </c>
      <c r="KMC337" s="42" t="s">
        <v>606</v>
      </c>
      <c r="KMD337" s="42" t="s">
        <v>606</v>
      </c>
      <c r="KME337" s="42" t="s">
        <v>606</v>
      </c>
      <c r="KMF337" s="42" t="s">
        <v>606</v>
      </c>
      <c r="KMG337" s="42" t="s">
        <v>606</v>
      </c>
      <c r="KMH337" s="42" t="s">
        <v>606</v>
      </c>
      <c r="KMI337" s="42" t="s">
        <v>606</v>
      </c>
      <c r="KMJ337" s="42" t="s">
        <v>606</v>
      </c>
      <c r="KMK337" s="42" t="s">
        <v>606</v>
      </c>
      <c r="KML337" s="42" t="s">
        <v>606</v>
      </c>
      <c r="KMM337" s="42" t="s">
        <v>606</v>
      </c>
      <c r="KMN337" s="42" t="s">
        <v>606</v>
      </c>
      <c r="KMO337" s="42" t="s">
        <v>606</v>
      </c>
      <c r="KMP337" s="42" t="s">
        <v>606</v>
      </c>
      <c r="KMQ337" s="42" t="s">
        <v>606</v>
      </c>
      <c r="KMR337" s="42" t="s">
        <v>606</v>
      </c>
      <c r="KMS337" s="42" t="s">
        <v>606</v>
      </c>
      <c r="KMT337" s="42" t="s">
        <v>606</v>
      </c>
      <c r="KMU337" s="42" t="s">
        <v>606</v>
      </c>
      <c r="KMV337" s="42" t="s">
        <v>606</v>
      </c>
      <c r="KMW337" s="42" t="s">
        <v>606</v>
      </c>
      <c r="KMX337" s="42" t="s">
        <v>606</v>
      </c>
      <c r="KMY337" s="42" t="s">
        <v>606</v>
      </c>
      <c r="KMZ337" s="42" t="s">
        <v>606</v>
      </c>
      <c r="KNA337" s="42" t="s">
        <v>606</v>
      </c>
      <c r="KNB337" s="42" t="s">
        <v>606</v>
      </c>
      <c r="KNC337" s="42" t="s">
        <v>606</v>
      </c>
      <c r="KND337" s="42" t="s">
        <v>606</v>
      </c>
      <c r="KNE337" s="42" t="s">
        <v>606</v>
      </c>
      <c r="KNF337" s="42" t="s">
        <v>606</v>
      </c>
      <c r="KNG337" s="42" t="s">
        <v>606</v>
      </c>
      <c r="KNH337" s="42" t="s">
        <v>606</v>
      </c>
      <c r="KNI337" s="42" t="s">
        <v>606</v>
      </c>
      <c r="KNJ337" s="42" t="s">
        <v>606</v>
      </c>
      <c r="KNK337" s="42" t="s">
        <v>606</v>
      </c>
      <c r="KNL337" s="42" t="s">
        <v>606</v>
      </c>
      <c r="KNM337" s="42" t="s">
        <v>606</v>
      </c>
      <c r="KNN337" s="42" t="s">
        <v>606</v>
      </c>
      <c r="KNO337" s="42" t="s">
        <v>606</v>
      </c>
      <c r="KNP337" s="42" t="s">
        <v>606</v>
      </c>
      <c r="KNQ337" s="42" t="s">
        <v>606</v>
      </c>
      <c r="KNR337" s="42" t="s">
        <v>606</v>
      </c>
      <c r="KNS337" s="42" t="s">
        <v>606</v>
      </c>
      <c r="KNT337" s="42" t="s">
        <v>606</v>
      </c>
      <c r="KNU337" s="42" t="s">
        <v>606</v>
      </c>
      <c r="KNV337" s="42" t="s">
        <v>606</v>
      </c>
      <c r="KNW337" s="42" t="s">
        <v>606</v>
      </c>
      <c r="KNX337" s="42" t="s">
        <v>606</v>
      </c>
      <c r="KNY337" s="42" t="s">
        <v>606</v>
      </c>
      <c r="KNZ337" s="42" t="s">
        <v>606</v>
      </c>
      <c r="KOA337" s="42" t="s">
        <v>606</v>
      </c>
      <c r="KOB337" s="42" t="s">
        <v>606</v>
      </c>
      <c r="KOC337" s="42" t="s">
        <v>606</v>
      </c>
      <c r="KOD337" s="42" t="s">
        <v>606</v>
      </c>
      <c r="KOE337" s="42" t="s">
        <v>606</v>
      </c>
      <c r="KOF337" s="42" t="s">
        <v>606</v>
      </c>
      <c r="KOG337" s="42" t="s">
        <v>606</v>
      </c>
      <c r="KOH337" s="42" t="s">
        <v>606</v>
      </c>
      <c r="KOI337" s="42" t="s">
        <v>606</v>
      </c>
      <c r="KOJ337" s="42" t="s">
        <v>606</v>
      </c>
      <c r="KOK337" s="42" t="s">
        <v>606</v>
      </c>
      <c r="KOL337" s="42" t="s">
        <v>606</v>
      </c>
      <c r="KOM337" s="42" t="s">
        <v>606</v>
      </c>
      <c r="KON337" s="42" t="s">
        <v>606</v>
      </c>
      <c r="KOO337" s="42" t="s">
        <v>606</v>
      </c>
      <c r="KOP337" s="42" t="s">
        <v>606</v>
      </c>
      <c r="KOQ337" s="42" t="s">
        <v>606</v>
      </c>
      <c r="KOR337" s="42" t="s">
        <v>606</v>
      </c>
      <c r="KOS337" s="42" t="s">
        <v>606</v>
      </c>
      <c r="KOT337" s="42" t="s">
        <v>606</v>
      </c>
      <c r="KOU337" s="42" t="s">
        <v>606</v>
      </c>
      <c r="KOV337" s="42" t="s">
        <v>606</v>
      </c>
      <c r="KOW337" s="42" t="s">
        <v>606</v>
      </c>
      <c r="KOX337" s="42" t="s">
        <v>606</v>
      </c>
      <c r="KOY337" s="42" t="s">
        <v>606</v>
      </c>
      <c r="KOZ337" s="42" t="s">
        <v>606</v>
      </c>
      <c r="KPA337" s="42" t="s">
        <v>606</v>
      </c>
      <c r="KPB337" s="42" t="s">
        <v>606</v>
      </c>
      <c r="KPC337" s="42" t="s">
        <v>606</v>
      </c>
      <c r="KPD337" s="42" t="s">
        <v>606</v>
      </c>
      <c r="KPE337" s="42" t="s">
        <v>606</v>
      </c>
      <c r="KPF337" s="42" t="s">
        <v>606</v>
      </c>
      <c r="KPG337" s="42" t="s">
        <v>606</v>
      </c>
      <c r="KPH337" s="42" t="s">
        <v>606</v>
      </c>
      <c r="KPI337" s="42" t="s">
        <v>606</v>
      </c>
      <c r="KPJ337" s="42" t="s">
        <v>606</v>
      </c>
      <c r="KPK337" s="42" t="s">
        <v>606</v>
      </c>
      <c r="KPL337" s="42" t="s">
        <v>606</v>
      </c>
      <c r="KPM337" s="42" t="s">
        <v>606</v>
      </c>
      <c r="KPN337" s="42" t="s">
        <v>606</v>
      </c>
      <c r="KPO337" s="42" t="s">
        <v>606</v>
      </c>
      <c r="KPP337" s="42" t="s">
        <v>606</v>
      </c>
      <c r="KPQ337" s="42" t="s">
        <v>606</v>
      </c>
      <c r="KPR337" s="42" t="s">
        <v>606</v>
      </c>
      <c r="KPS337" s="42" t="s">
        <v>606</v>
      </c>
      <c r="KPT337" s="42" t="s">
        <v>606</v>
      </c>
      <c r="KPU337" s="42" t="s">
        <v>606</v>
      </c>
      <c r="KPV337" s="42" t="s">
        <v>606</v>
      </c>
      <c r="KPW337" s="42" t="s">
        <v>606</v>
      </c>
      <c r="KPX337" s="42" t="s">
        <v>606</v>
      </c>
      <c r="KPY337" s="42" t="s">
        <v>606</v>
      </c>
      <c r="KPZ337" s="42" t="s">
        <v>606</v>
      </c>
      <c r="KQA337" s="42" t="s">
        <v>606</v>
      </c>
      <c r="KQB337" s="42" t="s">
        <v>606</v>
      </c>
      <c r="KQC337" s="42" t="s">
        <v>606</v>
      </c>
      <c r="KQD337" s="42" t="s">
        <v>606</v>
      </c>
      <c r="KQE337" s="42" t="s">
        <v>606</v>
      </c>
      <c r="KQF337" s="42" t="s">
        <v>606</v>
      </c>
      <c r="KQG337" s="42" t="s">
        <v>606</v>
      </c>
      <c r="KQH337" s="42" t="s">
        <v>606</v>
      </c>
      <c r="KQI337" s="42" t="s">
        <v>606</v>
      </c>
      <c r="KQJ337" s="42" t="s">
        <v>606</v>
      </c>
      <c r="KQK337" s="42" t="s">
        <v>606</v>
      </c>
      <c r="KQL337" s="42" t="s">
        <v>606</v>
      </c>
      <c r="KQM337" s="42" t="s">
        <v>606</v>
      </c>
      <c r="KQN337" s="42" t="s">
        <v>606</v>
      </c>
      <c r="KQO337" s="42" t="s">
        <v>606</v>
      </c>
      <c r="KQP337" s="42" t="s">
        <v>606</v>
      </c>
      <c r="KQQ337" s="42" t="s">
        <v>606</v>
      </c>
      <c r="KQR337" s="42" t="s">
        <v>606</v>
      </c>
      <c r="KQS337" s="42" t="s">
        <v>606</v>
      </c>
      <c r="KQT337" s="42" t="s">
        <v>606</v>
      </c>
      <c r="KQU337" s="42" t="s">
        <v>606</v>
      </c>
      <c r="KQV337" s="42" t="s">
        <v>606</v>
      </c>
      <c r="KQW337" s="42" t="s">
        <v>606</v>
      </c>
      <c r="KQX337" s="42" t="s">
        <v>606</v>
      </c>
      <c r="KQY337" s="42" t="s">
        <v>606</v>
      </c>
      <c r="KQZ337" s="42" t="s">
        <v>606</v>
      </c>
      <c r="KRA337" s="42" t="s">
        <v>606</v>
      </c>
      <c r="KRB337" s="42" t="s">
        <v>606</v>
      </c>
      <c r="KRC337" s="42" t="s">
        <v>606</v>
      </c>
      <c r="KRD337" s="42" t="s">
        <v>606</v>
      </c>
      <c r="KRE337" s="42" t="s">
        <v>606</v>
      </c>
      <c r="KRF337" s="42" t="s">
        <v>606</v>
      </c>
      <c r="KRG337" s="42" t="s">
        <v>606</v>
      </c>
      <c r="KRH337" s="42" t="s">
        <v>606</v>
      </c>
      <c r="KRI337" s="42" t="s">
        <v>606</v>
      </c>
      <c r="KRJ337" s="42" t="s">
        <v>606</v>
      </c>
      <c r="KRK337" s="42" t="s">
        <v>606</v>
      </c>
      <c r="KRL337" s="42" t="s">
        <v>606</v>
      </c>
      <c r="KRM337" s="42" t="s">
        <v>606</v>
      </c>
      <c r="KRN337" s="42" t="s">
        <v>606</v>
      </c>
      <c r="KRO337" s="42" t="s">
        <v>606</v>
      </c>
      <c r="KRP337" s="42" t="s">
        <v>606</v>
      </c>
      <c r="KRQ337" s="42" t="s">
        <v>606</v>
      </c>
      <c r="KRR337" s="42" t="s">
        <v>606</v>
      </c>
      <c r="KRS337" s="42" t="s">
        <v>606</v>
      </c>
      <c r="KRT337" s="42" t="s">
        <v>606</v>
      </c>
      <c r="KRU337" s="42" t="s">
        <v>606</v>
      </c>
      <c r="KRV337" s="42" t="s">
        <v>606</v>
      </c>
      <c r="KRW337" s="42" t="s">
        <v>606</v>
      </c>
      <c r="KRX337" s="42" t="s">
        <v>606</v>
      </c>
      <c r="KRY337" s="42" t="s">
        <v>606</v>
      </c>
      <c r="KRZ337" s="42" t="s">
        <v>606</v>
      </c>
      <c r="KSA337" s="42" t="s">
        <v>606</v>
      </c>
      <c r="KSB337" s="42" t="s">
        <v>606</v>
      </c>
      <c r="KSC337" s="42" t="s">
        <v>606</v>
      </c>
      <c r="KSD337" s="42" t="s">
        <v>606</v>
      </c>
      <c r="KSE337" s="42" t="s">
        <v>606</v>
      </c>
      <c r="KSF337" s="42" t="s">
        <v>606</v>
      </c>
      <c r="KSG337" s="42" t="s">
        <v>606</v>
      </c>
      <c r="KSH337" s="42" t="s">
        <v>606</v>
      </c>
      <c r="KSI337" s="42" t="s">
        <v>606</v>
      </c>
      <c r="KSJ337" s="42" t="s">
        <v>606</v>
      </c>
      <c r="KSK337" s="42" t="s">
        <v>606</v>
      </c>
      <c r="KSL337" s="42" t="s">
        <v>606</v>
      </c>
      <c r="KSM337" s="42" t="s">
        <v>606</v>
      </c>
      <c r="KSN337" s="42" t="s">
        <v>606</v>
      </c>
      <c r="KSO337" s="42" t="s">
        <v>606</v>
      </c>
      <c r="KSP337" s="42" t="s">
        <v>606</v>
      </c>
      <c r="KSQ337" s="42" t="s">
        <v>606</v>
      </c>
      <c r="KSR337" s="42" t="s">
        <v>606</v>
      </c>
      <c r="KSS337" s="42" t="s">
        <v>606</v>
      </c>
      <c r="KST337" s="42" t="s">
        <v>606</v>
      </c>
      <c r="KSU337" s="42" t="s">
        <v>606</v>
      </c>
      <c r="KSV337" s="42" t="s">
        <v>606</v>
      </c>
      <c r="KSW337" s="42" t="s">
        <v>606</v>
      </c>
      <c r="KSX337" s="42" t="s">
        <v>606</v>
      </c>
      <c r="KSY337" s="42" t="s">
        <v>606</v>
      </c>
      <c r="KSZ337" s="42" t="s">
        <v>606</v>
      </c>
      <c r="KTA337" s="42" t="s">
        <v>606</v>
      </c>
      <c r="KTB337" s="42" t="s">
        <v>606</v>
      </c>
      <c r="KTC337" s="42" t="s">
        <v>606</v>
      </c>
      <c r="KTD337" s="42" t="s">
        <v>606</v>
      </c>
      <c r="KTE337" s="42" t="s">
        <v>606</v>
      </c>
      <c r="KTF337" s="42" t="s">
        <v>606</v>
      </c>
      <c r="KTG337" s="42" t="s">
        <v>606</v>
      </c>
      <c r="KTH337" s="42" t="s">
        <v>606</v>
      </c>
      <c r="KTI337" s="42" t="s">
        <v>606</v>
      </c>
      <c r="KTJ337" s="42" t="s">
        <v>606</v>
      </c>
      <c r="KTK337" s="42" t="s">
        <v>606</v>
      </c>
      <c r="KTL337" s="42" t="s">
        <v>606</v>
      </c>
      <c r="KTM337" s="42" t="s">
        <v>606</v>
      </c>
      <c r="KTN337" s="42" t="s">
        <v>606</v>
      </c>
      <c r="KTO337" s="42" t="s">
        <v>606</v>
      </c>
      <c r="KTP337" s="42" t="s">
        <v>606</v>
      </c>
      <c r="KTQ337" s="42" t="s">
        <v>606</v>
      </c>
      <c r="KTR337" s="42" t="s">
        <v>606</v>
      </c>
      <c r="KTS337" s="42" t="s">
        <v>606</v>
      </c>
      <c r="KTT337" s="42" t="s">
        <v>606</v>
      </c>
      <c r="KTU337" s="42" t="s">
        <v>606</v>
      </c>
      <c r="KTV337" s="42" t="s">
        <v>606</v>
      </c>
      <c r="KTW337" s="42" t="s">
        <v>606</v>
      </c>
      <c r="KTX337" s="42" t="s">
        <v>606</v>
      </c>
      <c r="KTY337" s="42" t="s">
        <v>606</v>
      </c>
      <c r="KTZ337" s="42" t="s">
        <v>606</v>
      </c>
      <c r="KUA337" s="42" t="s">
        <v>606</v>
      </c>
      <c r="KUB337" s="42" t="s">
        <v>606</v>
      </c>
      <c r="KUC337" s="42" t="s">
        <v>606</v>
      </c>
      <c r="KUD337" s="42" t="s">
        <v>606</v>
      </c>
      <c r="KUE337" s="42" t="s">
        <v>606</v>
      </c>
      <c r="KUF337" s="42" t="s">
        <v>606</v>
      </c>
      <c r="KUG337" s="42" t="s">
        <v>606</v>
      </c>
      <c r="KUH337" s="42" t="s">
        <v>606</v>
      </c>
      <c r="KUI337" s="42" t="s">
        <v>606</v>
      </c>
      <c r="KUJ337" s="42" t="s">
        <v>606</v>
      </c>
      <c r="KUK337" s="42" t="s">
        <v>606</v>
      </c>
      <c r="KUL337" s="42" t="s">
        <v>606</v>
      </c>
      <c r="KUM337" s="42" t="s">
        <v>606</v>
      </c>
      <c r="KUN337" s="42" t="s">
        <v>606</v>
      </c>
      <c r="KUO337" s="42" t="s">
        <v>606</v>
      </c>
      <c r="KUP337" s="42" t="s">
        <v>606</v>
      </c>
      <c r="KUQ337" s="42" t="s">
        <v>606</v>
      </c>
      <c r="KUR337" s="42" t="s">
        <v>606</v>
      </c>
      <c r="KUS337" s="42" t="s">
        <v>606</v>
      </c>
      <c r="KUT337" s="42" t="s">
        <v>606</v>
      </c>
      <c r="KUU337" s="42" t="s">
        <v>606</v>
      </c>
      <c r="KUV337" s="42" t="s">
        <v>606</v>
      </c>
      <c r="KUW337" s="42" t="s">
        <v>606</v>
      </c>
      <c r="KUX337" s="42" t="s">
        <v>606</v>
      </c>
      <c r="KUY337" s="42" t="s">
        <v>606</v>
      </c>
      <c r="KUZ337" s="42" t="s">
        <v>606</v>
      </c>
      <c r="KVA337" s="42" t="s">
        <v>606</v>
      </c>
      <c r="KVB337" s="42" t="s">
        <v>606</v>
      </c>
      <c r="KVC337" s="42" t="s">
        <v>606</v>
      </c>
      <c r="KVD337" s="42" t="s">
        <v>606</v>
      </c>
      <c r="KVE337" s="42" t="s">
        <v>606</v>
      </c>
      <c r="KVF337" s="42" t="s">
        <v>606</v>
      </c>
      <c r="KVG337" s="42" t="s">
        <v>606</v>
      </c>
      <c r="KVH337" s="42" t="s">
        <v>606</v>
      </c>
      <c r="KVI337" s="42" t="s">
        <v>606</v>
      </c>
      <c r="KVJ337" s="42" t="s">
        <v>606</v>
      </c>
      <c r="KVK337" s="42" t="s">
        <v>606</v>
      </c>
      <c r="KVL337" s="42" t="s">
        <v>606</v>
      </c>
      <c r="KVM337" s="42" t="s">
        <v>606</v>
      </c>
      <c r="KVN337" s="42" t="s">
        <v>606</v>
      </c>
      <c r="KVO337" s="42" t="s">
        <v>606</v>
      </c>
      <c r="KVP337" s="42" t="s">
        <v>606</v>
      </c>
      <c r="KVQ337" s="42" t="s">
        <v>606</v>
      </c>
      <c r="KVR337" s="42" t="s">
        <v>606</v>
      </c>
      <c r="KVS337" s="42" t="s">
        <v>606</v>
      </c>
      <c r="KVT337" s="42" t="s">
        <v>606</v>
      </c>
      <c r="KVU337" s="42" t="s">
        <v>606</v>
      </c>
      <c r="KVV337" s="42" t="s">
        <v>606</v>
      </c>
      <c r="KVW337" s="42" t="s">
        <v>606</v>
      </c>
      <c r="KVX337" s="42" t="s">
        <v>606</v>
      </c>
      <c r="KVY337" s="42" t="s">
        <v>606</v>
      </c>
      <c r="KVZ337" s="42" t="s">
        <v>606</v>
      </c>
      <c r="KWA337" s="42" t="s">
        <v>606</v>
      </c>
      <c r="KWB337" s="42" t="s">
        <v>606</v>
      </c>
      <c r="KWC337" s="42" t="s">
        <v>606</v>
      </c>
      <c r="KWD337" s="42" t="s">
        <v>606</v>
      </c>
      <c r="KWE337" s="42" t="s">
        <v>606</v>
      </c>
      <c r="KWF337" s="42" t="s">
        <v>606</v>
      </c>
      <c r="KWG337" s="42" t="s">
        <v>606</v>
      </c>
      <c r="KWH337" s="42" t="s">
        <v>606</v>
      </c>
      <c r="KWI337" s="42" t="s">
        <v>606</v>
      </c>
      <c r="KWJ337" s="42" t="s">
        <v>606</v>
      </c>
      <c r="KWK337" s="42" t="s">
        <v>606</v>
      </c>
      <c r="KWL337" s="42" t="s">
        <v>606</v>
      </c>
      <c r="KWM337" s="42" t="s">
        <v>606</v>
      </c>
      <c r="KWN337" s="42" t="s">
        <v>606</v>
      </c>
      <c r="KWO337" s="42" t="s">
        <v>606</v>
      </c>
      <c r="KWP337" s="42" t="s">
        <v>606</v>
      </c>
      <c r="KWQ337" s="42" t="s">
        <v>606</v>
      </c>
      <c r="KWR337" s="42" t="s">
        <v>606</v>
      </c>
      <c r="KWS337" s="42" t="s">
        <v>606</v>
      </c>
      <c r="KWT337" s="42" t="s">
        <v>606</v>
      </c>
      <c r="KWU337" s="42" t="s">
        <v>606</v>
      </c>
      <c r="KWV337" s="42" t="s">
        <v>606</v>
      </c>
      <c r="KWW337" s="42" t="s">
        <v>606</v>
      </c>
      <c r="KWX337" s="42" t="s">
        <v>606</v>
      </c>
      <c r="KWY337" s="42" t="s">
        <v>606</v>
      </c>
      <c r="KWZ337" s="42" t="s">
        <v>606</v>
      </c>
      <c r="KXA337" s="42" t="s">
        <v>606</v>
      </c>
      <c r="KXB337" s="42" t="s">
        <v>606</v>
      </c>
      <c r="KXC337" s="42" t="s">
        <v>606</v>
      </c>
      <c r="KXD337" s="42" t="s">
        <v>606</v>
      </c>
      <c r="KXE337" s="42" t="s">
        <v>606</v>
      </c>
      <c r="KXF337" s="42" t="s">
        <v>606</v>
      </c>
      <c r="KXG337" s="42" t="s">
        <v>606</v>
      </c>
      <c r="KXH337" s="42" t="s">
        <v>606</v>
      </c>
      <c r="KXI337" s="42" t="s">
        <v>606</v>
      </c>
      <c r="KXJ337" s="42" t="s">
        <v>606</v>
      </c>
      <c r="KXK337" s="42" t="s">
        <v>606</v>
      </c>
      <c r="KXL337" s="42" t="s">
        <v>606</v>
      </c>
      <c r="KXM337" s="42" t="s">
        <v>606</v>
      </c>
      <c r="KXN337" s="42" t="s">
        <v>606</v>
      </c>
      <c r="KXO337" s="42" t="s">
        <v>606</v>
      </c>
      <c r="KXP337" s="42" t="s">
        <v>606</v>
      </c>
      <c r="KXQ337" s="42" t="s">
        <v>606</v>
      </c>
      <c r="KXR337" s="42" t="s">
        <v>606</v>
      </c>
      <c r="KXS337" s="42" t="s">
        <v>606</v>
      </c>
      <c r="KXT337" s="42" t="s">
        <v>606</v>
      </c>
      <c r="KXU337" s="42" t="s">
        <v>606</v>
      </c>
      <c r="KXV337" s="42" t="s">
        <v>606</v>
      </c>
      <c r="KXW337" s="42" t="s">
        <v>606</v>
      </c>
      <c r="KXX337" s="42" t="s">
        <v>606</v>
      </c>
      <c r="KXY337" s="42" t="s">
        <v>606</v>
      </c>
      <c r="KXZ337" s="42" t="s">
        <v>606</v>
      </c>
      <c r="KYA337" s="42" t="s">
        <v>606</v>
      </c>
      <c r="KYB337" s="42" t="s">
        <v>606</v>
      </c>
      <c r="KYC337" s="42" t="s">
        <v>606</v>
      </c>
      <c r="KYD337" s="42" t="s">
        <v>606</v>
      </c>
      <c r="KYE337" s="42" t="s">
        <v>606</v>
      </c>
      <c r="KYF337" s="42" t="s">
        <v>606</v>
      </c>
      <c r="KYG337" s="42" t="s">
        <v>606</v>
      </c>
      <c r="KYH337" s="42" t="s">
        <v>606</v>
      </c>
      <c r="KYI337" s="42" t="s">
        <v>606</v>
      </c>
      <c r="KYJ337" s="42" t="s">
        <v>606</v>
      </c>
      <c r="KYK337" s="42" t="s">
        <v>606</v>
      </c>
      <c r="KYL337" s="42" t="s">
        <v>606</v>
      </c>
      <c r="KYM337" s="42" t="s">
        <v>606</v>
      </c>
      <c r="KYN337" s="42" t="s">
        <v>606</v>
      </c>
      <c r="KYO337" s="42" t="s">
        <v>606</v>
      </c>
      <c r="KYP337" s="42" t="s">
        <v>606</v>
      </c>
      <c r="KYQ337" s="42" t="s">
        <v>606</v>
      </c>
      <c r="KYR337" s="42" t="s">
        <v>606</v>
      </c>
      <c r="KYS337" s="42" t="s">
        <v>606</v>
      </c>
      <c r="KYT337" s="42" t="s">
        <v>606</v>
      </c>
      <c r="KYU337" s="42" t="s">
        <v>606</v>
      </c>
      <c r="KYV337" s="42" t="s">
        <v>606</v>
      </c>
      <c r="KYW337" s="42" t="s">
        <v>606</v>
      </c>
      <c r="KYX337" s="42" t="s">
        <v>606</v>
      </c>
      <c r="KYY337" s="42" t="s">
        <v>606</v>
      </c>
      <c r="KYZ337" s="42" t="s">
        <v>606</v>
      </c>
      <c r="KZA337" s="42" t="s">
        <v>606</v>
      </c>
      <c r="KZB337" s="42" t="s">
        <v>606</v>
      </c>
      <c r="KZC337" s="42" t="s">
        <v>606</v>
      </c>
      <c r="KZD337" s="42" t="s">
        <v>606</v>
      </c>
      <c r="KZE337" s="42" t="s">
        <v>606</v>
      </c>
      <c r="KZF337" s="42" t="s">
        <v>606</v>
      </c>
      <c r="KZG337" s="42" t="s">
        <v>606</v>
      </c>
      <c r="KZH337" s="42" t="s">
        <v>606</v>
      </c>
      <c r="KZI337" s="42" t="s">
        <v>606</v>
      </c>
      <c r="KZJ337" s="42" t="s">
        <v>606</v>
      </c>
      <c r="KZK337" s="42" t="s">
        <v>606</v>
      </c>
      <c r="KZL337" s="42" t="s">
        <v>606</v>
      </c>
      <c r="KZM337" s="42" t="s">
        <v>606</v>
      </c>
      <c r="KZN337" s="42" t="s">
        <v>606</v>
      </c>
      <c r="KZO337" s="42" t="s">
        <v>606</v>
      </c>
      <c r="KZP337" s="42" t="s">
        <v>606</v>
      </c>
      <c r="KZQ337" s="42" t="s">
        <v>606</v>
      </c>
      <c r="KZR337" s="42" t="s">
        <v>606</v>
      </c>
      <c r="KZS337" s="42" t="s">
        <v>606</v>
      </c>
      <c r="KZT337" s="42" t="s">
        <v>606</v>
      </c>
      <c r="KZU337" s="42" t="s">
        <v>606</v>
      </c>
      <c r="KZV337" s="42" t="s">
        <v>606</v>
      </c>
      <c r="KZW337" s="42" t="s">
        <v>606</v>
      </c>
      <c r="KZX337" s="42" t="s">
        <v>606</v>
      </c>
      <c r="KZY337" s="42" t="s">
        <v>606</v>
      </c>
      <c r="KZZ337" s="42" t="s">
        <v>606</v>
      </c>
      <c r="LAA337" s="42" t="s">
        <v>606</v>
      </c>
      <c r="LAB337" s="42" t="s">
        <v>606</v>
      </c>
      <c r="LAC337" s="42" t="s">
        <v>606</v>
      </c>
      <c r="LAD337" s="42" t="s">
        <v>606</v>
      </c>
      <c r="LAE337" s="42" t="s">
        <v>606</v>
      </c>
      <c r="LAF337" s="42" t="s">
        <v>606</v>
      </c>
      <c r="LAG337" s="42" t="s">
        <v>606</v>
      </c>
      <c r="LAH337" s="42" t="s">
        <v>606</v>
      </c>
      <c r="LAI337" s="42" t="s">
        <v>606</v>
      </c>
      <c r="LAJ337" s="42" t="s">
        <v>606</v>
      </c>
      <c r="LAK337" s="42" t="s">
        <v>606</v>
      </c>
      <c r="LAL337" s="42" t="s">
        <v>606</v>
      </c>
      <c r="LAM337" s="42" t="s">
        <v>606</v>
      </c>
      <c r="LAN337" s="42" t="s">
        <v>606</v>
      </c>
      <c r="LAO337" s="42" t="s">
        <v>606</v>
      </c>
      <c r="LAP337" s="42" t="s">
        <v>606</v>
      </c>
      <c r="LAQ337" s="42" t="s">
        <v>606</v>
      </c>
      <c r="LAR337" s="42" t="s">
        <v>606</v>
      </c>
      <c r="LAS337" s="42" t="s">
        <v>606</v>
      </c>
      <c r="LAT337" s="42" t="s">
        <v>606</v>
      </c>
      <c r="LAU337" s="42" t="s">
        <v>606</v>
      </c>
      <c r="LAV337" s="42" t="s">
        <v>606</v>
      </c>
      <c r="LAW337" s="42" t="s">
        <v>606</v>
      </c>
      <c r="LAX337" s="42" t="s">
        <v>606</v>
      </c>
      <c r="LAY337" s="42" t="s">
        <v>606</v>
      </c>
      <c r="LAZ337" s="42" t="s">
        <v>606</v>
      </c>
      <c r="LBA337" s="42" t="s">
        <v>606</v>
      </c>
      <c r="LBB337" s="42" t="s">
        <v>606</v>
      </c>
      <c r="LBC337" s="42" t="s">
        <v>606</v>
      </c>
      <c r="LBD337" s="42" t="s">
        <v>606</v>
      </c>
      <c r="LBE337" s="42" t="s">
        <v>606</v>
      </c>
      <c r="LBF337" s="42" t="s">
        <v>606</v>
      </c>
      <c r="LBG337" s="42" t="s">
        <v>606</v>
      </c>
      <c r="LBH337" s="42" t="s">
        <v>606</v>
      </c>
      <c r="LBI337" s="42" t="s">
        <v>606</v>
      </c>
      <c r="LBJ337" s="42" t="s">
        <v>606</v>
      </c>
      <c r="LBK337" s="42" t="s">
        <v>606</v>
      </c>
      <c r="LBL337" s="42" t="s">
        <v>606</v>
      </c>
      <c r="LBM337" s="42" t="s">
        <v>606</v>
      </c>
      <c r="LBN337" s="42" t="s">
        <v>606</v>
      </c>
      <c r="LBO337" s="42" t="s">
        <v>606</v>
      </c>
      <c r="LBP337" s="42" t="s">
        <v>606</v>
      </c>
      <c r="LBQ337" s="42" t="s">
        <v>606</v>
      </c>
      <c r="LBR337" s="42" t="s">
        <v>606</v>
      </c>
      <c r="LBS337" s="42" t="s">
        <v>606</v>
      </c>
      <c r="LBT337" s="42" t="s">
        <v>606</v>
      </c>
      <c r="LBU337" s="42" t="s">
        <v>606</v>
      </c>
      <c r="LBV337" s="42" t="s">
        <v>606</v>
      </c>
      <c r="LBW337" s="42" t="s">
        <v>606</v>
      </c>
      <c r="LBX337" s="42" t="s">
        <v>606</v>
      </c>
      <c r="LBY337" s="42" t="s">
        <v>606</v>
      </c>
      <c r="LBZ337" s="42" t="s">
        <v>606</v>
      </c>
      <c r="LCA337" s="42" t="s">
        <v>606</v>
      </c>
      <c r="LCB337" s="42" t="s">
        <v>606</v>
      </c>
      <c r="LCC337" s="42" t="s">
        <v>606</v>
      </c>
      <c r="LCD337" s="42" t="s">
        <v>606</v>
      </c>
      <c r="LCE337" s="42" t="s">
        <v>606</v>
      </c>
      <c r="LCF337" s="42" t="s">
        <v>606</v>
      </c>
      <c r="LCG337" s="42" t="s">
        <v>606</v>
      </c>
      <c r="LCH337" s="42" t="s">
        <v>606</v>
      </c>
      <c r="LCI337" s="42" t="s">
        <v>606</v>
      </c>
      <c r="LCJ337" s="42" t="s">
        <v>606</v>
      </c>
      <c r="LCK337" s="42" t="s">
        <v>606</v>
      </c>
      <c r="LCL337" s="42" t="s">
        <v>606</v>
      </c>
      <c r="LCM337" s="42" t="s">
        <v>606</v>
      </c>
      <c r="LCN337" s="42" t="s">
        <v>606</v>
      </c>
      <c r="LCO337" s="42" t="s">
        <v>606</v>
      </c>
      <c r="LCP337" s="42" t="s">
        <v>606</v>
      </c>
      <c r="LCQ337" s="42" t="s">
        <v>606</v>
      </c>
      <c r="LCR337" s="42" t="s">
        <v>606</v>
      </c>
      <c r="LCS337" s="42" t="s">
        <v>606</v>
      </c>
      <c r="LCT337" s="42" t="s">
        <v>606</v>
      </c>
      <c r="LCU337" s="42" t="s">
        <v>606</v>
      </c>
      <c r="LCV337" s="42" t="s">
        <v>606</v>
      </c>
      <c r="LCW337" s="42" t="s">
        <v>606</v>
      </c>
      <c r="LCX337" s="42" t="s">
        <v>606</v>
      </c>
      <c r="LCY337" s="42" t="s">
        <v>606</v>
      </c>
      <c r="LCZ337" s="42" t="s">
        <v>606</v>
      </c>
      <c r="LDA337" s="42" t="s">
        <v>606</v>
      </c>
      <c r="LDB337" s="42" t="s">
        <v>606</v>
      </c>
      <c r="LDC337" s="42" t="s">
        <v>606</v>
      </c>
      <c r="LDD337" s="42" t="s">
        <v>606</v>
      </c>
      <c r="LDE337" s="42" t="s">
        <v>606</v>
      </c>
      <c r="LDF337" s="42" t="s">
        <v>606</v>
      </c>
      <c r="LDG337" s="42" t="s">
        <v>606</v>
      </c>
      <c r="LDH337" s="42" t="s">
        <v>606</v>
      </c>
      <c r="LDI337" s="42" t="s">
        <v>606</v>
      </c>
      <c r="LDJ337" s="42" t="s">
        <v>606</v>
      </c>
      <c r="LDK337" s="42" t="s">
        <v>606</v>
      </c>
      <c r="LDL337" s="42" t="s">
        <v>606</v>
      </c>
      <c r="LDM337" s="42" t="s">
        <v>606</v>
      </c>
      <c r="LDN337" s="42" t="s">
        <v>606</v>
      </c>
      <c r="LDO337" s="42" t="s">
        <v>606</v>
      </c>
      <c r="LDP337" s="42" t="s">
        <v>606</v>
      </c>
      <c r="LDQ337" s="42" t="s">
        <v>606</v>
      </c>
      <c r="LDR337" s="42" t="s">
        <v>606</v>
      </c>
      <c r="LDS337" s="42" t="s">
        <v>606</v>
      </c>
      <c r="LDT337" s="42" t="s">
        <v>606</v>
      </c>
      <c r="LDU337" s="42" t="s">
        <v>606</v>
      </c>
      <c r="LDV337" s="42" t="s">
        <v>606</v>
      </c>
      <c r="LDW337" s="42" t="s">
        <v>606</v>
      </c>
      <c r="LDX337" s="42" t="s">
        <v>606</v>
      </c>
      <c r="LDY337" s="42" t="s">
        <v>606</v>
      </c>
      <c r="LDZ337" s="42" t="s">
        <v>606</v>
      </c>
      <c r="LEA337" s="42" t="s">
        <v>606</v>
      </c>
      <c r="LEB337" s="42" t="s">
        <v>606</v>
      </c>
      <c r="LEC337" s="42" t="s">
        <v>606</v>
      </c>
      <c r="LED337" s="42" t="s">
        <v>606</v>
      </c>
      <c r="LEE337" s="42" t="s">
        <v>606</v>
      </c>
      <c r="LEF337" s="42" t="s">
        <v>606</v>
      </c>
      <c r="LEG337" s="42" t="s">
        <v>606</v>
      </c>
      <c r="LEH337" s="42" t="s">
        <v>606</v>
      </c>
      <c r="LEI337" s="42" t="s">
        <v>606</v>
      </c>
      <c r="LEJ337" s="42" t="s">
        <v>606</v>
      </c>
      <c r="LEK337" s="42" t="s">
        <v>606</v>
      </c>
      <c r="LEL337" s="42" t="s">
        <v>606</v>
      </c>
      <c r="LEM337" s="42" t="s">
        <v>606</v>
      </c>
      <c r="LEN337" s="42" t="s">
        <v>606</v>
      </c>
      <c r="LEO337" s="42" t="s">
        <v>606</v>
      </c>
      <c r="LEP337" s="42" t="s">
        <v>606</v>
      </c>
      <c r="LEQ337" s="42" t="s">
        <v>606</v>
      </c>
      <c r="LER337" s="42" t="s">
        <v>606</v>
      </c>
      <c r="LES337" s="42" t="s">
        <v>606</v>
      </c>
      <c r="LET337" s="42" t="s">
        <v>606</v>
      </c>
      <c r="LEU337" s="42" t="s">
        <v>606</v>
      </c>
      <c r="LEV337" s="42" t="s">
        <v>606</v>
      </c>
      <c r="LEW337" s="42" t="s">
        <v>606</v>
      </c>
      <c r="LEX337" s="42" t="s">
        <v>606</v>
      </c>
      <c r="LEY337" s="42" t="s">
        <v>606</v>
      </c>
      <c r="LEZ337" s="42" t="s">
        <v>606</v>
      </c>
      <c r="LFA337" s="42" t="s">
        <v>606</v>
      </c>
      <c r="LFB337" s="42" t="s">
        <v>606</v>
      </c>
      <c r="LFC337" s="42" t="s">
        <v>606</v>
      </c>
      <c r="LFD337" s="42" t="s">
        <v>606</v>
      </c>
      <c r="LFE337" s="42" t="s">
        <v>606</v>
      </c>
      <c r="LFF337" s="42" t="s">
        <v>606</v>
      </c>
      <c r="LFG337" s="42" t="s">
        <v>606</v>
      </c>
      <c r="LFH337" s="42" t="s">
        <v>606</v>
      </c>
      <c r="LFI337" s="42" t="s">
        <v>606</v>
      </c>
      <c r="LFJ337" s="42" t="s">
        <v>606</v>
      </c>
      <c r="LFK337" s="42" t="s">
        <v>606</v>
      </c>
      <c r="LFL337" s="42" t="s">
        <v>606</v>
      </c>
      <c r="LFM337" s="42" t="s">
        <v>606</v>
      </c>
      <c r="LFN337" s="42" t="s">
        <v>606</v>
      </c>
      <c r="LFO337" s="42" t="s">
        <v>606</v>
      </c>
      <c r="LFP337" s="42" t="s">
        <v>606</v>
      </c>
      <c r="LFQ337" s="42" t="s">
        <v>606</v>
      </c>
      <c r="LFR337" s="42" t="s">
        <v>606</v>
      </c>
      <c r="LFS337" s="42" t="s">
        <v>606</v>
      </c>
      <c r="LFT337" s="42" t="s">
        <v>606</v>
      </c>
      <c r="LFU337" s="42" t="s">
        <v>606</v>
      </c>
      <c r="LFV337" s="42" t="s">
        <v>606</v>
      </c>
      <c r="LFW337" s="42" t="s">
        <v>606</v>
      </c>
      <c r="LFX337" s="42" t="s">
        <v>606</v>
      </c>
      <c r="LFY337" s="42" t="s">
        <v>606</v>
      </c>
      <c r="LFZ337" s="42" t="s">
        <v>606</v>
      </c>
      <c r="LGA337" s="42" t="s">
        <v>606</v>
      </c>
      <c r="LGB337" s="42" t="s">
        <v>606</v>
      </c>
      <c r="LGC337" s="42" t="s">
        <v>606</v>
      </c>
      <c r="LGD337" s="42" t="s">
        <v>606</v>
      </c>
      <c r="LGE337" s="42" t="s">
        <v>606</v>
      </c>
      <c r="LGF337" s="42" t="s">
        <v>606</v>
      </c>
      <c r="LGG337" s="42" t="s">
        <v>606</v>
      </c>
      <c r="LGH337" s="42" t="s">
        <v>606</v>
      </c>
      <c r="LGI337" s="42" t="s">
        <v>606</v>
      </c>
      <c r="LGJ337" s="42" t="s">
        <v>606</v>
      </c>
      <c r="LGK337" s="42" t="s">
        <v>606</v>
      </c>
      <c r="LGL337" s="42" t="s">
        <v>606</v>
      </c>
      <c r="LGM337" s="42" t="s">
        <v>606</v>
      </c>
      <c r="LGN337" s="42" t="s">
        <v>606</v>
      </c>
      <c r="LGO337" s="42" t="s">
        <v>606</v>
      </c>
      <c r="LGP337" s="42" t="s">
        <v>606</v>
      </c>
      <c r="LGQ337" s="42" t="s">
        <v>606</v>
      </c>
      <c r="LGR337" s="42" t="s">
        <v>606</v>
      </c>
      <c r="LGS337" s="42" t="s">
        <v>606</v>
      </c>
      <c r="LGT337" s="42" t="s">
        <v>606</v>
      </c>
      <c r="LGU337" s="42" t="s">
        <v>606</v>
      </c>
      <c r="LGV337" s="42" t="s">
        <v>606</v>
      </c>
      <c r="LGW337" s="42" t="s">
        <v>606</v>
      </c>
      <c r="LGX337" s="42" t="s">
        <v>606</v>
      </c>
      <c r="LGY337" s="42" t="s">
        <v>606</v>
      </c>
      <c r="LGZ337" s="42" t="s">
        <v>606</v>
      </c>
      <c r="LHA337" s="42" t="s">
        <v>606</v>
      </c>
      <c r="LHB337" s="42" t="s">
        <v>606</v>
      </c>
      <c r="LHC337" s="42" t="s">
        <v>606</v>
      </c>
      <c r="LHD337" s="42" t="s">
        <v>606</v>
      </c>
      <c r="LHE337" s="42" t="s">
        <v>606</v>
      </c>
      <c r="LHF337" s="42" t="s">
        <v>606</v>
      </c>
      <c r="LHG337" s="42" t="s">
        <v>606</v>
      </c>
      <c r="LHH337" s="42" t="s">
        <v>606</v>
      </c>
      <c r="LHI337" s="42" t="s">
        <v>606</v>
      </c>
      <c r="LHJ337" s="42" t="s">
        <v>606</v>
      </c>
      <c r="LHK337" s="42" t="s">
        <v>606</v>
      </c>
      <c r="LHL337" s="42" t="s">
        <v>606</v>
      </c>
      <c r="LHM337" s="42" t="s">
        <v>606</v>
      </c>
      <c r="LHN337" s="42" t="s">
        <v>606</v>
      </c>
      <c r="LHO337" s="42" t="s">
        <v>606</v>
      </c>
      <c r="LHP337" s="42" t="s">
        <v>606</v>
      </c>
      <c r="LHQ337" s="42" t="s">
        <v>606</v>
      </c>
      <c r="LHR337" s="42" t="s">
        <v>606</v>
      </c>
      <c r="LHS337" s="42" t="s">
        <v>606</v>
      </c>
      <c r="LHT337" s="42" t="s">
        <v>606</v>
      </c>
      <c r="LHU337" s="42" t="s">
        <v>606</v>
      </c>
      <c r="LHV337" s="42" t="s">
        <v>606</v>
      </c>
      <c r="LHW337" s="42" t="s">
        <v>606</v>
      </c>
      <c r="LHX337" s="42" t="s">
        <v>606</v>
      </c>
      <c r="LHY337" s="42" t="s">
        <v>606</v>
      </c>
      <c r="LHZ337" s="42" t="s">
        <v>606</v>
      </c>
      <c r="LIA337" s="42" t="s">
        <v>606</v>
      </c>
      <c r="LIB337" s="42" t="s">
        <v>606</v>
      </c>
      <c r="LIC337" s="42" t="s">
        <v>606</v>
      </c>
      <c r="LID337" s="42" t="s">
        <v>606</v>
      </c>
      <c r="LIE337" s="42" t="s">
        <v>606</v>
      </c>
      <c r="LIF337" s="42" t="s">
        <v>606</v>
      </c>
      <c r="LIG337" s="42" t="s">
        <v>606</v>
      </c>
      <c r="LIH337" s="42" t="s">
        <v>606</v>
      </c>
      <c r="LII337" s="42" t="s">
        <v>606</v>
      </c>
      <c r="LIJ337" s="42" t="s">
        <v>606</v>
      </c>
      <c r="LIK337" s="42" t="s">
        <v>606</v>
      </c>
      <c r="LIL337" s="42" t="s">
        <v>606</v>
      </c>
      <c r="LIM337" s="42" t="s">
        <v>606</v>
      </c>
      <c r="LIN337" s="42" t="s">
        <v>606</v>
      </c>
      <c r="LIO337" s="42" t="s">
        <v>606</v>
      </c>
      <c r="LIP337" s="42" t="s">
        <v>606</v>
      </c>
      <c r="LIQ337" s="42" t="s">
        <v>606</v>
      </c>
      <c r="LIR337" s="42" t="s">
        <v>606</v>
      </c>
      <c r="LIS337" s="42" t="s">
        <v>606</v>
      </c>
      <c r="LIT337" s="42" t="s">
        <v>606</v>
      </c>
      <c r="LIU337" s="42" t="s">
        <v>606</v>
      </c>
      <c r="LIV337" s="42" t="s">
        <v>606</v>
      </c>
      <c r="LIW337" s="42" t="s">
        <v>606</v>
      </c>
      <c r="LIX337" s="42" t="s">
        <v>606</v>
      </c>
      <c r="LIY337" s="42" t="s">
        <v>606</v>
      </c>
      <c r="LIZ337" s="42" t="s">
        <v>606</v>
      </c>
      <c r="LJA337" s="42" t="s">
        <v>606</v>
      </c>
      <c r="LJB337" s="42" t="s">
        <v>606</v>
      </c>
      <c r="LJC337" s="42" t="s">
        <v>606</v>
      </c>
      <c r="LJD337" s="42" t="s">
        <v>606</v>
      </c>
      <c r="LJE337" s="42" t="s">
        <v>606</v>
      </c>
      <c r="LJF337" s="42" t="s">
        <v>606</v>
      </c>
      <c r="LJG337" s="42" t="s">
        <v>606</v>
      </c>
      <c r="LJH337" s="42" t="s">
        <v>606</v>
      </c>
      <c r="LJI337" s="42" t="s">
        <v>606</v>
      </c>
      <c r="LJJ337" s="42" t="s">
        <v>606</v>
      </c>
      <c r="LJK337" s="42" t="s">
        <v>606</v>
      </c>
      <c r="LJL337" s="42" t="s">
        <v>606</v>
      </c>
      <c r="LJM337" s="42" t="s">
        <v>606</v>
      </c>
      <c r="LJN337" s="42" t="s">
        <v>606</v>
      </c>
      <c r="LJO337" s="42" t="s">
        <v>606</v>
      </c>
      <c r="LJP337" s="42" t="s">
        <v>606</v>
      </c>
      <c r="LJQ337" s="42" t="s">
        <v>606</v>
      </c>
      <c r="LJR337" s="42" t="s">
        <v>606</v>
      </c>
      <c r="LJS337" s="42" t="s">
        <v>606</v>
      </c>
      <c r="LJT337" s="42" t="s">
        <v>606</v>
      </c>
      <c r="LJU337" s="42" t="s">
        <v>606</v>
      </c>
      <c r="LJV337" s="42" t="s">
        <v>606</v>
      </c>
      <c r="LJW337" s="42" t="s">
        <v>606</v>
      </c>
      <c r="LJX337" s="42" t="s">
        <v>606</v>
      </c>
      <c r="LJY337" s="42" t="s">
        <v>606</v>
      </c>
      <c r="LJZ337" s="42" t="s">
        <v>606</v>
      </c>
      <c r="LKA337" s="42" t="s">
        <v>606</v>
      </c>
      <c r="LKB337" s="42" t="s">
        <v>606</v>
      </c>
      <c r="LKC337" s="42" t="s">
        <v>606</v>
      </c>
      <c r="LKD337" s="42" t="s">
        <v>606</v>
      </c>
      <c r="LKE337" s="42" t="s">
        <v>606</v>
      </c>
      <c r="LKF337" s="42" t="s">
        <v>606</v>
      </c>
      <c r="LKG337" s="42" t="s">
        <v>606</v>
      </c>
      <c r="LKH337" s="42" t="s">
        <v>606</v>
      </c>
      <c r="LKI337" s="42" t="s">
        <v>606</v>
      </c>
      <c r="LKJ337" s="42" t="s">
        <v>606</v>
      </c>
      <c r="LKK337" s="42" t="s">
        <v>606</v>
      </c>
      <c r="LKL337" s="42" t="s">
        <v>606</v>
      </c>
      <c r="LKM337" s="42" t="s">
        <v>606</v>
      </c>
      <c r="LKN337" s="42" t="s">
        <v>606</v>
      </c>
      <c r="LKO337" s="42" t="s">
        <v>606</v>
      </c>
      <c r="LKP337" s="42" t="s">
        <v>606</v>
      </c>
      <c r="LKQ337" s="42" t="s">
        <v>606</v>
      </c>
      <c r="LKR337" s="42" t="s">
        <v>606</v>
      </c>
      <c r="LKS337" s="42" t="s">
        <v>606</v>
      </c>
      <c r="LKT337" s="42" t="s">
        <v>606</v>
      </c>
      <c r="LKU337" s="42" t="s">
        <v>606</v>
      </c>
      <c r="LKV337" s="42" t="s">
        <v>606</v>
      </c>
      <c r="LKW337" s="42" t="s">
        <v>606</v>
      </c>
      <c r="LKX337" s="42" t="s">
        <v>606</v>
      </c>
      <c r="LKY337" s="42" t="s">
        <v>606</v>
      </c>
      <c r="LKZ337" s="42" t="s">
        <v>606</v>
      </c>
      <c r="LLA337" s="42" t="s">
        <v>606</v>
      </c>
      <c r="LLB337" s="42" t="s">
        <v>606</v>
      </c>
      <c r="LLC337" s="42" t="s">
        <v>606</v>
      </c>
      <c r="LLD337" s="42" t="s">
        <v>606</v>
      </c>
      <c r="LLE337" s="42" t="s">
        <v>606</v>
      </c>
      <c r="LLF337" s="42" t="s">
        <v>606</v>
      </c>
      <c r="LLG337" s="42" t="s">
        <v>606</v>
      </c>
      <c r="LLH337" s="42" t="s">
        <v>606</v>
      </c>
      <c r="LLI337" s="42" t="s">
        <v>606</v>
      </c>
      <c r="LLJ337" s="42" t="s">
        <v>606</v>
      </c>
      <c r="LLK337" s="42" t="s">
        <v>606</v>
      </c>
      <c r="LLL337" s="42" t="s">
        <v>606</v>
      </c>
      <c r="LLM337" s="42" t="s">
        <v>606</v>
      </c>
      <c r="LLN337" s="42" t="s">
        <v>606</v>
      </c>
      <c r="LLO337" s="42" t="s">
        <v>606</v>
      </c>
      <c r="LLP337" s="42" t="s">
        <v>606</v>
      </c>
      <c r="LLQ337" s="42" t="s">
        <v>606</v>
      </c>
      <c r="LLR337" s="42" t="s">
        <v>606</v>
      </c>
      <c r="LLS337" s="42" t="s">
        <v>606</v>
      </c>
      <c r="LLT337" s="42" t="s">
        <v>606</v>
      </c>
      <c r="LLU337" s="42" t="s">
        <v>606</v>
      </c>
      <c r="LLV337" s="42" t="s">
        <v>606</v>
      </c>
      <c r="LLW337" s="42" t="s">
        <v>606</v>
      </c>
      <c r="LLX337" s="42" t="s">
        <v>606</v>
      </c>
      <c r="LLY337" s="42" t="s">
        <v>606</v>
      </c>
      <c r="LLZ337" s="42" t="s">
        <v>606</v>
      </c>
      <c r="LMA337" s="42" t="s">
        <v>606</v>
      </c>
      <c r="LMB337" s="42" t="s">
        <v>606</v>
      </c>
      <c r="LMC337" s="42" t="s">
        <v>606</v>
      </c>
      <c r="LMD337" s="42" t="s">
        <v>606</v>
      </c>
      <c r="LME337" s="42" t="s">
        <v>606</v>
      </c>
      <c r="LMF337" s="42" t="s">
        <v>606</v>
      </c>
      <c r="LMG337" s="42" t="s">
        <v>606</v>
      </c>
      <c r="LMH337" s="42" t="s">
        <v>606</v>
      </c>
      <c r="LMI337" s="42" t="s">
        <v>606</v>
      </c>
      <c r="LMJ337" s="42" t="s">
        <v>606</v>
      </c>
      <c r="LMK337" s="42" t="s">
        <v>606</v>
      </c>
      <c r="LML337" s="42" t="s">
        <v>606</v>
      </c>
      <c r="LMM337" s="42" t="s">
        <v>606</v>
      </c>
      <c r="LMN337" s="42" t="s">
        <v>606</v>
      </c>
      <c r="LMO337" s="42" t="s">
        <v>606</v>
      </c>
      <c r="LMP337" s="42" t="s">
        <v>606</v>
      </c>
      <c r="LMQ337" s="42" t="s">
        <v>606</v>
      </c>
      <c r="LMR337" s="42" t="s">
        <v>606</v>
      </c>
      <c r="LMS337" s="42" t="s">
        <v>606</v>
      </c>
      <c r="LMT337" s="42" t="s">
        <v>606</v>
      </c>
      <c r="LMU337" s="42" t="s">
        <v>606</v>
      </c>
      <c r="LMV337" s="42" t="s">
        <v>606</v>
      </c>
      <c r="LMW337" s="42" t="s">
        <v>606</v>
      </c>
      <c r="LMX337" s="42" t="s">
        <v>606</v>
      </c>
      <c r="LMY337" s="42" t="s">
        <v>606</v>
      </c>
      <c r="LMZ337" s="42" t="s">
        <v>606</v>
      </c>
      <c r="LNA337" s="42" t="s">
        <v>606</v>
      </c>
      <c r="LNB337" s="42" t="s">
        <v>606</v>
      </c>
      <c r="LNC337" s="42" t="s">
        <v>606</v>
      </c>
      <c r="LND337" s="42" t="s">
        <v>606</v>
      </c>
      <c r="LNE337" s="42" t="s">
        <v>606</v>
      </c>
      <c r="LNF337" s="42" t="s">
        <v>606</v>
      </c>
      <c r="LNG337" s="42" t="s">
        <v>606</v>
      </c>
      <c r="LNH337" s="42" t="s">
        <v>606</v>
      </c>
      <c r="LNI337" s="42" t="s">
        <v>606</v>
      </c>
      <c r="LNJ337" s="42" t="s">
        <v>606</v>
      </c>
      <c r="LNK337" s="42" t="s">
        <v>606</v>
      </c>
      <c r="LNL337" s="42" t="s">
        <v>606</v>
      </c>
      <c r="LNM337" s="42" t="s">
        <v>606</v>
      </c>
      <c r="LNN337" s="42" t="s">
        <v>606</v>
      </c>
      <c r="LNO337" s="42" t="s">
        <v>606</v>
      </c>
      <c r="LNP337" s="42" t="s">
        <v>606</v>
      </c>
      <c r="LNQ337" s="42" t="s">
        <v>606</v>
      </c>
      <c r="LNR337" s="42" t="s">
        <v>606</v>
      </c>
      <c r="LNS337" s="42" t="s">
        <v>606</v>
      </c>
      <c r="LNT337" s="42" t="s">
        <v>606</v>
      </c>
      <c r="LNU337" s="42" t="s">
        <v>606</v>
      </c>
      <c r="LNV337" s="42" t="s">
        <v>606</v>
      </c>
      <c r="LNW337" s="42" t="s">
        <v>606</v>
      </c>
      <c r="LNX337" s="42" t="s">
        <v>606</v>
      </c>
      <c r="LNY337" s="42" t="s">
        <v>606</v>
      </c>
      <c r="LNZ337" s="42" t="s">
        <v>606</v>
      </c>
      <c r="LOA337" s="42" t="s">
        <v>606</v>
      </c>
      <c r="LOB337" s="42" t="s">
        <v>606</v>
      </c>
      <c r="LOC337" s="42" t="s">
        <v>606</v>
      </c>
      <c r="LOD337" s="42" t="s">
        <v>606</v>
      </c>
      <c r="LOE337" s="42" t="s">
        <v>606</v>
      </c>
      <c r="LOF337" s="42" t="s">
        <v>606</v>
      </c>
      <c r="LOG337" s="42" t="s">
        <v>606</v>
      </c>
      <c r="LOH337" s="42" t="s">
        <v>606</v>
      </c>
      <c r="LOI337" s="42" t="s">
        <v>606</v>
      </c>
      <c r="LOJ337" s="42" t="s">
        <v>606</v>
      </c>
      <c r="LOK337" s="42" t="s">
        <v>606</v>
      </c>
      <c r="LOL337" s="42" t="s">
        <v>606</v>
      </c>
      <c r="LOM337" s="42" t="s">
        <v>606</v>
      </c>
      <c r="LON337" s="42" t="s">
        <v>606</v>
      </c>
      <c r="LOO337" s="42" t="s">
        <v>606</v>
      </c>
      <c r="LOP337" s="42" t="s">
        <v>606</v>
      </c>
      <c r="LOQ337" s="42" t="s">
        <v>606</v>
      </c>
      <c r="LOR337" s="42" t="s">
        <v>606</v>
      </c>
      <c r="LOS337" s="42" t="s">
        <v>606</v>
      </c>
      <c r="LOT337" s="42" t="s">
        <v>606</v>
      </c>
      <c r="LOU337" s="42" t="s">
        <v>606</v>
      </c>
      <c r="LOV337" s="42" t="s">
        <v>606</v>
      </c>
      <c r="LOW337" s="42" t="s">
        <v>606</v>
      </c>
      <c r="LOX337" s="42" t="s">
        <v>606</v>
      </c>
      <c r="LOY337" s="42" t="s">
        <v>606</v>
      </c>
      <c r="LOZ337" s="42" t="s">
        <v>606</v>
      </c>
      <c r="LPA337" s="42" t="s">
        <v>606</v>
      </c>
      <c r="LPB337" s="42" t="s">
        <v>606</v>
      </c>
      <c r="LPC337" s="42" t="s">
        <v>606</v>
      </c>
      <c r="LPD337" s="42" t="s">
        <v>606</v>
      </c>
      <c r="LPE337" s="42" t="s">
        <v>606</v>
      </c>
      <c r="LPF337" s="42" t="s">
        <v>606</v>
      </c>
      <c r="LPG337" s="42" t="s">
        <v>606</v>
      </c>
      <c r="LPH337" s="42" t="s">
        <v>606</v>
      </c>
      <c r="LPI337" s="42" t="s">
        <v>606</v>
      </c>
      <c r="LPJ337" s="42" t="s">
        <v>606</v>
      </c>
      <c r="LPK337" s="42" t="s">
        <v>606</v>
      </c>
      <c r="LPL337" s="42" t="s">
        <v>606</v>
      </c>
      <c r="LPM337" s="42" t="s">
        <v>606</v>
      </c>
      <c r="LPN337" s="42" t="s">
        <v>606</v>
      </c>
      <c r="LPO337" s="42" t="s">
        <v>606</v>
      </c>
      <c r="LPP337" s="42" t="s">
        <v>606</v>
      </c>
      <c r="LPQ337" s="42" t="s">
        <v>606</v>
      </c>
      <c r="LPR337" s="42" t="s">
        <v>606</v>
      </c>
      <c r="LPS337" s="42" t="s">
        <v>606</v>
      </c>
      <c r="LPT337" s="42" t="s">
        <v>606</v>
      </c>
      <c r="LPU337" s="42" t="s">
        <v>606</v>
      </c>
      <c r="LPV337" s="42" t="s">
        <v>606</v>
      </c>
      <c r="LPW337" s="42" t="s">
        <v>606</v>
      </c>
      <c r="LPX337" s="42" t="s">
        <v>606</v>
      </c>
      <c r="LPY337" s="42" t="s">
        <v>606</v>
      </c>
      <c r="LPZ337" s="42" t="s">
        <v>606</v>
      </c>
      <c r="LQA337" s="42" t="s">
        <v>606</v>
      </c>
      <c r="LQB337" s="42" t="s">
        <v>606</v>
      </c>
      <c r="LQC337" s="42" t="s">
        <v>606</v>
      </c>
      <c r="LQD337" s="42" t="s">
        <v>606</v>
      </c>
      <c r="LQE337" s="42" t="s">
        <v>606</v>
      </c>
      <c r="LQF337" s="42" t="s">
        <v>606</v>
      </c>
      <c r="LQG337" s="42" t="s">
        <v>606</v>
      </c>
      <c r="LQH337" s="42" t="s">
        <v>606</v>
      </c>
      <c r="LQI337" s="42" t="s">
        <v>606</v>
      </c>
      <c r="LQJ337" s="42" t="s">
        <v>606</v>
      </c>
      <c r="LQK337" s="42" t="s">
        <v>606</v>
      </c>
      <c r="LQL337" s="42" t="s">
        <v>606</v>
      </c>
      <c r="LQM337" s="42" t="s">
        <v>606</v>
      </c>
      <c r="LQN337" s="42" t="s">
        <v>606</v>
      </c>
      <c r="LQO337" s="42" t="s">
        <v>606</v>
      </c>
      <c r="LQP337" s="42" t="s">
        <v>606</v>
      </c>
      <c r="LQQ337" s="42" t="s">
        <v>606</v>
      </c>
      <c r="LQR337" s="42" t="s">
        <v>606</v>
      </c>
      <c r="LQS337" s="42" t="s">
        <v>606</v>
      </c>
      <c r="LQT337" s="42" t="s">
        <v>606</v>
      </c>
      <c r="LQU337" s="42" t="s">
        <v>606</v>
      </c>
      <c r="LQV337" s="42" t="s">
        <v>606</v>
      </c>
      <c r="LQW337" s="42" t="s">
        <v>606</v>
      </c>
      <c r="LQX337" s="42" t="s">
        <v>606</v>
      </c>
      <c r="LQY337" s="42" t="s">
        <v>606</v>
      </c>
      <c r="LQZ337" s="42" t="s">
        <v>606</v>
      </c>
      <c r="LRA337" s="42" t="s">
        <v>606</v>
      </c>
      <c r="LRB337" s="42" t="s">
        <v>606</v>
      </c>
      <c r="LRC337" s="42" t="s">
        <v>606</v>
      </c>
      <c r="LRD337" s="42" t="s">
        <v>606</v>
      </c>
      <c r="LRE337" s="42" t="s">
        <v>606</v>
      </c>
      <c r="LRF337" s="42" t="s">
        <v>606</v>
      </c>
      <c r="LRG337" s="42" t="s">
        <v>606</v>
      </c>
      <c r="LRH337" s="42" t="s">
        <v>606</v>
      </c>
      <c r="LRI337" s="42" t="s">
        <v>606</v>
      </c>
      <c r="LRJ337" s="42" t="s">
        <v>606</v>
      </c>
      <c r="LRK337" s="42" t="s">
        <v>606</v>
      </c>
      <c r="LRL337" s="42" t="s">
        <v>606</v>
      </c>
      <c r="LRM337" s="42" t="s">
        <v>606</v>
      </c>
      <c r="LRN337" s="42" t="s">
        <v>606</v>
      </c>
      <c r="LRO337" s="42" t="s">
        <v>606</v>
      </c>
      <c r="LRP337" s="42" t="s">
        <v>606</v>
      </c>
      <c r="LRQ337" s="42" t="s">
        <v>606</v>
      </c>
      <c r="LRR337" s="42" t="s">
        <v>606</v>
      </c>
      <c r="LRS337" s="42" t="s">
        <v>606</v>
      </c>
      <c r="LRT337" s="42" t="s">
        <v>606</v>
      </c>
      <c r="LRU337" s="42" t="s">
        <v>606</v>
      </c>
      <c r="LRV337" s="42" t="s">
        <v>606</v>
      </c>
      <c r="LRW337" s="42" t="s">
        <v>606</v>
      </c>
      <c r="LRX337" s="42" t="s">
        <v>606</v>
      </c>
      <c r="LRY337" s="42" t="s">
        <v>606</v>
      </c>
      <c r="LRZ337" s="42" t="s">
        <v>606</v>
      </c>
      <c r="LSA337" s="42" t="s">
        <v>606</v>
      </c>
      <c r="LSB337" s="42" t="s">
        <v>606</v>
      </c>
      <c r="LSC337" s="42" t="s">
        <v>606</v>
      </c>
      <c r="LSD337" s="42" t="s">
        <v>606</v>
      </c>
      <c r="LSE337" s="42" t="s">
        <v>606</v>
      </c>
      <c r="LSF337" s="42" t="s">
        <v>606</v>
      </c>
      <c r="LSG337" s="42" t="s">
        <v>606</v>
      </c>
      <c r="LSH337" s="42" t="s">
        <v>606</v>
      </c>
      <c r="LSI337" s="42" t="s">
        <v>606</v>
      </c>
      <c r="LSJ337" s="42" t="s">
        <v>606</v>
      </c>
      <c r="LSK337" s="42" t="s">
        <v>606</v>
      </c>
      <c r="LSL337" s="42" t="s">
        <v>606</v>
      </c>
      <c r="LSM337" s="42" t="s">
        <v>606</v>
      </c>
      <c r="LSN337" s="42" t="s">
        <v>606</v>
      </c>
      <c r="LSO337" s="42" t="s">
        <v>606</v>
      </c>
      <c r="LSP337" s="42" t="s">
        <v>606</v>
      </c>
      <c r="LSQ337" s="42" t="s">
        <v>606</v>
      </c>
      <c r="LSR337" s="42" t="s">
        <v>606</v>
      </c>
      <c r="LSS337" s="42" t="s">
        <v>606</v>
      </c>
      <c r="LST337" s="42" t="s">
        <v>606</v>
      </c>
      <c r="LSU337" s="42" t="s">
        <v>606</v>
      </c>
      <c r="LSV337" s="42" t="s">
        <v>606</v>
      </c>
      <c r="LSW337" s="42" t="s">
        <v>606</v>
      </c>
      <c r="LSX337" s="42" t="s">
        <v>606</v>
      </c>
      <c r="LSY337" s="42" t="s">
        <v>606</v>
      </c>
      <c r="LSZ337" s="42" t="s">
        <v>606</v>
      </c>
      <c r="LTA337" s="42" t="s">
        <v>606</v>
      </c>
      <c r="LTB337" s="42" t="s">
        <v>606</v>
      </c>
      <c r="LTC337" s="42" t="s">
        <v>606</v>
      </c>
      <c r="LTD337" s="42" t="s">
        <v>606</v>
      </c>
      <c r="LTE337" s="42" t="s">
        <v>606</v>
      </c>
      <c r="LTF337" s="42" t="s">
        <v>606</v>
      </c>
      <c r="LTG337" s="42" t="s">
        <v>606</v>
      </c>
      <c r="LTH337" s="42" t="s">
        <v>606</v>
      </c>
      <c r="LTI337" s="42" t="s">
        <v>606</v>
      </c>
      <c r="LTJ337" s="42" t="s">
        <v>606</v>
      </c>
      <c r="LTK337" s="42" t="s">
        <v>606</v>
      </c>
      <c r="LTL337" s="42" t="s">
        <v>606</v>
      </c>
      <c r="LTM337" s="42" t="s">
        <v>606</v>
      </c>
      <c r="LTN337" s="42" t="s">
        <v>606</v>
      </c>
      <c r="LTO337" s="42" t="s">
        <v>606</v>
      </c>
      <c r="LTP337" s="42" t="s">
        <v>606</v>
      </c>
      <c r="LTQ337" s="42" t="s">
        <v>606</v>
      </c>
      <c r="LTR337" s="42" t="s">
        <v>606</v>
      </c>
      <c r="LTS337" s="42" t="s">
        <v>606</v>
      </c>
      <c r="LTT337" s="42" t="s">
        <v>606</v>
      </c>
      <c r="LTU337" s="42" t="s">
        <v>606</v>
      </c>
      <c r="LTV337" s="42" t="s">
        <v>606</v>
      </c>
      <c r="LTW337" s="42" t="s">
        <v>606</v>
      </c>
      <c r="LTX337" s="42" t="s">
        <v>606</v>
      </c>
      <c r="LTY337" s="42" t="s">
        <v>606</v>
      </c>
      <c r="LTZ337" s="42" t="s">
        <v>606</v>
      </c>
      <c r="LUA337" s="42" t="s">
        <v>606</v>
      </c>
      <c r="LUB337" s="42" t="s">
        <v>606</v>
      </c>
      <c r="LUC337" s="42" t="s">
        <v>606</v>
      </c>
      <c r="LUD337" s="42" t="s">
        <v>606</v>
      </c>
      <c r="LUE337" s="42" t="s">
        <v>606</v>
      </c>
      <c r="LUF337" s="42" t="s">
        <v>606</v>
      </c>
      <c r="LUG337" s="42" t="s">
        <v>606</v>
      </c>
      <c r="LUH337" s="42" t="s">
        <v>606</v>
      </c>
      <c r="LUI337" s="42" t="s">
        <v>606</v>
      </c>
      <c r="LUJ337" s="42" t="s">
        <v>606</v>
      </c>
      <c r="LUK337" s="42" t="s">
        <v>606</v>
      </c>
      <c r="LUL337" s="42" t="s">
        <v>606</v>
      </c>
      <c r="LUM337" s="42" t="s">
        <v>606</v>
      </c>
      <c r="LUN337" s="42" t="s">
        <v>606</v>
      </c>
      <c r="LUO337" s="42" t="s">
        <v>606</v>
      </c>
      <c r="LUP337" s="42" t="s">
        <v>606</v>
      </c>
      <c r="LUQ337" s="42" t="s">
        <v>606</v>
      </c>
      <c r="LUR337" s="42" t="s">
        <v>606</v>
      </c>
      <c r="LUS337" s="42" t="s">
        <v>606</v>
      </c>
      <c r="LUT337" s="42" t="s">
        <v>606</v>
      </c>
      <c r="LUU337" s="42" t="s">
        <v>606</v>
      </c>
      <c r="LUV337" s="42" t="s">
        <v>606</v>
      </c>
      <c r="LUW337" s="42" t="s">
        <v>606</v>
      </c>
      <c r="LUX337" s="42" t="s">
        <v>606</v>
      </c>
      <c r="LUY337" s="42" t="s">
        <v>606</v>
      </c>
      <c r="LUZ337" s="42" t="s">
        <v>606</v>
      </c>
      <c r="LVA337" s="42" t="s">
        <v>606</v>
      </c>
      <c r="LVB337" s="42" t="s">
        <v>606</v>
      </c>
      <c r="LVC337" s="42" t="s">
        <v>606</v>
      </c>
      <c r="LVD337" s="42" t="s">
        <v>606</v>
      </c>
      <c r="LVE337" s="42" t="s">
        <v>606</v>
      </c>
      <c r="LVF337" s="42" t="s">
        <v>606</v>
      </c>
      <c r="LVG337" s="42" t="s">
        <v>606</v>
      </c>
      <c r="LVH337" s="42" t="s">
        <v>606</v>
      </c>
      <c r="LVI337" s="42" t="s">
        <v>606</v>
      </c>
      <c r="LVJ337" s="42" t="s">
        <v>606</v>
      </c>
      <c r="LVK337" s="42" t="s">
        <v>606</v>
      </c>
      <c r="LVL337" s="42" t="s">
        <v>606</v>
      </c>
      <c r="LVM337" s="42" t="s">
        <v>606</v>
      </c>
      <c r="LVN337" s="42" t="s">
        <v>606</v>
      </c>
      <c r="LVO337" s="42" t="s">
        <v>606</v>
      </c>
      <c r="LVP337" s="42" t="s">
        <v>606</v>
      </c>
      <c r="LVQ337" s="42" t="s">
        <v>606</v>
      </c>
      <c r="LVR337" s="42" t="s">
        <v>606</v>
      </c>
      <c r="LVS337" s="42" t="s">
        <v>606</v>
      </c>
      <c r="LVT337" s="42" t="s">
        <v>606</v>
      </c>
      <c r="LVU337" s="42" t="s">
        <v>606</v>
      </c>
      <c r="LVV337" s="42" t="s">
        <v>606</v>
      </c>
      <c r="LVW337" s="42" t="s">
        <v>606</v>
      </c>
      <c r="LVX337" s="42" t="s">
        <v>606</v>
      </c>
      <c r="LVY337" s="42" t="s">
        <v>606</v>
      </c>
      <c r="LVZ337" s="42" t="s">
        <v>606</v>
      </c>
      <c r="LWA337" s="42" t="s">
        <v>606</v>
      </c>
      <c r="LWB337" s="42" t="s">
        <v>606</v>
      </c>
      <c r="LWC337" s="42" t="s">
        <v>606</v>
      </c>
      <c r="LWD337" s="42" t="s">
        <v>606</v>
      </c>
      <c r="LWE337" s="42" t="s">
        <v>606</v>
      </c>
      <c r="LWF337" s="42" t="s">
        <v>606</v>
      </c>
      <c r="LWG337" s="42" t="s">
        <v>606</v>
      </c>
      <c r="LWH337" s="42" t="s">
        <v>606</v>
      </c>
      <c r="LWI337" s="42" t="s">
        <v>606</v>
      </c>
      <c r="LWJ337" s="42" t="s">
        <v>606</v>
      </c>
      <c r="LWK337" s="42" t="s">
        <v>606</v>
      </c>
      <c r="LWL337" s="42" t="s">
        <v>606</v>
      </c>
      <c r="LWM337" s="42" t="s">
        <v>606</v>
      </c>
      <c r="LWN337" s="42" t="s">
        <v>606</v>
      </c>
      <c r="LWO337" s="42" t="s">
        <v>606</v>
      </c>
      <c r="LWP337" s="42" t="s">
        <v>606</v>
      </c>
      <c r="LWQ337" s="42" t="s">
        <v>606</v>
      </c>
      <c r="LWR337" s="42" t="s">
        <v>606</v>
      </c>
      <c r="LWS337" s="42" t="s">
        <v>606</v>
      </c>
      <c r="LWT337" s="42" t="s">
        <v>606</v>
      </c>
      <c r="LWU337" s="42" t="s">
        <v>606</v>
      </c>
      <c r="LWV337" s="42" t="s">
        <v>606</v>
      </c>
      <c r="LWW337" s="42" t="s">
        <v>606</v>
      </c>
      <c r="LWX337" s="42" t="s">
        <v>606</v>
      </c>
      <c r="LWY337" s="42" t="s">
        <v>606</v>
      </c>
      <c r="LWZ337" s="42" t="s">
        <v>606</v>
      </c>
      <c r="LXA337" s="42" t="s">
        <v>606</v>
      </c>
      <c r="LXB337" s="42" t="s">
        <v>606</v>
      </c>
      <c r="LXC337" s="42" t="s">
        <v>606</v>
      </c>
      <c r="LXD337" s="42" t="s">
        <v>606</v>
      </c>
      <c r="LXE337" s="42" t="s">
        <v>606</v>
      </c>
      <c r="LXF337" s="42" t="s">
        <v>606</v>
      </c>
      <c r="LXG337" s="42" t="s">
        <v>606</v>
      </c>
      <c r="LXH337" s="42" t="s">
        <v>606</v>
      </c>
      <c r="LXI337" s="42" t="s">
        <v>606</v>
      </c>
      <c r="LXJ337" s="42" t="s">
        <v>606</v>
      </c>
      <c r="LXK337" s="42" t="s">
        <v>606</v>
      </c>
      <c r="LXL337" s="42" t="s">
        <v>606</v>
      </c>
      <c r="LXM337" s="42" t="s">
        <v>606</v>
      </c>
      <c r="LXN337" s="42" t="s">
        <v>606</v>
      </c>
      <c r="LXO337" s="42" t="s">
        <v>606</v>
      </c>
      <c r="LXP337" s="42" t="s">
        <v>606</v>
      </c>
      <c r="LXQ337" s="42" t="s">
        <v>606</v>
      </c>
      <c r="LXR337" s="42" t="s">
        <v>606</v>
      </c>
      <c r="LXS337" s="42" t="s">
        <v>606</v>
      </c>
      <c r="LXT337" s="42" t="s">
        <v>606</v>
      </c>
      <c r="LXU337" s="42" t="s">
        <v>606</v>
      </c>
      <c r="LXV337" s="42" t="s">
        <v>606</v>
      </c>
      <c r="LXW337" s="42" t="s">
        <v>606</v>
      </c>
      <c r="LXX337" s="42" t="s">
        <v>606</v>
      </c>
      <c r="LXY337" s="42" t="s">
        <v>606</v>
      </c>
      <c r="LXZ337" s="42" t="s">
        <v>606</v>
      </c>
      <c r="LYA337" s="42" t="s">
        <v>606</v>
      </c>
      <c r="LYB337" s="42" t="s">
        <v>606</v>
      </c>
      <c r="LYC337" s="42" t="s">
        <v>606</v>
      </c>
      <c r="LYD337" s="42" t="s">
        <v>606</v>
      </c>
      <c r="LYE337" s="42" t="s">
        <v>606</v>
      </c>
      <c r="LYF337" s="42" t="s">
        <v>606</v>
      </c>
      <c r="LYG337" s="42" t="s">
        <v>606</v>
      </c>
      <c r="LYH337" s="42" t="s">
        <v>606</v>
      </c>
      <c r="LYI337" s="42" t="s">
        <v>606</v>
      </c>
      <c r="LYJ337" s="42" t="s">
        <v>606</v>
      </c>
      <c r="LYK337" s="42" t="s">
        <v>606</v>
      </c>
      <c r="LYL337" s="42" t="s">
        <v>606</v>
      </c>
      <c r="LYM337" s="42" t="s">
        <v>606</v>
      </c>
      <c r="LYN337" s="42" t="s">
        <v>606</v>
      </c>
      <c r="LYO337" s="42" t="s">
        <v>606</v>
      </c>
      <c r="LYP337" s="42" t="s">
        <v>606</v>
      </c>
      <c r="LYQ337" s="42" t="s">
        <v>606</v>
      </c>
      <c r="LYR337" s="42" t="s">
        <v>606</v>
      </c>
      <c r="LYS337" s="42" t="s">
        <v>606</v>
      </c>
      <c r="LYT337" s="42" t="s">
        <v>606</v>
      </c>
      <c r="LYU337" s="42" t="s">
        <v>606</v>
      </c>
      <c r="LYV337" s="42" t="s">
        <v>606</v>
      </c>
      <c r="LYW337" s="42" t="s">
        <v>606</v>
      </c>
      <c r="LYX337" s="42" t="s">
        <v>606</v>
      </c>
      <c r="LYY337" s="42" t="s">
        <v>606</v>
      </c>
      <c r="LYZ337" s="42" t="s">
        <v>606</v>
      </c>
      <c r="LZA337" s="42" t="s">
        <v>606</v>
      </c>
      <c r="LZB337" s="42" t="s">
        <v>606</v>
      </c>
      <c r="LZC337" s="42" t="s">
        <v>606</v>
      </c>
      <c r="LZD337" s="42" t="s">
        <v>606</v>
      </c>
      <c r="LZE337" s="42" t="s">
        <v>606</v>
      </c>
      <c r="LZF337" s="42" t="s">
        <v>606</v>
      </c>
      <c r="LZG337" s="42" t="s">
        <v>606</v>
      </c>
      <c r="LZH337" s="42" t="s">
        <v>606</v>
      </c>
      <c r="LZI337" s="42" t="s">
        <v>606</v>
      </c>
      <c r="LZJ337" s="42" t="s">
        <v>606</v>
      </c>
      <c r="LZK337" s="42" t="s">
        <v>606</v>
      </c>
      <c r="LZL337" s="42" t="s">
        <v>606</v>
      </c>
      <c r="LZM337" s="42" t="s">
        <v>606</v>
      </c>
      <c r="LZN337" s="42" t="s">
        <v>606</v>
      </c>
      <c r="LZO337" s="42" t="s">
        <v>606</v>
      </c>
      <c r="LZP337" s="42" t="s">
        <v>606</v>
      </c>
      <c r="LZQ337" s="42" t="s">
        <v>606</v>
      </c>
      <c r="LZR337" s="42" t="s">
        <v>606</v>
      </c>
      <c r="LZS337" s="42" t="s">
        <v>606</v>
      </c>
      <c r="LZT337" s="42" t="s">
        <v>606</v>
      </c>
      <c r="LZU337" s="42" t="s">
        <v>606</v>
      </c>
      <c r="LZV337" s="42" t="s">
        <v>606</v>
      </c>
      <c r="LZW337" s="42" t="s">
        <v>606</v>
      </c>
      <c r="LZX337" s="42" t="s">
        <v>606</v>
      </c>
      <c r="LZY337" s="42" t="s">
        <v>606</v>
      </c>
      <c r="LZZ337" s="42" t="s">
        <v>606</v>
      </c>
      <c r="MAA337" s="42" t="s">
        <v>606</v>
      </c>
      <c r="MAB337" s="42" t="s">
        <v>606</v>
      </c>
      <c r="MAC337" s="42" t="s">
        <v>606</v>
      </c>
      <c r="MAD337" s="42" t="s">
        <v>606</v>
      </c>
      <c r="MAE337" s="42" t="s">
        <v>606</v>
      </c>
      <c r="MAF337" s="42" t="s">
        <v>606</v>
      </c>
      <c r="MAG337" s="42" t="s">
        <v>606</v>
      </c>
      <c r="MAH337" s="42" t="s">
        <v>606</v>
      </c>
      <c r="MAI337" s="42" t="s">
        <v>606</v>
      </c>
      <c r="MAJ337" s="42" t="s">
        <v>606</v>
      </c>
      <c r="MAK337" s="42" t="s">
        <v>606</v>
      </c>
      <c r="MAL337" s="42" t="s">
        <v>606</v>
      </c>
      <c r="MAM337" s="42" t="s">
        <v>606</v>
      </c>
      <c r="MAN337" s="42" t="s">
        <v>606</v>
      </c>
      <c r="MAO337" s="42" t="s">
        <v>606</v>
      </c>
      <c r="MAP337" s="42" t="s">
        <v>606</v>
      </c>
      <c r="MAQ337" s="42" t="s">
        <v>606</v>
      </c>
      <c r="MAR337" s="42" t="s">
        <v>606</v>
      </c>
      <c r="MAS337" s="42" t="s">
        <v>606</v>
      </c>
      <c r="MAT337" s="42" t="s">
        <v>606</v>
      </c>
      <c r="MAU337" s="42" t="s">
        <v>606</v>
      </c>
      <c r="MAV337" s="42" t="s">
        <v>606</v>
      </c>
      <c r="MAW337" s="42" t="s">
        <v>606</v>
      </c>
      <c r="MAX337" s="42" t="s">
        <v>606</v>
      </c>
      <c r="MAY337" s="42" t="s">
        <v>606</v>
      </c>
      <c r="MAZ337" s="42" t="s">
        <v>606</v>
      </c>
      <c r="MBA337" s="42" t="s">
        <v>606</v>
      </c>
      <c r="MBB337" s="42" t="s">
        <v>606</v>
      </c>
      <c r="MBC337" s="42" t="s">
        <v>606</v>
      </c>
      <c r="MBD337" s="42" t="s">
        <v>606</v>
      </c>
      <c r="MBE337" s="42" t="s">
        <v>606</v>
      </c>
      <c r="MBF337" s="42" t="s">
        <v>606</v>
      </c>
      <c r="MBG337" s="42" t="s">
        <v>606</v>
      </c>
      <c r="MBH337" s="42" t="s">
        <v>606</v>
      </c>
      <c r="MBI337" s="42" t="s">
        <v>606</v>
      </c>
      <c r="MBJ337" s="42" t="s">
        <v>606</v>
      </c>
      <c r="MBK337" s="42" t="s">
        <v>606</v>
      </c>
      <c r="MBL337" s="42" t="s">
        <v>606</v>
      </c>
      <c r="MBM337" s="42" t="s">
        <v>606</v>
      </c>
      <c r="MBN337" s="42" t="s">
        <v>606</v>
      </c>
      <c r="MBO337" s="42" t="s">
        <v>606</v>
      </c>
      <c r="MBP337" s="42" t="s">
        <v>606</v>
      </c>
      <c r="MBQ337" s="42" t="s">
        <v>606</v>
      </c>
      <c r="MBR337" s="42" t="s">
        <v>606</v>
      </c>
      <c r="MBS337" s="42" t="s">
        <v>606</v>
      </c>
      <c r="MBT337" s="42" t="s">
        <v>606</v>
      </c>
      <c r="MBU337" s="42" t="s">
        <v>606</v>
      </c>
      <c r="MBV337" s="42" t="s">
        <v>606</v>
      </c>
      <c r="MBW337" s="42" t="s">
        <v>606</v>
      </c>
      <c r="MBX337" s="42" t="s">
        <v>606</v>
      </c>
      <c r="MBY337" s="42" t="s">
        <v>606</v>
      </c>
      <c r="MBZ337" s="42" t="s">
        <v>606</v>
      </c>
      <c r="MCA337" s="42" t="s">
        <v>606</v>
      </c>
      <c r="MCB337" s="42" t="s">
        <v>606</v>
      </c>
      <c r="MCC337" s="42" t="s">
        <v>606</v>
      </c>
      <c r="MCD337" s="42" t="s">
        <v>606</v>
      </c>
      <c r="MCE337" s="42" t="s">
        <v>606</v>
      </c>
      <c r="MCF337" s="42" t="s">
        <v>606</v>
      </c>
      <c r="MCG337" s="42" t="s">
        <v>606</v>
      </c>
      <c r="MCH337" s="42" t="s">
        <v>606</v>
      </c>
      <c r="MCI337" s="42" t="s">
        <v>606</v>
      </c>
      <c r="MCJ337" s="42" t="s">
        <v>606</v>
      </c>
      <c r="MCK337" s="42" t="s">
        <v>606</v>
      </c>
      <c r="MCL337" s="42" t="s">
        <v>606</v>
      </c>
      <c r="MCM337" s="42" t="s">
        <v>606</v>
      </c>
      <c r="MCN337" s="42" t="s">
        <v>606</v>
      </c>
      <c r="MCO337" s="42" t="s">
        <v>606</v>
      </c>
      <c r="MCP337" s="42" t="s">
        <v>606</v>
      </c>
      <c r="MCQ337" s="42" t="s">
        <v>606</v>
      </c>
      <c r="MCR337" s="42" t="s">
        <v>606</v>
      </c>
      <c r="MCS337" s="42" t="s">
        <v>606</v>
      </c>
      <c r="MCT337" s="42" t="s">
        <v>606</v>
      </c>
      <c r="MCU337" s="42" t="s">
        <v>606</v>
      </c>
      <c r="MCV337" s="42" t="s">
        <v>606</v>
      </c>
      <c r="MCW337" s="42" t="s">
        <v>606</v>
      </c>
      <c r="MCX337" s="42" t="s">
        <v>606</v>
      </c>
      <c r="MCY337" s="42" t="s">
        <v>606</v>
      </c>
      <c r="MCZ337" s="42" t="s">
        <v>606</v>
      </c>
      <c r="MDA337" s="42" t="s">
        <v>606</v>
      </c>
      <c r="MDB337" s="42" t="s">
        <v>606</v>
      </c>
      <c r="MDC337" s="42" t="s">
        <v>606</v>
      </c>
      <c r="MDD337" s="42" t="s">
        <v>606</v>
      </c>
      <c r="MDE337" s="42" t="s">
        <v>606</v>
      </c>
      <c r="MDF337" s="42" t="s">
        <v>606</v>
      </c>
      <c r="MDG337" s="42" t="s">
        <v>606</v>
      </c>
      <c r="MDH337" s="42" t="s">
        <v>606</v>
      </c>
      <c r="MDI337" s="42" t="s">
        <v>606</v>
      </c>
      <c r="MDJ337" s="42" t="s">
        <v>606</v>
      </c>
      <c r="MDK337" s="42" t="s">
        <v>606</v>
      </c>
      <c r="MDL337" s="42" t="s">
        <v>606</v>
      </c>
      <c r="MDM337" s="42" t="s">
        <v>606</v>
      </c>
      <c r="MDN337" s="42" t="s">
        <v>606</v>
      </c>
      <c r="MDO337" s="42" t="s">
        <v>606</v>
      </c>
      <c r="MDP337" s="42" t="s">
        <v>606</v>
      </c>
      <c r="MDQ337" s="42" t="s">
        <v>606</v>
      </c>
      <c r="MDR337" s="42" t="s">
        <v>606</v>
      </c>
      <c r="MDS337" s="42" t="s">
        <v>606</v>
      </c>
      <c r="MDT337" s="42" t="s">
        <v>606</v>
      </c>
      <c r="MDU337" s="42" t="s">
        <v>606</v>
      </c>
      <c r="MDV337" s="42" t="s">
        <v>606</v>
      </c>
      <c r="MDW337" s="42" t="s">
        <v>606</v>
      </c>
      <c r="MDX337" s="42" t="s">
        <v>606</v>
      </c>
      <c r="MDY337" s="42" t="s">
        <v>606</v>
      </c>
      <c r="MDZ337" s="42" t="s">
        <v>606</v>
      </c>
      <c r="MEA337" s="42" t="s">
        <v>606</v>
      </c>
      <c r="MEB337" s="42" t="s">
        <v>606</v>
      </c>
      <c r="MEC337" s="42" t="s">
        <v>606</v>
      </c>
      <c r="MED337" s="42" t="s">
        <v>606</v>
      </c>
      <c r="MEE337" s="42" t="s">
        <v>606</v>
      </c>
      <c r="MEF337" s="42" t="s">
        <v>606</v>
      </c>
      <c r="MEG337" s="42" t="s">
        <v>606</v>
      </c>
      <c r="MEH337" s="42" t="s">
        <v>606</v>
      </c>
      <c r="MEI337" s="42" t="s">
        <v>606</v>
      </c>
      <c r="MEJ337" s="42" t="s">
        <v>606</v>
      </c>
      <c r="MEK337" s="42" t="s">
        <v>606</v>
      </c>
      <c r="MEL337" s="42" t="s">
        <v>606</v>
      </c>
      <c r="MEM337" s="42" t="s">
        <v>606</v>
      </c>
      <c r="MEN337" s="42" t="s">
        <v>606</v>
      </c>
      <c r="MEO337" s="42" t="s">
        <v>606</v>
      </c>
      <c r="MEP337" s="42" t="s">
        <v>606</v>
      </c>
      <c r="MEQ337" s="42" t="s">
        <v>606</v>
      </c>
      <c r="MER337" s="42" t="s">
        <v>606</v>
      </c>
      <c r="MES337" s="42" t="s">
        <v>606</v>
      </c>
      <c r="MET337" s="42" t="s">
        <v>606</v>
      </c>
      <c r="MEU337" s="42" t="s">
        <v>606</v>
      </c>
      <c r="MEV337" s="42" t="s">
        <v>606</v>
      </c>
      <c r="MEW337" s="42" t="s">
        <v>606</v>
      </c>
      <c r="MEX337" s="42" t="s">
        <v>606</v>
      </c>
      <c r="MEY337" s="42" t="s">
        <v>606</v>
      </c>
      <c r="MEZ337" s="42" t="s">
        <v>606</v>
      </c>
      <c r="MFA337" s="42" t="s">
        <v>606</v>
      </c>
      <c r="MFB337" s="42" t="s">
        <v>606</v>
      </c>
      <c r="MFC337" s="42" t="s">
        <v>606</v>
      </c>
      <c r="MFD337" s="42" t="s">
        <v>606</v>
      </c>
      <c r="MFE337" s="42" t="s">
        <v>606</v>
      </c>
      <c r="MFF337" s="42" t="s">
        <v>606</v>
      </c>
      <c r="MFG337" s="42" t="s">
        <v>606</v>
      </c>
      <c r="MFH337" s="42" t="s">
        <v>606</v>
      </c>
      <c r="MFI337" s="42" t="s">
        <v>606</v>
      </c>
      <c r="MFJ337" s="42" t="s">
        <v>606</v>
      </c>
      <c r="MFK337" s="42" t="s">
        <v>606</v>
      </c>
      <c r="MFL337" s="42" t="s">
        <v>606</v>
      </c>
      <c r="MFM337" s="42" t="s">
        <v>606</v>
      </c>
      <c r="MFN337" s="42" t="s">
        <v>606</v>
      </c>
      <c r="MFO337" s="42" t="s">
        <v>606</v>
      </c>
      <c r="MFP337" s="42" t="s">
        <v>606</v>
      </c>
      <c r="MFQ337" s="42" t="s">
        <v>606</v>
      </c>
      <c r="MFR337" s="42" t="s">
        <v>606</v>
      </c>
      <c r="MFS337" s="42" t="s">
        <v>606</v>
      </c>
      <c r="MFT337" s="42" t="s">
        <v>606</v>
      </c>
      <c r="MFU337" s="42" t="s">
        <v>606</v>
      </c>
      <c r="MFV337" s="42" t="s">
        <v>606</v>
      </c>
      <c r="MFW337" s="42" t="s">
        <v>606</v>
      </c>
      <c r="MFX337" s="42" t="s">
        <v>606</v>
      </c>
      <c r="MFY337" s="42" t="s">
        <v>606</v>
      </c>
      <c r="MFZ337" s="42" t="s">
        <v>606</v>
      </c>
      <c r="MGA337" s="42" t="s">
        <v>606</v>
      </c>
      <c r="MGB337" s="42" t="s">
        <v>606</v>
      </c>
      <c r="MGC337" s="42" t="s">
        <v>606</v>
      </c>
      <c r="MGD337" s="42" t="s">
        <v>606</v>
      </c>
      <c r="MGE337" s="42" t="s">
        <v>606</v>
      </c>
      <c r="MGF337" s="42" t="s">
        <v>606</v>
      </c>
      <c r="MGG337" s="42" t="s">
        <v>606</v>
      </c>
      <c r="MGH337" s="42" t="s">
        <v>606</v>
      </c>
      <c r="MGI337" s="42" t="s">
        <v>606</v>
      </c>
      <c r="MGJ337" s="42" t="s">
        <v>606</v>
      </c>
      <c r="MGK337" s="42" t="s">
        <v>606</v>
      </c>
      <c r="MGL337" s="42" t="s">
        <v>606</v>
      </c>
      <c r="MGM337" s="42" t="s">
        <v>606</v>
      </c>
      <c r="MGN337" s="42" t="s">
        <v>606</v>
      </c>
      <c r="MGO337" s="42" t="s">
        <v>606</v>
      </c>
      <c r="MGP337" s="42" t="s">
        <v>606</v>
      </c>
      <c r="MGQ337" s="42" t="s">
        <v>606</v>
      </c>
      <c r="MGR337" s="42" t="s">
        <v>606</v>
      </c>
      <c r="MGS337" s="42" t="s">
        <v>606</v>
      </c>
      <c r="MGT337" s="42" t="s">
        <v>606</v>
      </c>
      <c r="MGU337" s="42" t="s">
        <v>606</v>
      </c>
      <c r="MGV337" s="42" t="s">
        <v>606</v>
      </c>
      <c r="MGW337" s="42" t="s">
        <v>606</v>
      </c>
      <c r="MGX337" s="42" t="s">
        <v>606</v>
      </c>
      <c r="MGY337" s="42" t="s">
        <v>606</v>
      </c>
      <c r="MGZ337" s="42" t="s">
        <v>606</v>
      </c>
      <c r="MHA337" s="42" t="s">
        <v>606</v>
      </c>
      <c r="MHB337" s="42" t="s">
        <v>606</v>
      </c>
      <c r="MHC337" s="42" t="s">
        <v>606</v>
      </c>
      <c r="MHD337" s="42" t="s">
        <v>606</v>
      </c>
      <c r="MHE337" s="42" t="s">
        <v>606</v>
      </c>
      <c r="MHF337" s="42" t="s">
        <v>606</v>
      </c>
      <c r="MHG337" s="42" t="s">
        <v>606</v>
      </c>
      <c r="MHH337" s="42" t="s">
        <v>606</v>
      </c>
      <c r="MHI337" s="42" t="s">
        <v>606</v>
      </c>
      <c r="MHJ337" s="42" t="s">
        <v>606</v>
      </c>
      <c r="MHK337" s="42" t="s">
        <v>606</v>
      </c>
      <c r="MHL337" s="42" t="s">
        <v>606</v>
      </c>
      <c r="MHM337" s="42" t="s">
        <v>606</v>
      </c>
      <c r="MHN337" s="42" t="s">
        <v>606</v>
      </c>
      <c r="MHO337" s="42" t="s">
        <v>606</v>
      </c>
      <c r="MHP337" s="42" t="s">
        <v>606</v>
      </c>
      <c r="MHQ337" s="42" t="s">
        <v>606</v>
      </c>
      <c r="MHR337" s="42" t="s">
        <v>606</v>
      </c>
      <c r="MHS337" s="42" t="s">
        <v>606</v>
      </c>
      <c r="MHT337" s="42" t="s">
        <v>606</v>
      </c>
      <c r="MHU337" s="42" t="s">
        <v>606</v>
      </c>
      <c r="MHV337" s="42" t="s">
        <v>606</v>
      </c>
      <c r="MHW337" s="42" t="s">
        <v>606</v>
      </c>
      <c r="MHX337" s="42" t="s">
        <v>606</v>
      </c>
      <c r="MHY337" s="42" t="s">
        <v>606</v>
      </c>
      <c r="MHZ337" s="42" t="s">
        <v>606</v>
      </c>
      <c r="MIA337" s="42" t="s">
        <v>606</v>
      </c>
      <c r="MIB337" s="42" t="s">
        <v>606</v>
      </c>
      <c r="MIC337" s="42" t="s">
        <v>606</v>
      </c>
      <c r="MID337" s="42" t="s">
        <v>606</v>
      </c>
      <c r="MIE337" s="42" t="s">
        <v>606</v>
      </c>
      <c r="MIF337" s="42" t="s">
        <v>606</v>
      </c>
      <c r="MIG337" s="42" t="s">
        <v>606</v>
      </c>
      <c r="MIH337" s="42" t="s">
        <v>606</v>
      </c>
      <c r="MII337" s="42" t="s">
        <v>606</v>
      </c>
      <c r="MIJ337" s="42" t="s">
        <v>606</v>
      </c>
      <c r="MIK337" s="42" t="s">
        <v>606</v>
      </c>
      <c r="MIL337" s="42" t="s">
        <v>606</v>
      </c>
      <c r="MIM337" s="42" t="s">
        <v>606</v>
      </c>
      <c r="MIN337" s="42" t="s">
        <v>606</v>
      </c>
      <c r="MIO337" s="42" t="s">
        <v>606</v>
      </c>
      <c r="MIP337" s="42" t="s">
        <v>606</v>
      </c>
      <c r="MIQ337" s="42" t="s">
        <v>606</v>
      </c>
      <c r="MIR337" s="42" t="s">
        <v>606</v>
      </c>
      <c r="MIS337" s="42" t="s">
        <v>606</v>
      </c>
      <c r="MIT337" s="42" t="s">
        <v>606</v>
      </c>
      <c r="MIU337" s="42" t="s">
        <v>606</v>
      </c>
      <c r="MIV337" s="42" t="s">
        <v>606</v>
      </c>
      <c r="MIW337" s="42" t="s">
        <v>606</v>
      </c>
      <c r="MIX337" s="42" t="s">
        <v>606</v>
      </c>
      <c r="MIY337" s="42" t="s">
        <v>606</v>
      </c>
      <c r="MIZ337" s="42" t="s">
        <v>606</v>
      </c>
      <c r="MJA337" s="42" t="s">
        <v>606</v>
      </c>
      <c r="MJB337" s="42" t="s">
        <v>606</v>
      </c>
      <c r="MJC337" s="42" t="s">
        <v>606</v>
      </c>
      <c r="MJD337" s="42" t="s">
        <v>606</v>
      </c>
      <c r="MJE337" s="42" t="s">
        <v>606</v>
      </c>
      <c r="MJF337" s="42" t="s">
        <v>606</v>
      </c>
      <c r="MJG337" s="42" t="s">
        <v>606</v>
      </c>
      <c r="MJH337" s="42" t="s">
        <v>606</v>
      </c>
      <c r="MJI337" s="42" t="s">
        <v>606</v>
      </c>
      <c r="MJJ337" s="42" t="s">
        <v>606</v>
      </c>
      <c r="MJK337" s="42" t="s">
        <v>606</v>
      </c>
      <c r="MJL337" s="42" t="s">
        <v>606</v>
      </c>
      <c r="MJM337" s="42" t="s">
        <v>606</v>
      </c>
      <c r="MJN337" s="42" t="s">
        <v>606</v>
      </c>
      <c r="MJO337" s="42" t="s">
        <v>606</v>
      </c>
      <c r="MJP337" s="42" t="s">
        <v>606</v>
      </c>
      <c r="MJQ337" s="42" t="s">
        <v>606</v>
      </c>
      <c r="MJR337" s="42" t="s">
        <v>606</v>
      </c>
      <c r="MJS337" s="42" t="s">
        <v>606</v>
      </c>
      <c r="MJT337" s="42" t="s">
        <v>606</v>
      </c>
      <c r="MJU337" s="42" t="s">
        <v>606</v>
      </c>
      <c r="MJV337" s="42" t="s">
        <v>606</v>
      </c>
      <c r="MJW337" s="42" t="s">
        <v>606</v>
      </c>
      <c r="MJX337" s="42" t="s">
        <v>606</v>
      </c>
      <c r="MJY337" s="42" t="s">
        <v>606</v>
      </c>
      <c r="MJZ337" s="42" t="s">
        <v>606</v>
      </c>
      <c r="MKA337" s="42" t="s">
        <v>606</v>
      </c>
      <c r="MKB337" s="42" t="s">
        <v>606</v>
      </c>
      <c r="MKC337" s="42" t="s">
        <v>606</v>
      </c>
      <c r="MKD337" s="42" t="s">
        <v>606</v>
      </c>
      <c r="MKE337" s="42" t="s">
        <v>606</v>
      </c>
      <c r="MKF337" s="42" t="s">
        <v>606</v>
      </c>
      <c r="MKG337" s="42" t="s">
        <v>606</v>
      </c>
      <c r="MKH337" s="42" t="s">
        <v>606</v>
      </c>
      <c r="MKI337" s="42" t="s">
        <v>606</v>
      </c>
      <c r="MKJ337" s="42" t="s">
        <v>606</v>
      </c>
      <c r="MKK337" s="42" t="s">
        <v>606</v>
      </c>
      <c r="MKL337" s="42" t="s">
        <v>606</v>
      </c>
      <c r="MKM337" s="42" t="s">
        <v>606</v>
      </c>
      <c r="MKN337" s="42" t="s">
        <v>606</v>
      </c>
      <c r="MKO337" s="42" t="s">
        <v>606</v>
      </c>
      <c r="MKP337" s="42" t="s">
        <v>606</v>
      </c>
      <c r="MKQ337" s="42" t="s">
        <v>606</v>
      </c>
      <c r="MKR337" s="42" t="s">
        <v>606</v>
      </c>
      <c r="MKS337" s="42" t="s">
        <v>606</v>
      </c>
      <c r="MKT337" s="42" t="s">
        <v>606</v>
      </c>
      <c r="MKU337" s="42" t="s">
        <v>606</v>
      </c>
      <c r="MKV337" s="42" t="s">
        <v>606</v>
      </c>
      <c r="MKW337" s="42" t="s">
        <v>606</v>
      </c>
      <c r="MKX337" s="42" t="s">
        <v>606</v>
      </c>
      <c r="MKY337" s="42" t="s">
        <v>606</v>
      </c>
      <c r="MKZ337" s="42" t="s">
        <v>606</v>
      </c>
      <c r="MLA337" s="42" t="s">
        <v>606</v>
      </c>
      <c r="MLB337" s="42" t="s">
        <v>606</v>
      </c>
      <c r="MLC337" s="42" t="s">
        <v>606</v>
      </c>
      <c r="MLD337" s="42" t="s">
        <v>606</v>
      </c>
      <c r="MLE337" s="42" t="s">
        <v>606</v>
      </c>
      <c r="MLF337" s="42" t="s">
        <v>606</v>
      </c>
      <c r="MLG337" s="42" t="s">
        <v>606</v>
      </c>
      <c r="MLH337" s="42" t="s">
        <v>606</v>
      </c>
      <c r="MLI337" s="42" t="s">
        <v>606</v>
      </c>
      <c r="MLJ337" s="42" t="s">
        <v>606</v>
      </c>
      <c r="MLK337" s="42" t="s">
        <v>606</v>
      </c>
      <c r="MLL337" s="42" t="s">
        <v>606</v>
      </c>
      <c r="MLM337" s="42" t="s">
        <v>606</v>
      </c>
      <c r="MLN337" s="42" t="s">
        <v>606</v>
      </c>
      <c r="MLO337" s="42" t="s">
        <v>606</v>
      </c>
      <c r="MLP337" s="42" t="s">
        <v>606</v>
      </c>
      <c r="MLQ337" s="42" t="s">
        <v>606</v>
      </c>
      <c r="MLR337" s="42" t="s">
        <v>606</v>
      </c>
      <c r="MLS337" s="42" t="s">
        <v>606</v>
      </c>
      <c r="MLT337" s="42" t="s">
        <v>606</v>
      </c>
      <c r="MLU337" s="42" t="s">
        <v>606</v>
      </c>
      <c r="MLV337" s="42" t="s">
        <v>606</v>
      </c>
      <c r="MLW337" s="42" t="s">
        <v>606</v>
      </c>
      <c r="MLX337" s="42" t="s">
        <v>606</v>
      </c>
      <c r="MLY337" s="42" t="s">
        <v>606</v>
      </c>
      <c r="MLZ337" s="42" t="s">
        <v>606</v>
      </c>
      <c r="MMA337" s="42" t="s">
        <v>606</v>
      </c>
      <c r="MMB337" s="42" t="s">
        <v>606</v>
      </c>
      <c r="MMC337" s="42" t="s">
        <v>606</v>
      </c>
      <c r="MMD337" s="42" t="s">
        <v>606</v>
      </c>
      <c r="MME337" s="42" t="s">
        <v>606</v>
      </c>
      <c r="MMF337" s="42" t="s">
        <v>606</v>
      </c>
      <c r="MMG337" s="42" t="s">
        <v>606</v>
      </c>
      <c r="MMH337" s="42" t="s">
        <v>606</v>
      </c>
      <c r="MMI337" s="42" t="s">
        <v>606</v>
      </c>
      <c r="MMJ337" s="42" t="s">
        <v>606</v>
      </c>
      <c r="MMK337" s="42" t="s">
        <v>606</v>
      </c>
      <c r="MML337" s="42" t="s">
        <v>606</v>
      </c>
      <c r="MMM337" s="42" t="s">
        <v>606</v>
      </c>
      <c r="MMN337" s="42" t="s">
        <v>606</v>
      </c>
      <c r="MMO337" s="42" t="s">
        <v>606</v>
      </c>
      <c r="MMP337" s="42" t="s">
        <v>606</v>
      </c>
      <c r="MMQ337" s="42" t="s">
        <v>606</v>
      </c>
      <c r="MMR337" s="42" t="s">
        <v>606</v>
      </c>
      <c r="MMS337" s="42" t="s">
        <v>606</v>
      </c>
      <c r="MMT337" s="42" t="s">
        <v>606</v>
      </c>
      <c r="MMU337" s="42" t="s">
        <v>606</v>
      </c>
      <c r="MMV337" s="42" t="s">
        <v>606</v>
      </c>
      <c r="MMW337" s="42" t="s">
        <v>606</v>
      </c>
      <c r="MMX337" s="42" t="s">
        <v>606</v>
      </c>
      <c r="MMY337" s="42" t="s">
        <v>606</v>
      </c>
      <c r="MMZ337" s="42" t="s">
        <v>606</v>
      </c>
      <c r="MNA337" s="42" t="s">
        <v>606</v>
      </c>
      <c r="MNB337" s="42" t="s">
        <v>606</v>
      </c>
      <c r="MNC337" s="42" t="s">
        <v>606</v>
      </c>
      <c r="MND337" s="42" t="s">
        <v>606</v>
      </c>
      <c r="MNE337" s="42" t="s">
        <v>606</v>
      </c>
      <c r="MNF337" s="42" t="s">
        <v>606</v>
      </c>
      <c r="MNG337" s="42" t="s">
        <v>606</v>
      </c>
      <c r="MNH337" s="42" t="s">
        <v>606</v>
      </c>
      <c r="MNI337" s="42" t="s">
        <v>606</v>
      </c>
      <c r="MNJ337" s="42" t="s">
        <v>606</v>
      </c>
      <c r="MNK337" s="42" t="s">
        <v>606</v>
      </c>
      <c r="MNL337" s="42" t="s">
        <v>606</v>
      </c>
      <c r="MNM337" s="42" t="s">
        <v>606</v>
      </c>
      <c r="MNN337" s="42" t="s">
        <v>606</v>
      </c>
      <c r="MNO337" s="42" t="s">
        <v>606</v>
      </c>
      <c r="MNP337" s="42" t="s">
        <v>606</v>
      </c>
      <c r="MNQ337" s="42" t="s">
        <v>606</v>
      </c>
      <c r="MNR337" s="42" t="s">
        <v>606</v>
      </c>
      <c r="MNS337" s="42" t="s">
        <v>606</v>
      </c>
      <c r="MNT337" s="42" t="s">
        <v>606</v>
      </c>
      <c r="MNU337" s="42" t="s">
        <v>606</v>
      </c>
      <c r="MNV337" s="42" t="s">
        <v>606</v>
      </c>
      <c r="MNW337" s="42" t="s">
        <v>606</v>
      </c>
      <c r="MNX337" s="42" t="s">
        <v>606</v>
      </c>
      <c r="MNY337" s="42" t="s">
        <v>606</v>
      </c>
      <c r="MNZ337" s="42" t="s">
        <v>606</v>
      </c>
      <c r="MOA337" s="42" t="s">
        <v>606</v>
      </c>
      <c r="MOB337" s="42" t="s">
        <v>606</v>
      </c>
      <c r="MOC337" s="42" t="s">
        <v>606</v>
      </c>
      <c r="MOD337" s="42" t="s">
        <v>606</v>
      </c>
      <c r="MOE337" s="42" t="s">
        <v>606</v>
      </c>
      <c r="MOF337" s="42" t="s">
        <v>606</v>
      </c>
      <c r="MOG337" s="42" t="s">
        <v>606</v>
      </c>
      <c r="MOH337" s="42" t="s">
        <v>606</v>
      </c>
      <c r="MOI337" s="42" t="s">
        <v>606</v>
      </c>
      <c r="MOJ337" s="42" t="s">
        <v>606</v>
      </c>
      <c r="MOK337" s="42" t="s">
        <v>606</v>
      </c>
      <c r="MOL337" s="42" t="s">
        <v>606</v>
      </c>
      <c r="MOM337" s="42" t="s">
        <v>606</v>
      </c>
      <c r="MON337" s="42" t="s">
        <v>606</v>
      </c>
      <c r="MOO337" s="42" t="s">
        <v>606</v>
      </c>
      <c r="MOP337" s="42" t="s">
        <v>606</v>
      </c>
      <c r="MOQ337" s="42" t="s">
        <v>606</v>
      </c>
      <c r="MOR337" s="42" t="s">
        <v>606</v>
      </c>
      <c r="MOS337" s="42" t="s">
        <v>606</v>
      </c>
      <c r="MOT337" s="42" t="s">
        <v>606</v>
      </c>
      <c r="MOU337" s="42" t="s">
        <v>606</v>
      </c>
      <c r="MOV337" s="42" t="s">
        <v>606</v>
      </c>
      <c r="MOW337" s="42" t="s">
        <v>606</v>
      </c>
      <c r="MOX337" s="42" t="s">
        <v>606</v>
      </c>
      <c r="MOY337" s="42" t="s">
        <v>606</v>
      </c>
      <c r="MOZ337" s="42" t="s">
        <v>606</v>
      </c>
      <c r="MPA337" s="42" t="s">
        <v>606</v>
      </c>
      <c r="MPB337" s="42" t="s">
        <v>606</v>
      </c>
      <c r="MPC337" s="42" t="s">
        <v>606</v>
      </c>
      <c r="MPD337" s="42" t="s">
        <v>606</v>
      </c>
      <c r="MPE337" s="42" t="s">
        <v>606</v>
      </c>
      <c r="MPF337" s="42" t="s">
        <v>606</v>
      </c>
      <c r="MPG337" s="42" t="s">
        <v>606</v>
      </c>
      <c r="MPH337" s="42" t="s">
        <v>606</v>
      </c>
      <c r="MPI337" s="42" t="s">
        <v>606</v>
      </c>
      <c r="MPJ337" s="42" t="s">
        <v>606</v>
      </c>
      <c r="MPK337" s="42" t="s">
        <v>606</v>
      </c>
      <c r="MPL337" s="42" t="s">
        <v>606</v>
      </c>
      <c r="MPM337" s="42" t="s">
        <v>606</v>
      </c>
      <c r="MPN337" s="42" t="s">
        <v>606</v>
      </c>
      <c r="MPO337" s="42" t="s">
        <v>606</v>
      </c>
      <c r="MPP337" s="42" t="s">
        <v>606</v>
      </c>
      <c r="MPQ337" s="42" t="s">
        <v>606</v>
      </c>
      <c r="MPR337" s="42" t="s">
        <v>606</v>
      </c>
      <c r="MPS337" s="42" t="s">
        <v>606</v>
      </c>
      <c r="MPT337" s="42" t="s">
        <v>606</v>
      </c>
      <c r="MPU337" s="42" t="s">
        <v>606</v>
      </c>
      <c r="MPV337" s="42" t="s">
        <v>606</v>
      </c>
      <c r="MPW337" s="42" t="s">
        <v>606</v>
      </c>
      <c r="MPX337" s="42" t="s">
        <v>606</v>
      </c>
      <c r="MPY337" s="42" t="s">
        <v>606</v>
      </c>
      <c r="MPZ337" s="42" t="s">
        <v>606</v>
      </c>
      <c r="MQA337" s="42" t="s">
        <v>606</v>
      </c>
      <c r="MQB337" s="42" t="s">
        <v>606</v>
      </c>
      <c r="MQC337" s="42" t="s">
        <v>606</v>
      </c>
      <c r="MQD337" s="42" t="s">
        <v>606</v>
      </c>
      <c r="MQE337" s="42" t="s">
        <v>606</v>
      </c>
      <c r="MQF337" s="42" t="s">
        <v>606</v>
      </c>
      <c r="MQG337" s="42" t="s">
        <v>606</v>
      </c>
      <c r="MQH337" s="42" t="s">
        <v>606</v>
      </c>
      <c r="MQI337" s="42" t="s">
        <v>606</v>
      </c>
      <c r="MQJ337" s="42" t="s">
        <v>606</v>
      </c>
      <c r="MQK337" s="42" t="s">
        <v>606</v>
      </c>
      <c r="MQL337" s="42" t="s">
        <v>606</v>
      </c>
      <c r="MQM337" s="42" t="s">
        <v>606</v>
      </c>
      <c r="MQN337" s="42" t="s">
        <v>606</v>
      </c>
      <c r="MQO337" s="42" t="s">
        <v>606</v>
      </c>
      <c r="MQP337" s="42" t="s">
        <v>606</v>
      </c>
      <c r="MQQ337" s="42" t="s">
        <v>606</v>
      </c>
      <c r="MQR337" s="42" t="s">
        <v>606</v>
      </c>
      <c r="MQS337" s="42" t="s">
        <v>606</v>
      </c>
      <c r="MQT337" s="42" t="s">
        <v>606</v>
      </c>
      <c r="MQU337" s="42" t="s">
        <v>606</v>
      </c>
      <c r="MQV337" s="42" t="s">
        <v>606</v>
      </c>
      <c r="MQW337" s="42" t="s">
        <v>606</v>
      </c>
      <c r="MQX337" s="42" t="s">
        <v>606</v>
      </c>
      <c r="MQY337" s="42" t="s">
        <v>606</v>
      </c>
      <c r="MQZ337" s="42" t="s">
        <v>606</v>
      </c>
      <c r="MRA337" s="42" t="s">
        <v>606</v>
      </c>
      <c r="MRB337" s="42" t="s">
        <v>606</v>
      </c>
      <c r="MRC337" s="42" t="s">
        <v>606</v>
      </c>
      <c r="MRD337" s="42" t="s">
        <v>606</v>
      </c>
      <c r="MRE337" s="42" t="s">
        <v>606</v>
      </c>
      <c r="MRF337" s="42" t="s">
        <v>606</v>
      </c>
      <c r="MRG337" s="42" t="s">
        <v>606</v>
      </c>
      <c r="MRH337" s="42" t="s">
        <v>606</v>
      </c>
      <c r="MRI337" s="42" t="s">
        <v>606</v>
      </c>
      <c r="MRJ337" s="42" t="s">
        <v>606</v>
      </c>
      <c r="MRK337" s="42" t="s">
        <v>606</v>
      </c>
      <c r="MRL337" s="42" t="s">
        <v>606</v>
      </c>
      <c r="MRM337" s="42" t="s">
        <v>606</v>
      </c>
      <c r="MRN337" s="42" t="s">
        <v>606</v>
      </c>
      <c r="MRO337" s="42" t="s">
        <v>606</v>
      </c>
      <c r="MRP337" s="42" t="s">
        <v>606</v>
      </c>
      <c r="MRQ337" s="42" t="s">
        <v>606</v>
      </c>
      <c r="MRR337" s="42" t="s">
        <v>606</v>
      </c>
      <c r="MRS337" s="42" t="s">
        <v>606</v>
      </c>
      <c r="MRT337" s="42" t="s">
        <v>606</v>
      </c>
      <c r="MRU337" s="42" t="s">
        <v>606</v>
      </c>
      <c r="MRV337" s="42" t="s">
        <v>606</v>
      </c>
      <c r="MRW337" s="42" t="s">
        <v>606</v>
      </c>
      <c r="MRX337" s="42" t="s">
        <v>606</v>
      </c>
      <c r="MRY337" s="42" t="s">
        <v>606</v>
      </c>
      <c r="MRZ337" s="42" t="s">
        <v>606</v>
      </c>
      <c r="MSA337" s="42" t="s">
        <v>606</v>
      </c>
      <c r="MSB337" s="42" t="s">
        <v>606</v>
      </c>
      <c r="MSC337" s="42" t="s">
        <v>606</v>
      </c>
      <c r="MSD337" s="42" t="s">
        <v>606</v>
      </c>
      <c r="MSE337" s="42" t="s">
        <v>606</v>
      </c>
      <c r="MSF337" s="42" t="s">
        <v>606</v>
      </c>
      <c r="MSG337" s="42" t="s">
        <v>606</v>
      </c>
      <c r="MSH337" s="42" t="s">
        <v>606</v>
      </c>
      <c r="MSI337" s="42" t="s">
        <v>606</v>
      </c>
      <c r="MSJ337" s="42" t="s">
        <v>606</v>
      </c>
      <c r="MSK337" s="42" t="s">
        <v>606</v>
      </c>
      <c r="MSL337" s="42" t="s">
        <v>606</v>
      </c>
      <c r="MSM337" s="42" t="s">
        <v>606</v>
      </c>
      <c r="MSN337" s="42" t="s">
        <v>606</v>
      </c>
      <c r="MSO337" s="42" t="s">
        <v>606</v>
      </c>
      <c r="MSP337" s="42" t="s">
        <v>606</v>
      </c>
      <c r="MSQ337" s="42" t="s">
        <v>606</v>
      </c>
      <c r="MSR337" s="42" t="s">
        <v>606</v>
      </c>
      <c r="MSS337" s="42" t="s">
        <v>606</v>
      </c>
      <c r="MST337" s="42" t="s">
        <v>606</v>
      </c>
      <c r="MSU337" s="42" t="s">
        <v>606</v>
      </c>
      <c r="MSV337" s="42" t="s">
        <v>606</v>
      </c>
      <c r="MSW337" s="42" t="s">
        <v>606</v>
      </c>
      <c r="MSX337" s="42" t="s">
        <v>606</v>
      </c>
      <c r="MSY337" s="42" t="s">
        <v>606</v>
      </c>
      <c r="MSZ337" s="42" t="s">
        <v>606</v>
      </c>
      <c r="MTA337" s="42" t="s">
        <v>606</v>
      </c>
      <c r="MTB337" s="42" t="s">
        <v>606</v>
      </c>
      <c r="MTC337" s="42" t="s">
        <v>606</v>
      </c>
      <c r="MTD337" s="42" t="s">
        <v>606</v>
      </c>
      <c r="MTE337" s="42" t="s">
        <v>606</v>
      </c>
      <c r="MTF337" s="42" t="s">
        <v>606</v>
      </c>
      <c r="MTG337" s="42" t="s">
        <v>606</v>
      </c>
      <c r="MTH337" s="42" t="s">
        <v>606</v>
      </c>
      <c r="MTI337" s="42" t="s">
        <v>606</v>
      </c>
      <c r="MTJ337" s="42" t="s">
        <v>606</v>
      </c>
      <c r="MTK337" s="42" t="s">
        <v>606</v>
      </c>
      <c r="MTL337" s="42" t="s">
        <v>606</v>
      </c>
      <c r="MTM337" s="42" t="s">
        <v>606</v>
      </c>
      <c r="MTN337" s="42" t="s">
        <v>606</v>
      </c>
      <c r="MTO337" s="42" t="s">
        <v>606</v>
      </c>
      <c r="MTP337" s="42" t="s">
        <v>606</v>
      </c>
      <c r="MTQ337" s="42" t="s">
        <v>606</v>
      </c>
      <c r="MTR337" s="42" t="s">
        <v>606</v>
      </c>
      <c r="MTS337" s="42" t="s">
        <v>606</v>
      </c>
      <c r="MTT337" s="42" t="s">
        <v>606</v>
      </c>
      <c r="MTU337" s="42" t="s">
        <v>606</v>
      </c>
      <c r="MTV337" s="42" t="s">
        <v>606</v>
      </c>
      <c r="MTW337" s="42" t="s">
        <v>606</v>
      </c>
      <c r="MTX337" s="42" t="s">
        <v>606</v>
      </c>
      <c r="MTY337" s="42" t="s">
        <v>606</v>
      </c>
      <c r="MTZ337" s="42" t="s">
        <v>606</v>
      </c>
      <c r="MUA337" s="42" t="s">
        <v>606</v>
      </c>
      <c r="MUB337" s="42" t="s">
        <v>606</v>
      </c>
      <c r="MUC337" s="42" t="s">
        <v>606</v>
      </c>
      <c r="MUD337" s="42" t="s">
        <v>606</v>
      </c>
      <c r="MUE337" s="42" t="s">
        <v>606</v>
      </c>
      <c r="MUF337" s="42" t="s">
        <v>606</v>
      </c>
      <c r="MUG337" s="42" t="s">
        <v>606</v>
      </c>
      <c r="MUH337" s="42" t="s">
        <v>606</v>
      </c>
      <c r="MUI337" s="42" t="s">
        <v>606</v>
      </c>
      <c r="MUJ337" s="42" t="s">
        <v>606</v>
      </c>
      <c r="MUK337" s="42" t="s">
        <v>606</v>
      </c>
      <c r="MUL337" s="42" t="s">
        <v>606</v>
      </c>
      <c r="MUM337" s="42" t="s">
        <v>606</v>
      </c>
      <c r="MUN337" s="42" t="s">
        <v>606</v>
      </c>
      <c r="MUO337" s="42" t="s">
        <v>606</v>
      </c>
      <c r="MUP337" s="42" t="s">
        <v>606</v>
      </c>
      <c r="MUQ337" s="42" t="s">
        <v>606</v>
      </c>
      <c r="MUR337" s="42" t="s">
        <v>606</v>
      </c>
      <c r="MUS337" s="42" t="s">
        <v>606</v>
      </c>
      <c r="MUT337" s="42" t="s">
        <v>606</v>
      </c>
      <c r="MUU337" s="42" t="s">
        <v>606</v>
      </c>
      <c r="MUV337" s="42" t="s">
        <v>606</v>
      </c>
      <c r="MUW337" s="42" t="s">
        <v>606</v>
      </c>
      <c r="MUX337" s="42" t="s">
        <v>606</v>
      </c>
      <c r="MUY337" s="42" t="s">
        <v>606</v>
      </c>
      <c r="MUZ337" s="42" t="s">
        <v>606</v>
      </c>
      <c r="MVA337" s="42" t="s">
        <v>606</v>
      </c>
      <c r="MVB337" s="42" t="s">
        <v>606</v>
      </c>
      <c r="MVC337" s="42" t="s">
        <v>606</v>
      </c>
      <c r="MVD337" s="42" t="s">
        <v>606</v>
      </c>
      <c r="MVE337" s="42" t="s">
        <v>606</v>
      </c>
      <c r="MVF337" s="42" t="s">
        <v>606</v>
      </c>
      <c r="MVG337" s="42" t="s">
        <v>606</v>
      </c>
      <c r="MVH337" s="42" t="s">
        <v>606</v>
      </c>
      <c r="MVI337" s="42" t="s">
        <v>606</v>
      </c>
      <c r="MVJ337" s="42" t="s">
        <v>606</v>
      </c>
      <c r="MVK337" s="42" t="s">
        <v>606</v>
      </c>
      <c r="MVL337" s="42" t="s">
        <v>606</v>
      </c>
      <c r="MVM337" s="42" t="s">
        <v>606</v>
      </c>
      <c r="MVN337" s="42" t="s">
        <v>606</v>
      </c>
      <c r="MVO337" s="42" t="s">
        <v>606</v>
      </c>
      <c r="MVP337" s="42" t="s">
        <v>606</v>
      </c>
      <c r="MVQ337" s="42" t="s">
        <v>606</v>
      </c>
      <c r="MVR337" s="42" t="s">
        <v>606</v>
      </c>
      <c r="MVS337" s="42" t="s">
        <v>606</v>
      </c>
      <c r="MVT337" s="42" t="s">
        <v>606</v>
      </c>
      <c r="MVU337" s="42" t="s">
        <v>606</v>
      </c>
      <c r="MVV337" s="42" t="s">
        <v>606</v>
      </c>
      <c r="MVW337" s="42" t="s">
        <v>606</v>
      </c>
      <c r="MVX337" s="42" t="s">
        <v>606</v>
      </c>
      <c r="MVY337" s="42" t="s">
        <v>606</v>
      </c>
      <c r="MVZ337" s="42" t="s">
        <v>606</v>
      </c>
      <c r="MWA337" s="42" t="s">
        <v>606</v>
      </c>
      <c r="MWB337" s="42" t="s">
        <v>606</v>
      </c>
      <c r="MWC337" s="42" t="s">
        <v>606</v>
      </c>
      <c r="MWD337" s="42" t="s">
        <v>606</v>
      </c>
      <c r="MWE337" s="42" t="s">
        <v>606</v>
      </c>
      <c r="MWF337" s="42" t="s">
        <v>606</v>
      </c>
      <c r="MWG337" s="42" t="s">
        <v>606</v>
      </c>
      <c r="MWH337" s="42" t="s">
        <v>606</v>
      </c>
      <c r="MWI337" s="42" t="s">
        <v>606</v>
      </c>
      <c r="MWJ337" s="42" t="s">
        <v>606</v>
      </c>
      <c r="MWK337" s="42" t="s">
        <v>606</v>
      </c>
      <c r="MWL337" s="42" t="s">
        <v>606</v>
      </c>
      <c r="MWM337" s="42" t="s">
        <v>606</v>
      </c>
      <c r="MWN337" s="42" t="s">
        <v>606</v>
      </c>
      <c r="MWO337" s="42" t="s">
        <v>606</v>
      </c>
      <c r="MWP337" s="42" t="s">
        <v>606</v>
      </c>
      <c r="MWQ337" s="42" t="s">
        <v>606</v>
      </c>
      <c r="MWR337" s="42" t="s">
        <v>606</v>
      </c>
      <c r="MWS337" s="42" t="s">
        <v>606</v>
      </c>
      <c r="MWT337" s="42" t="s">
        <v>606</v>
      </c>
      <c r="MWU337" s="42" t="s">
        <v>606</v>
      </c>
      <c r="MWV337" s="42" t="s">
        <v>606</v>
      </c>
      <c r="MWW337" s="42" t="s">
        <v>606</v>
      </c>
      <c r="MWX337" s="42" t="s">
        <v>606</v>
      </c>
      <c r="MWY337" s="42" t="s">
        <v>606</v>
      </c>
      <c r="MWZ337" s="42" t="s">
        <v>606</v>
      </c>
      <c r="MXA337" s="42" t="s">
        <v>606</v>
      </c>
      <c r="MXB337" s="42" t="s">
        <v>606</v>
      </c>
      <c r="MXC337" s="42" t="s">
        <v>606</v>
      </c>
      <c r="MXD337" s="42" t="s">
        <v>606</v>
      </c>
      <c r="MXE337" s="42" t="s">
        <v>606</v>
      </c>
      <c r="MXF337" s="42" t="s">
        <v>606</v>
      </c>
      <c r="MXG337" s="42" t="s">
        <v>606</v>
      </c>
      <c r="MXH337" s="42" t="s">
        <v>606</v>
      </c>
      <c r="MXI337" s="42" t="s">
        <v>606</v>
      </c>
      <c r="MXJ337" s="42" t="s">
        <v>606</v>
      </c>
      <c r="MXK337" s="42" t="s">
        <v>606</v>
      </c>
      <c r="MXL337" s="42" t="s">
        <v>606</v>
      </c>
      <c r="MXM337" s="42" t="s">
        <v>606</v>
      </c>
      <c r="MXN337" s="42" t="s">
        <v>606</v>
      </c>
      <c r="MXO337" s="42" t="s">
        <v>606</v>
      </c>
      <c r="MXP337" s="42" t="s">
        <v>606</v>
      </c>
      <c r="MXQ337" s="42" t="s">
        <v>606</v>
      </c>
      <c r="MXR337" s="42" t="s">
        <v>606</v>
      </c>
      <c r="MXS337" s="42" t="s">
        <v>606</v>
      </c>
      <c r="MXT337" s="42" t="s">
        <v>606</v>
      </c>
      <c r="MXU337" s="42" t="s">
        <v>606</v>
      </c>
      <c r="MXV337" s="42" t="s">
        <v>606</v>
      </c>
      <c r="MXW337" s="42" t="s">
        <v>606</v>
      </c>
      <c r="MXX337" s="42" t="s">
        <v>606</v>
      </c>
      <c r="MXY337" s="42" t="s">
        <v>606</v>
      </c>
      <c r="MXZ337" s="42" t="s">
        <v>606</v>
      </c>
      <c r="MYA337" s="42" t="s">
        <v>606</v>
      </c>
      <c r="MYB337" s="42" t="s">
        <v>606</v>
      </c>
      <c r="MYC337" s="42" t="s">
        <v>606</v>
      </c>
      <c r="MYD337" s="42" t="s">
        <v>606</v>
      </c>
      <c r="MYE337" s="42" t="s">
        <v>606</v>
      </c>
      <c r="MYF337" s="42" t="s">
        <v>606</v>
      </c>
      <c r="MYG337" s="42" t="s">
        <v>606</v>
      </c>
      <c r="MYH337" s="42" t="s">
        <v>606</v>
      </c>
      <c r="MYI337" s="42" t="s">
        <v>606</v>
      </c>
      <c r="MYJ337" s="42" t="s">
        <v>606</v>
      </c>
      <c r="MYK337" s="42" t="s">
        <v>606</v>
      </c>
      <c r="MYL337" s="42" t="s">
        <v>606</v>
      </c>
      <c r="MYM337" s="42" t="s">
        <v>606</v>
      </c>
      <c r="MYN337" s="42" t="s">
        <v>606</v>
      </c>
      <c r="MYO337" s="42" t="s">
        <v>606</v>
      </c>
      <c r="MYP337" s="42" t="s">
        <v>606</v>
      </c>
      <c r="MYQ337" s="42" t="s">
        <v>606</v>
      </c>
      <c r="MYR337" s="42" t="s">
        <v>606</v>
      </c>
      <c r="MYS337" s="42" t="s">
        <v>606</v>
      </c>
      <c r="MYT337" s="42" t="s">
        <v>606</v>
      </c>
      <c r="MYU337" s="42" t="s">
        <v>606</v>
      </c>
      <c r="MYV337" s="42" t="s">
        <v>606</v>
      </c>
      <c r="MYW337" s="42" t="s">
        <v>606</v>
      </c>
      <c r="MYX337" s="42" t="s">
        <v>606</v>
      </c>
      <c r="MYY337" s="42" t="s">
        <v>606</v>
      </c>
      <c r="MYZ337" s="42" t="s">
        <v>606</v>
      </c>
      <c r="MZA337" s="42" t="s">
        <v>606</v>
      </c>
      <c r="MZB337" s="42" t="s">
        <v>606</v>
      </c>
      <c r="MZC337" s="42" t="s">
        <v>606</v>
      </c>
      <c r="MZD337" s="42" t="s">
        <v>606</v>
      </c>
      <c r="MZE337" s="42" t="s">
        <v>606</v>
      </c>
      <c r="MZF337" s="42" t="s">
        <v>606</v>
      </c>
      <c r="MZG337" s="42" t="s">
        <v>606</v>
      </c>
      <c r="MZH337" s="42" t="s">
        <v>606</v>
      </c>
      <c r="MZI337" s="42" t="s">
        <v>606</v>
      </c>
      <c r="MZJ337" s="42" t="s">
        <v>606</v>
      </c>
      <c r="MZK337" s="42" t="s">
        <v>606</v>
      </c>
      <c r="MZL337" s="42" t="s">
        <v>606</v>
      </c>
      <c r="MZM337" s="42" t="s">
        <v>606</v>
      </c>
      <c r="MZN337" s="42" t="s">
        <v>606</v>
      </c>
      <c r="MZO337" s="42" t="s">
        <v>606</v>
      </c>
      <c r="MZP337" s="42" t="s">
        <v>606</v>
      </c>
      <c r="MZQ337" s="42" t="s">
        <v>606</v>
      </c>
      <c r="MZR337" s="42" t="s">
        <v>606</v>
      </c>
      <c r="MZS337" s="42" t="s">
        <v>606</v>
      </c>
      <c r="MZT337" s="42" t="s">
        <v>606</v>
      </c>
      <c r="MZU337" s="42" t="s">
        <v>606</v>
      </c>
      <c r="MZV337" s="42" t="s">
        <v>606</v>
      </c>
      <c r="MZW337" s="42" t="s">
        <v>606</v>
      </c>
      <c r="MZX337" s="42" t="s">
        <v>606</v>
      </c>
      <c r="MZY337" s="42" t="s">
        <v>606</v>
      </c>
      <c r="MZZ337" s="42" t="s">
        <v>606</v>
      </c>
      <c r="NAA337" s="42" t="s">
        <v>606</v>
      </c>
      <c r="NAB337" s="42" t="s">
        <v>606</v>
      </c>
      <c r="NAC337" s="42" t="s">
        <v>606</v>
      </c>
      <c r="NAD337" s="42" t="s">
        <v>606</v>
      </c>
      <c r="NAE337" s="42" t="s">
        <v>606</v>
      </c>
      <c r="NAF337" s="42" t="s">
        <v>606</v>
      </c>
      <c r="NAG337" s="42" t="s">
        <v>606</v>
      </c>
      <c r="NAH337" s="42" t="s">
        <v>606</v>
      </c>
      <c r="NAI337" s="42" t="s">
        <v>606</v>
      </c>
      <c r="NAJ337" s="42" t="s">
        <v>606</v>
      </c>
      <c r="NAK337" s="42" t="s">
        <v>606</v>
      </c>
      <c r="NAL337" s="42" t="s">
        <v>606</v>
      </c>
      <c r="NAM337" s="42" t="s">
        <v>606</v>
      </c>
      <c r="NAN337" s="42" t="s">
        <v>606</v>
      </c>
      <c r="NAO337" s="42" t="s">
        <v>606</v>
      </c>
      <c r="NAP337" s="42" t="s">
        <v>606</v>
      </c>
      <c r="NAQ337" s="42" t="s">
        <v>606</v>
      </c>
      <c r="NAR337" s="42" t="s">
        <v>606</v>
      </c>
      <c r="NAS337" s="42" t="s">
        <v>606</v>
      </c>
      <c r="NAT337" s="42" t="s">
        <v>606</v>
      </c>
      <c r="NAU337" s="42" t="s">
        <v>606</v>
      </c>
      <c r="NAV337" s="42" t="s">
        <v>606</v>
      </c>
      <c r="NAW337" s="42" t="s">
        <v>606</v>
      </c>
      <c r="NAX337" s="42" t="s">
        <v>606</v>
      </c>
      <c r="NAY337" s="42" t="s">
        <v>606</v>
      </c>
      <c r="NAZ337" s="42" t="s">
        <v>606</v>
      </c>
      <c r="NBA337" s="42" t="s">
        <v>606</v>
      </c>
      <c r="NBB337" s="42" t="s">
        <v>606</v>
      </c>
      <c r="NBC337" s="42" t="s">
        <v>606</v>
      </c>
      <c r="NBD337" s="42" t="s">
        <v>606</v>
      </c>
      <c r="NBE337" s="42" t="s">
        <v>606</v>
      </c>
      <c r="NBF337" s="42" t="s">
        <v>606</v>
      </c>
      <c r="NBG337" s="42" t="s">
        <v>606</v>
      </c>
      <c r="NBH337" s="42" t="s">
        <v>606</v>
      </c>
      <c r="NBI337" s="42" t="s">
        <v>606</v>
      </c>
      <c r="NBJ337" s="42" t="s">
        <v>606</v>
      </c>
      <c r="NBK337" s="42" t="s">
        <v>606</v>
      </c>
      <c r="NBL337" s="42" t="s">
        <v>606</v>
      </c>
      <c r="NBM337" s="42" t="s">
        <v>606</v>
      </c>
      <c r="NBN337" s="42" t="s">
        <v>606</v>
      </c>
      <c r="NBO337" s="42" t="s">
        <v>606</v>
      </c>
      <c r="NBP337" s="42" t="s">
        <v>606</v>
      </c>
      <c r="NBQ337" s="42" t="s">
        <v>606</v>
      </c>
      <c r="NBR337" s="42" t="s">
        <v>606</v>
      </c>
      <c r="NBS337" s="42" t="s">
        <v>606</v>
      </c>
      <c r="NBT337" s="42" t="s">
        <v>606</v>
      </c>
      <c r="NBU337" s="42" t="s">
        <v>606</v>
      </c>
      <c r="NBV337" s="42" t="s">
        <v>606</v>
      </c>
      <c r="NBW337" s="42" t="s">
        <v>606</v>
      </c>
      <c r="NBX337" s="42" t="s">
        <v>606</v>
      </c>
      <c r="NBY337" s="42" t="s">
        <v>606</v>
      </c>
      <c r="NBZ337" s="42" t="s">
        <v>606</v>
      </c>
      <c r="NCA337" s="42" t="s">
        <v>606</v>
      </c>
      <c r="NCB337" s="42" t="s">
        <v>606</v>
      </c>
      <c r="NCC337" s="42" t="s">
        <v>606</v>
      </c>
      <c r="NCD337" s="42" t="s">
        <v>606</v>
      </c>
      <c r="NCE337" s="42" t="s">
        <v>606</v>
      </c>
      <c r="NCF337" s="42" t="s">
        <v>606</v>
      </c>
      <c r="NCG337" s="42" t="s">
        <v>606</v>
      </c>
      <c r="NCH337" s="42" t="s">
        <v>606</v>
      </c>
      <c r="NCI337" s="42" t="s">
        <v>606</v>
      </c>
      <c r="NCJ337" s="42" t="s">
        <v>606</v>
      </c>
      <c r="NCK337" s="42" t="s">
        <v>606</v>
      </c>
      <c r="NCL337" s="42" t="s">
        <v>606</v>
      </c>
      <c r="NCM337" s="42" t="s">
        <v>606</v>
      </c>
      <c r="NCN337" s="42" t="s">
        <v>606</v>
      </c>
      <c r="NCO337" s="42" t="s">
        <v>606</v>
      </c>
      <c r="NCP337" s="42" t="s">
        <v>606</v>
      </c>
      <c r="NCQ337" s="42" t="s">
        <v>606</v>
      </c>
      <c r="NCR337" s="42" t="s">
        <v>606</v>
      </c>
      <c r="NCS337" s="42" t="s">
        <v>606</v>
      </c>
      <c r="NCT337" s="42" t="s">
        <v>606</v>
      </c>
      <c r="NCU337" s="42" t="s">
        <v>606</v>
      </c>
      <c r="NCV337" s="42" t="s">
        <v>606</v>
      </c>
      <c r="NCW337" s="42" t="s">
        <v>606</v>
      </c>
      <c r="NCX337" s="42" t="s">
        <v>606</v>
      </c>
      <c r="NCY337" s="42" t="s">
        <v>606</v>
      </c>
      <c r="NCZ337" s="42" t="s">
        <v>606</v>
      </c>
      <c r="NDA337" s="42" t="s">
        <v>606</v>
      </c>
      <c r="NDB337" s="42" t="s">
        <v>606</v>
      </c>
      <c r="NDC337" s="42" t="s">
        <v>606</v>
      </c>
      <c r="NDD337" s="42" t="s">
        <v>606</v>
      </c>
      <c r="NDE337" s="42" t="s">
        <v>606</v>
      </c>
      <c r="NDF337" s="42" t="s">
        <v>606</v>
      </c>
      <c r="NDG337" s="42" t="s">
        <v>606</v>
      </c>
      <c r="NDH337" s="42" t="s">
        <v>606</v>
      </c>
      <c r="NDI337" s="42" t="s">
        <v>606</v>
      </c>
      <c r="NDJ337" s="42" t="s">
        <v>606</v>
      </c>
      <c r="NDK337" s="42" t="s">
        <v>606</v>
      </c>
      <c r="NDL337" s="42" t="s">
        <v>606</v>
      </c>
      <c r="NDM337" s="42" t="s">
        <v>606</v>
      </c>
      <c r="NDN337" s="42" t="s">
        <v>606</v>
      </c>
      <c r="NDO337" s="42" t="s">
        <v>606</v>
      </c>
      <c r="NDP337" s="42" t="s">
        <v>606</v>
      </c>
      <c r="NDQ337" s="42" t="s">
        <v>606</v>
      </c>
      <c r="NDR337" s="42" t="s">
        <v>606</v>
      </c>
      <c r="NDS337" s="42" t="s">
        <v>606</v>
      </c>
      <c r="NDT337" s="42" t="s">
        <v>606</v>
      </c>
      <c r="NDU337" s="42" t="s">
        <v>606</v>
      </c>
      <c r="NDV337" s="42" t="s">
        <v>606</v>
      </c>
      <c r="NDW337" s="42" t="s">
        <v>606</v>
      </c>
      <c r="NDX337" s="42" t="s">
        <v>606</v>
      </c>
      <c r="NDY337" s="42" t="s">
        <v>606</v>
      </c>
      <c r="NDZ337" s="42" t="s">
        <v>606</v>
      </c>
      <c r="NEA337" s="42" t="s">
        <v>606</v>
      </c>
      <c r="NEB337" s="42" t="s">
        <v>606</v>
      </c>
      <c r="NEC337" s="42" t="s">
        <v>606</v>
      </c>
      <c r="NED337" s="42" t="s">
        <v>606</v>
      </c>
      <c r="NEE337" s="42" t="s">
        <v>606</v>
      </c>
      <c r="NEF337" s="42" t="s">
        <v>606</v>
      </c>
      <c r="NEG337" s="42" t="s">
        <v>606</v>
      </c>
      <c r="NEH337" s="42" t="s">
        <v>606</v>
      </c>
      <c r="NEI337" s="42" t="s">
        <v>606</v>
      </c>
      <c r="NEJ337" s="42" t="s">
        <v>606</v>
      </c>
      <c r="NEK337" s="42" t="s">
        <v>606</v>
      </c>
      <c r="NEL337" s="42" t="s">
        <v>606</v>
      </c>
      <c r="NEM337" s="42" t="s">
        <v>606</v>
      </c>
      <c r="NEN337" s="42" t="s">
        <v>606</v>
      </c>
      <c r="NEO337" s="42" t="s">
        <v>606</v>
      </c>
      <c r="NEP337" s="42" t="s">
        <v>606</v>
      </c>
      <c r="NEQ337" s="42" t="s">
        <v>606</v>
      </c>
      <c r="NER337" s="42" t="s">
        <v>606</v>
      </c>
      <c r="NES337" s="42" t="s">
        <v>606</v>
      </c>
      <c r="NET337" s="42" t="s">
        <v>606</v>
      </c>
      <c r="NEU337" s="42" t="s">
        <v>606</v>
      </c>
      <c r="NEV337" s="42" t="s">
        <v>606</v>
      </c>
      <c r="NEW337" s="42" t="s">
        <v>606</v>
      </c>
      <c r="NEX337" s="42" t="s">
        <v>606</v>
      </c>
      <c r="NEY337" s="42" t="s">
        <v>606</v>
      </c>
      <c r="NEZ337" s="42" t="s">
        <v>606</v>
      </c>
      <c r="NFA337" s="42" t="s">
        <v>606</v>
      </c>
      <c r="NFB337" s="42" t="s">
        <v>606</v>
      </c>
      <c r="NFC337" s="42" t="s">
        <v>606</v>
      </c>
      <c r="NFD337" s="42" t="s">
        <v>606</v>
      </c>
      <c r="NFE337" s="42" t="s">
        <v>606</v>
      </c>
      <c r="NFF337" s="42" t="s">
        <v>606</v>
      </c>
      <c r="NFG337" s="42" t="s">
        <v>606</v>
      </c>
      <c r="NFH337" s="42" t="s">
        <v>606</v>
      </c>
      <c r="NFI337" s="42" t="s">
        <v>606</v>
      </c>
      <c r="NFJ337" s="42" t="s">
        <v>606</v>
      </c>
      <c r="NFK337" s="42" t="s">
        <v>606</v>
      </c>
      <c r="NFL337" s="42" t="s">
        <v>606</v>
      </c>
      <c r="NFM337" s="42" t="s">
        <v>606</v>
      </c>
      <c r="NFN337" s="42" t="s">
        <v>606</v>
      </c>
      <c r="NFO337" s="42" t="s">
        <v>606</v>
      </c>
      <c r="NFP337" s="42" t="s">
        <v>606</v>
      </c>
      <c r="NFQ337" s="42" t="s">
        <v>606</v>
      </c>
      <c r="NFR337" s="42" t="s">
        <v>606</v>
      </c>
      <c r="NFS337" s="42" t="s">
        <v>606</v>
      </c>
      <c r="NFT337" s="42" t="s">
        <v>606</v>
      </c>
      <c r="NFU337" s="42" t="s">
        <v>606</v>
      </c>
      <c r="NFV337" s="42" t="s">
        <v>606</v>
      </c>
      <c r="NFW337" s="42" t="s">
        <v>606</v>
      </c>
      <c r="NFX337" s="42" t="s">
        <v>606</v>
      </c>
      <c r="NFY337" s="42" t="s">
        <v>606</v>
      </c>
      <c r="NFZ337" s="42" t="s">
        <v>606</v>
      </c>
      <c r="NGA337" s="42" t="s">
        <v>606</v>
      </c>
      <c r="NGB337" s="42" t="s">
        <v>606</v>
      </c>
      <c r="NGC337" s="42" t="s">
        <v>606</v>
      </c>
      <c r="NGD337" s="42" t="s">
        <v>606</v>
      </c>
      <c r="NGE337" s="42" t="s">
        <v>606</v>
      </c>
      <c r="NGF337" s="42" t="s">
        <v>606</v>
      </c>
      <c r="NGG337" s="42" t="s">
        <v>606</v>
      </c>
      <c r="NGH337" s="42" t="s">
        <v>606</v>
      </c>
      <c r="NGI337" s="42" t="s">
        <v>606</v>
      </c>
      <c r="NGJ337" s="42" t="s">
        <v>606</v>
      </c>
      <c r="NGK337" s="42" t="s">
        <v>606</v>
      </c>
      <c r="NGL337" s="42" t="s">
        <v>606</v>
      </c>
      <c r="NGM337" s="42" t="s">
        <v>606</v>
      </c>
      <c r="NGN337" s="42" t="s">
        <v>606</v>
      </c>
      <c r="NGO337" s="42" t="s">
        <v>606</v>
      </c>
      <c r="NGP337" s="42" t="s">
        <v>606</v>
      </c>
      <c r="NGQ337" s="42" t="s">
        <v>606</v>
      </c>
      <c r="NGR337" s="42" t="s">
        <v>606</v>
      </c>
      <c r="NGS337" s="42" t="s">
        <v>606</v>
      </c>
      <c r="NGT337" s="42" t="s">
        <v>606</v>
      </c>
      <c r="NGU337" s="42" t="s">
        <v>606</v>
      </c>
      <c r="NGV337" s="42" t="s">
        <v>606</v>
      </c>
      <c r="NGW337" s="42" t="s">
        <v>606</v>
      </c>
      <c r="NGX337" s="42" t="s">
        <v>606</v>
      </c>
      <c r="NGY337" s="42" t="s">
        <v>606</v>
      </c>
      <c r="NGZ337" s="42" t="s">
        <v>606</v>
      </c>
      <c r="NHA337" s="42" t="s">
        <v>606</v>
      </c>
      <c r="NHB337" s="42" t="s">
        <v>606</v>
      </c>
      <c r="NHC337" s="42" t="s">
        <v>606</v>
      </c>
      <c r="NHD337" s="42" t="s">
        <v>606</v>
      </c>
      <c r="NHE337" s="42" t="s">
        <v>606</v>
      </c>
      <c r="NHF337" s="42" t="s">
        <v>606</v>
      </c>
      <c r="NHG337" s="42" t="s">
        <v>606</v>
      </c>
      <c r="NHH337" s="42" t="s">
        <v>606</v>
      </c>
      <c r="NHI337" s="42" t="s">
        <v>606</v>
      </c>
      <c r="NHJ337" s="42" t="s">
        <v>606</v>
      </c>
      <c r="NHK337" s="42" t="s">
        <v>606</v>
      </c>
      <c r="NHL337" s="42" t="s">
        <v>606</v>
      </c>
      <c r="NHM337" s="42" t="s">
        <v>606</v>
      </c>
      <c r="NHN337" s="42" t="s">
        <v>606</v>
      </c>
      <c r="NHO337" s="42" t="s">
        <v>606</v>
      </c>
      <c r="NHP337" s="42" t="s">
        <v>606</v>
      </c>
      <c r="NHQ337" s="42" t="s">
        <v>606</v>
      </c>
      <c r="NHR337" s="42" t="s">
        <v>606</v>
      </c>
      <c r="NHS337" s="42" t="s">
        <v>606</v>
      </c>
      <c r="NHT337" s="42" t="s">
        <v>606</v>
      </c>
      <c r="NHU337" s="42" t="s">
        <v>606</v>
      </c>
      <c r="NHV337" s="42" t="s">
        <v>606</v>
      </c>
      <c r="NHW337" s="42" t="s">
        <v>606</v>
      </c>
      <c r="NHX337" s="42" t="s">
        <v>606</v>
      </c>
      <c r="NHY337" s="42" t="s">
        <v>606</v>
      </c>
      <c r="NHZ337" s="42" t="s">
        <v>606</v>
      </c>
      <c r="NIA337" s="42" t="s">
        <v>606</v>
      </c>
      <c r="NIB337" s="42" t="s">
        <v>606</v>
      </c>
      <c r="NIC337" s="42" t="s">
        <v>606</v>
      </c>
      <c r="NID337" s="42" t="s">
        <v>606</v>
      </c>
      <c r="NIE337" s="42" t="s">
        <v>606</v>
      </c>
      <c r="NIF337" s="42" t="s">
        <v>606</v>
      </c>
      <c r="NIG337" s="42" t="s">
        <v>606</v>
      </c>
      <c r="NIH337" s="42" t="s">
        <v>606</v>
      </c>
      <c r="NII337" s="42" t="s">
        <v>606</v>
      </c>
      <c r="NIJ337" s="42" t="s">
        <v>606</v>
      </c>
      <c r="NIK337" s="42" t="s">
        <v>606</v>
      </c>
      <c r="NIL337" s="42" t="s">
        <v>606</v>
      </c>
      <c r="NIM337" s="42" t="s">
        <v>606</v>
      </c>
      <c r="NIN337" s="42" t="s">
        <v>606</v>
      </c>
      <c r="NIO337" s="42" t="s">
        <v>606</v>
      </c>
      <c r="NIP337" s="42" t="s">
        <v>606</v>
      </c>
      <c r="NIQ337" s="42" t="s">
        <v>606</v>
      </c>
      <c r="NIR337" s="42" t="s">
        <v>606</v>
      </c>
      <c r="NIS337" s="42" t="s">
        <v>606</v>
      </c>
      <c r="NIT337" s="42" t="s">
        <v>606</v>
      </c>
      <c r="NIU337" s="42" t="s">
        <v>606</v>
      </c>
      <c r="NIV337" s="42" t="s">
        <v>606</v>
      </c>
      <c r="NIW337" s="42" t="s">
        <v>606</v>
      </c>
      <c r="NIX337" s="42" t="s">
        <v>606</v>
      </c>
      <c r="NIY337" s="42" t="s">
        <v>606</v>
      </c>
      <c r="NIZ337" s="42" t="s">
        <v>606</v>
      </c>
      <c r="NJA337" s="42" t="s">
        <v>606</v>
      </c>
      <c r="NJB337" s="42" t="s">
        <v>606</v>
      </c>
      <c r="NJC337" s="42" t="s">
        <v>606</v>
      </c>
      <c r="NJD337" s="42" t="s">
        <v>606</v>
      </c>
      <c r="NJE337" s="42" t="s">
        <v>606</v>
      </c>
      <c r="NJF337" s="42" t="s">
        <v>606</v>
      </c>
      <c r="NJG337" s="42" t="s">
        <v>606</v>
      </c>
      <c r="NJH337" s="42" t="s">
        <v>606</v>
      </c>
      <c r="NJI337" s="42" t="s">
        <v>606</v>
      </c>
      <c r="NJJ337" s="42" t="s">
        <v>606</v>
      </c>
      <c r="NJK337" s="42" t="s">
        <v>606</v>
      </c>
      <c r="NJL337" s="42" t="s">
        <v>606</v>
      </c>
      <c r="NJM337" s="42" t="s">
        <v>606</v>
      </c>
      <c r="NJN337" s="42" t="s">
        <v>606</v>
      </c>
      <c r="NJO337" s="42" t="s">
        <v>606</v>
      </c>
      <c r="NJP337" s="42" t="s">
        <v>606</v>
      </c>
      <c r="NJQ337" s="42" t="s">
        <v>606</v>
      </c>
      <c r="NJR337" s="42" t="s">
        <v>606</v>
      </c>
      <c r="NJS337" s="42" t="s">
        <v>606</v>
      </c>
      <c r="NJT337" s="42" t="s">
        <v>606</v>
      </c>
      <c r="NJU337" s="42" t="s">
        <v>606</v>
      </c>
      <c r="NJV337" s="42" t="s">
        <v>606</v>
      </c>
      <c r="NJW337" s="42" t="s">
        <v>606</v>
      </c>
      <c r="NJX337" s="42" t="s">
        <v>606</v>
      </c>
      <c r="NJY337" s="42" t="s">
        <v>606</v>
      </c>
      <c r="NJZ337" s="42" t="s">
        <v>606</v>
      </c>
      <c r="NKA337" s="42" t="s">
        <v>606</v>
      </c>
      <c r="NKB337" s="42" t="s">
        <v>606</v>
      </c>
      <c r="NKC337" s="42" t="s">
        <v>606</v>
      </c>
      <c r="NKD337" s="42" t="s">
        <v>606</v>
      </c>
      <c r="NKE337" s="42" t="s">
        <v>606</v>
      </c>
      <c r="NKF337" s="42" t="s">
        <v>606</v>
      </c>
      <c r="NKG337" s="42" t="s">
        <v>606</v>
      </c>
      <c r="NKH337" s="42" t="s">
        <v>606</v>
      </c>
      <c r="NKI337" s="42" t="s">
        <v>606</v>
      </c>
      <c r="NKJ337" s="42" t="s">
        <v>606</v>
      </c>
      <c r="NKK337" s="42" t="s">
        <v>606</v>
      </c>
      <c r="NKL337" s="42" t="s">
        <v>606</v>
      </c>
      <c r="NKM337" s="42" t="s">
        <v>606</v>
      </c>
      <c r="NKN337" s="42" t="s">
        <v>606</v>
      </c>
      <c r="NKO337" s="42" t="s">
        <v>606</v>
      </c>
      <c r="NKP337" s="42" t="s">
        <v>606</v>
      </c>
      <c r="NKQ337" s="42" t="s">
        <v>606</v>
      </c>
      <c r="NKR337" s="42" t="s">
        <v>606</v>
      </c>
      <c r="NKS337" s="42" t="s">
        <v>606</v>
      </c>
      <c r="NKT337" s="42" t="s">
        <v>606</v>
      </c>
      <c r="NKU337" s="42" t="s">
        <v>606</v>
      </c>
      <c r="NKV337" s="42" t="s">
        <v>606</v>
      </c>
      <c r="NKW337" s="42" t="s">
        <v>606</v>
      </c>
      <c r="NKX337" s="42" t="s">
        <v>606</v>
      </c>
      <c r="NKY337" s="42" t="s">
        <v>606</v>
      </c>
      <c r="NKZ337" s="42" t="s">
        <v>606</v>
      </c>
      <c r="NLA337" s="42" t="s">
        <v>606</v>
      </c>
      <c r="NLB337" s="42" t="s">
        <v>606</v>
      </c>
      <c r="NLC337" s="42" t="s">
        <v>606</v>
      </c>
      <c r="NLD337" s="42" t="s">
        <v>606</v>
      </c>
      <c r="NLE337" s="42" t="s">
        <v>606</v>
      </c>
      <c r="NLF337" s="42" t="s">
        <v>606</v>
      </c>
      <c r="NLG337" s="42" t="s">
        <v>606</v>
      </c>
      <c r="NLH337" s="42" t="s">
        <v>606</v>
      </c>
      <c r="NLI337" s="42" t="s">
        <v>606</v>
      </c>
      <c r="NLJ337" s="42" t="s">
        <v>606</v>
      </c>
      <c r="NLK337" s="42" t="s">
        <v>606</v>
      </c>
      <c r="NLL337" s="42" t="s">
        <v>606</v>
      </c>
      <c r="NLM337" s="42" t="s">
        <v>606</v>
      </c>
      <c r="NLN337" s="42" t="s">
        <v>606</v>
      </c>
      <c r="NLO337" s="42" t="s">
        <v>606</v>
      </c>
      <c r="NLP337" s="42" t="s">
        <v>606</v>
      </c>
      <c r="NLQ337" s="42" t="s">
        <v>606</v>
      </c>
      <c r="NLR337" s="42" t="s">
        <v>606</v>
      </c>
      <c r="NLS337" s="42" t="s">
        <v>606</v>
      </c>
      <c r="NLT337" s="42" t="s">
        <v>606</v>
      </c>
      <c r="NLU337" s="42" t="s">
        <v>606</v>
      </c>
      <c r="NLV337" s="42" t="s">
        <v>606</v>
      </c>
      <c r="NLW337" s="42" t="s">
        <v>606</v>
      </c>
      <c r="NLX337" s="42" t="s">
        <v>606</v>
      </c>
      <c r="NLY337" s="42" t="s">
        <v>606</v>
      </c>
      <c r="NLZ337" s="42" t="s">
        <v>606</v>
      </c>
      <c r="NMA337" s="42" t="s">
        <v>606</v>
      </c>
      <c r="NMB337" s="42" t="s">
        <v>606</v>
      </c>
      <c r="NMC337" s="42" t="s">
        <v>606</v>
      </c>
      <c r="NMD337" s="42" t="s">
        <v>606</v>
      </c>
      <c r="NME337" s="42" t="s">
        <v>606</v>
      </c>
      <c r="NMF337" s="42" t="s">
        <v>606</v>
      </c>
      <c r="NMG337" s="42" t="s">
        <v>606</v>
      </c>
      <c r="NMH337" s="42" t="s">
        <v>606</v>
      </c>
      <c r="NMI337" s="42" t="s">
        <v>606</v>
      </c>
      <c r="NMJ337" s="42" t="s">
        <v>606</v>
      </c>
      <c r="NMK337" s="42" t="s">
        <v>606</v>
      </c>
      <c r="NML337" s="42" t="s">
        <v>606</v>
      </c>
      <c r="NMM337" s="42" t="s">
        <v>606</v>
      </c>
      <c r="NMN337" s="42" t="s">
        <v>606</v>
      </c>
      <c r="NMO337" s="42" t="s">
        <v>606</v>
      </c>
      <c r="NMP337" s="42" t="s">
        <v>606</v>
      </c>
      <c r="NMQ337" s="42" t="s">
        <v>606</v>
      </c>
      <c r="NMR337" s="42" t="s">
        <v>606</v>
      </c>
      <c r="NMS337" s="42" t="s">
        <v>606</v>
      </c>
      <c r="NMT337" s="42" t="s">
        <v>606</v>
      </c>
      <c r="NMU337" s="42" t="s">
        <v>606</v>
      </c>
      <c r="NMV337" s="42" t="s">
        <v>606</v>
      </c>
      <c r="NMW337" s="42" t="s">
        <v>606</v>
      </c>
      <c r="NMX337" s="42" t="s">
        <v>606</v>
      </c>
      <c r="NMY337" s="42" t="s">
        <v>606</v>
      </c>
      <c r="NMZ337" s="42" t="s">
        <v>606</v>
      </c>
      <c r="NNA337" s="42" t="s">
        <v>606</v>
      </c>
      <c r="NNB337" s="42" t="s">
        <v>606</v>
      </c>
      <c r="NNC337" s="42" t="s">
        <v>606</v>
      </c>
      <c r="NND337" s="42" t="s">
        <v>606</v>
      </c>
      <c r="NNE337" s="42" t="s">
        <v>606</v>
      </c>
      <c r="NNF337" s="42" t="s">
        <v>606</v>
      </c>
      <c r="NNG337" s="42" t="s">
        <v>606</v>
      </c>
      <c r="NNH337" s="42" t="s">
        <v>606</v>
      </c>
      <c r="NNI337" s="42" t="s">
        <v>606</v>
      </c>
      <c r="NNJ337" s="42" t="s">
        <v>606</v>
      </c>
      <c r="NNK337" s="42" t="s">
        <v>606</v>
      </c>
      <c r="NNL337" s="42" t="s">
        <v>606</v>
      </c>
      <c r="NNM337" s="42" t="s">
        <v>606</v>
      </c>
      <c r="NNN337" s="42" t="s">
        <v>606</v>
      </c>
      <c r="NNO337" s="42" t="s">
        <v>606</v>
      </c>
      <c r="NNP337" s="42" t="s">
        <v>606</v>
      </c>
      <c r="NNQ337" s="42" t="s">
        <v>606</v>
      </c>
      <c r="NNR337" s="42" t="s">
        <v>606</v>
      </c>
      <c r="NNS337" s="42" t="s">
        <v>606</v>
      </c>
      <c r="NNT337" s="42" t="s">
        <v>606</v>
      </c>
      <c r="NNU337" s="42" t="s">
        <v>606</v>
      </c>
      <c r="NNV337" s="42" t="s">
        <v>606</v>
      </c>
      <c r="NNW337" s="42" t="s">
        <v>606</v>
      </c>
      <c r="NNX337" s="42" t="s">
        <v>606</v>
      </c>
      <c r="NNY337" s="42" t="s">
        <v>606</v>
      </c>
      <c r="NNZ337" s="42" t="s">
        <v>606</v>
      </c>
      <c r="NOA337" s="42" t="s">
        <v>606</v>
      </c>
      <c r="NOB337" s="42" t="s">
        <v>606</v>
      </c>
      <c r="NOC337" s="42" t="s">
        <v>606</v>
      </c>
      <c r="NOD337" s="42" t="s">
        <v>606</v>
      </c>
      <c r="NOE337" s="42" t="s">
        <v>606</v>
      </c>
      <c r="NOF337" s="42" t="s">
        <v>606</v>
      </c>
      <c r="NOG337" s="42" t="s">
        <v>606</v>
      </c>
      <c r="NOH337" s="42" t="s">
        <v>606</v>
      </c>
      <c r="NOI337" s="42" t="s">
        <v>606</v>
      </c>
      <c r="NOJ337" s="42" t="s">
        <v>606</v>
      </c>
      <c r="NOK337" s="42" t="s">
        <v>606</v>
      </c>
      <c r="NOL337" s="42" t="s">
        <v>606</v>
      </c>
      <c r="NOM337" s="42" t="s">
        <v>606</v>
      </c>
      <c r="NON337" s="42" t="s">
        <v>606</v>
      </c>
      <c r="NOO337" s="42" t="s">
        <v>606</v>
      </c>
      <c r="NOP337" s="42" t="s">
        <v>606</v>
      </c>
      <c r="NOQ337" s="42" t="s">
        <v>606</v>
      </c>
      <c r="NOR337" s="42" t="s">
        <v>606</v>
      </c>
      <c r="NOS337" s="42" t="s">
        <v>606</v>
      </c>
      <c r="NOT337" s="42" t="s">
        <v>606</v>
      </c>
      <c r="NOU337" s="42" t="s">
        <v>606</v>
      </c>
      <c r="NOV337" s="42" t="s">
        <v>606</v>
      </c>
      <c r="NOW337" s="42" t="s">
        <v>606</v>
      </c>
      <c r="NOX337" s="42" t="s">
        <v>606</v>
      </c>
      <c r="NOY337" s="42" t="s">
        <v>606</v>
      </c>
      <c r="NOZ337" s="42" t="s">
        <v>606</v>
      </c>
      <c r="NPA337" s="42" t="s">
        <v>606</v>
      </c>
      <c r="NPB337" s="42" t="s">
        <v>606</v>
      </c>
      <c r="NPC337" s="42" t="s">
        <v>606</v>
      </c>
      <c r="NPD337" s="42" t="s">
        <v>606</v>
      </c>
      <c r="NPE337" s="42" t="s">
        <v>606</v>
      </c>
      <c r="NPF337" s="42" t="s">
        <v>606</v>
      </c>
      <c r="NPG337" s="42" t="s">
        <v>606</v>
      </c>
      <c r="NPH337" s="42" t="s">
        <v>606</v>
      </c>
      <c r="NPI337" s="42" t="s">
        <v>606</v>
      </c>
      <c r="NPJ337" s="42" t="s">
        <v>606</v>
      </c>
      <c r="NPK337" s="42" t="s">
        <v>606</v>
      </c>
      <c r="NPL337" s="42" t="s">
        <v>606</v>
      </c>
      <c r="NPM337" s="42" t="s">
        <v>606</v>
      </c>
      <c r="NPN337" s="42" t="s">
        <v>606</v>
      </c>
      <c r="NPO337" s="42" t="s">
        <v>606</v>
      </c>
      <c r="NPP337" s="42" t="s">
        <v>606</v>
      </c>
      <c r="NPQ337" s="42" t="s">
        <v>606</v>
      </c>
      <c r="NPR337" s="42" t="s">
        <v>606</v>
      </c>
      <c r="NPS337" s="42" t="s">
        <v>606</v>
      </c>
      <c r="NPT337" s="42" t="s">
        <v>606</v>
      </c>
      <c r="NPU337" s="42" t="s">
        <v>606</v>
      </c>
      <c r="NPV337" s="42" t="s">
        <v>606</v>
      </c>
      <c r="NPW337" s="42" t="s">
        <v>606</v>
      </c>
      <c r="NPX337" s="42" t="s">
        <v>606</v>
      </c>
      <c r="NPY337" s="42" t="s">
        <v>606</v>
      </c>
      <c r="NPZ337" s="42" t="s">
        <v>606</v>
      </c>
      <c r="NQA337" s="42" t="s">
        <v>606</v>
      </c>
      <c r="NQB337" s="42" t="s">
        <v>606</v>
      </c>
      <c r="NQC337" s="42" t="s">
        <v>606</v>
      </c>
      <c r="NQD337" s="42" t="s">
        <v>606</v>
      </c>
      <c r="NQE337" s="42" t="s">
        <v>606</v>
      </c>
      <c r="NQF337" s="42" t="s">
        <v>606</v>
      </c>
      <c r="NQG337" s="42" t="s">
        <v>606</v>
      </c>
      <c r="NQH337" s="42" t="s">
        <v>606</v>
      </c>
      <c r="NQI337" s="42" t="s">
        <v>606</v>
      </c>
      <c r="NQJ337" s="42" t="s">
        <v>606</v>
      </c>
      <c r="NQK337" s="42" t="s">
        <v>606</v>
      </c>
      <c r="NQL337" s="42" t="s">
        <v>606</v>
      </c>
      <c r="NQM337" s="42" t="s">
        <v>606</v>
      </c>
      <c r="NQN337" s="42" t="s">
        <v>606</v>
      </c>
      <c r="NQO337" s="42" t="s">
        <v>606</v>
      </c>
      <c r="NQP337" s="42" t="s">
        <v>606</v>
      </c>
      <c r="NQQ337" s="42" t="s">
        <v>606</v>
      </c>
      <c r="NQR337" s="42" t="s">
        <v>606</v>
      </c>
      <c r="NQS337" s="42" t="s">
        <v>606</v>
      </c>
      <c r="NQT337" s="42" t="s">
        <v>606</v>
      </c>
      <c r="NQU337" s="42" t="s">
        <v>606</v>
      </c>
      <c r="NQV337" s="42" t="s">
        <v>606</v>
      </c>
      <c r="NQW337" s="42" t="s">
        <v>606</v>
      </c>
      <c r="NQX337" s="42" t="s">
        <v>606</v>
      </c>
      <c r="NQY337" s="42" t="s">
        <v>606</v>
      </c>
      <c r="NQZ337" s="42" t="s">
        <v>606</v>
      </c>
      <c r="NRA337" s="42" t="s">
        <v>606</v>
      </c>
      <c r="NRB337" s="42" t="s">
        <v>606</v>
      </c>
      <c r="NRC337" s="42" t="s">
        <v>606</v>
      </c>
      <c r="NRD337" s="42" t="s">
        <v>606</v>
      </c>
      <c r="NRE337" s="42" t="s">
        <v>606</v>
      </c>
      <c r="NRF337" s="42" t="s">
        <v>606</v>
      </c>
      <c r="NRG337" s="42" t="s">
        <v>606</v>
      </c>
      <c r="NRH337" s="42" t="s">
        <v>606</v>
      </c>
      <c r="NRI337" s="42" t="s">
        <v>606</v>
      </c>
      <c r="NRJ337" s="42" t="s">
        <v>606</v>
      </c>
      <c r="NRK337" s="42" t="s">
        <v>606</v>
      </c>
      <c r="NRL337" s="42" t="s">
        <v>606</v>
      </c>
      <c r="NRM337" s="42" t="s">
        <v>606</v>
      </c>
      <c r="NRN337" s="42" t="s">
        <v>606</v>
      </c>
      <c r="NRO337" s="42" t="s">
        <v>606</v>
      </c>
      <c r="NRP337" s="42" t="s">
        <v>606</v>
      </c>
      <c r="NRQ337" s="42" t="s">
        <v>606</v>
      </c>
      <c r="NRR337" s="42" t="s">
        <v>606</v>
      </c>
      <c r="NRS337" s="42" t="s">
        <v>606</v>
      </c>
      <c r="NRT337" s="42" t="s">
        <v>606</v>
      </c>
      <c r="NRU337" s="42" t="s">
        <v>606</v>
      </c>
      <c r="NRV337" s="42" t="s">
        <v>606</v>
      </c>
      <c r="NRW337" s="42" t="s">
        <v>606</v>
      </c>
      <c r="NRX337" s="42" t="s">
        <v>606</v>
      </c>
      <c r="NRY337" s="42" t="s">
        <v>606</v>
      </c>
      <c r="NRZ337" s="42" t="s">
        <v>606</v>
      </c>
      <c r="NSA337" s="42" t="s">
        <v>606</v>
      </c>
      <c r="NSB337" s="42" t="s">
        <v>606</v>
      </c>
      <c r="NSC337" s="42" t="s">
        <v>606</v>
      </c>
      <c r="NSD337" s="42" t="s">
        <v>606</v>
      </c>
      <c r="NSE337" s="42" t="s">
        <v>606</v>
      </c>
      <c r="NSF337" s="42" t="s">
        <v>606</v>
      </c>
      <c r="NSG337" s="42" t="s">
        <v>606</v>
      </c>
      <c r="NSH337" s="42" t="s">
        <v>606</v>
      </c>
      <c r="NSI337" s="42" t="s">
        <v>606</v>
      </c>
      <c r="NSJ337" s="42" t="s">
        <v>606</v>
      </c>
      <c r="NSK337" s="42" t="s">
        <v>606</v>
      </c>
      <c r="NSL337" s="42" t="s">
        <v>606</v>
      </c>
      <c r="NSM337" s="42" t="s">
        <v>606</v>
      </c>
      <c r="NSN337" s="42" t="s">
        <v>606</v>
      </c>
      <c r="NSO337" s="42" t="s">
        <v>606</v>
      </c>
      <c r="NSP337" s="42" t="s">
        <v>606</v>
      </c>
      <c r="NSQ337" s="42" t="s">
        <v>606</v>
      </c>
      <c r="NSR337" s="42" t="s">
        <v>606</v>
      </c>
      <c r="NSS337" s="42" t="s">
        <v>606</v>
      </c>
      <c r="NST337" s="42" t="s">
        <v>606</v>
      </c>
      <c r="NSU337" s="42" t="s">
        <v>606</v>
      </c>
      <c r="NSV337" s="42" t="s">
        <v>606</v>
      </c>
      <c r="NSW337" s="42" t="s">
        <v>606</v>
      </c>
      <c r="NSX337" s="42" t="s">
        <v>606</v>
      </c>
      <c r="NSY337" s="42" t="s">
        <v>606</v>
      </c>
      <c r="NSZ337" s="42" t="s">
        <v>606</v>
      </c>
      <c r="NTA337" s="42" t="s">
        <v>606</v>
      </c>
      <c r="NTB337" s="42" t="s">
        <v>606</v>
      </c>
      <c r="NTC337" s="42" t="s">
        <v>606</v>
      </c>
      <c r="NTD337" s="42" t="s">
        <v>606</v>
      </c>
      <c r="NTE337" s="42" t="s">
        <v>606</v>
      </c>
      <c r="NTF337" s="42" t="s">
        <v>606</v>
      </c>
      <c r="NTG337" s="42" t="s">
        <v>606</v>
      </c>
      <c r="NTH337" s="42" t="s">
        <v>606</v>
      </c>
      <c r="NTI337" s="42" t="s">
        <v>606</v>
      </c>
      <c r="NTJ337" s="42" t="s">
        <v>606</v>
      </c>
      <c r="NTK337" s="42" t="s">
        <v>606</v>
      </c>
      <c r="NTL337" s="42" t="s">
        <v>606</v>
      </c>
      <c r="NTM337" s="42" t="s">
        <v>606</v>
      </c>
      <c r="NTN337" s="42" t="s">
        <v>606</v>
      </c>
      <c r="NTO337" s="42" t="s">
        <v>606</v>
      </c>
      <c r="NTP337" s="42" t="s">
        <v>606</v>
      </c>
      <c r="NTQ337" s="42" t="s">
        <v>606</v>
      </c>
      <c r="NTR337" s="42" t="s">
        <v>606</v>
      </c>
      <c r="NTS337" s="42" t="s">
        <v>606</v>
      </c>
      <c r="NTT337" s="42" t="s">
        <v>606</v>
      </c>
      <c r="NTU337" s="42" t="s">
        <v>606</v>
      </c>
      <c r="NTV337" s="42" t="s">
        <v>606</v>
      </c>
      <c r="NTW337" s="42" t="s">
        <v>606</v>
      </c>
      <c r="NTX337" s="42" t="s">
        <v>606</v>
      </c>
      <c r="NTY337" s="42" t="s">
        <v>606</v>
      </c>
      <c r="NTZ337" s="42" t="s">
        <v>606</v>
      </c>
      <c r="NUA337" s="42" t="s">
        <v>606</v>
      </c>
      <c r="NUB337" s="42" t="s">
        <v>606</v>
      </c>
      <c r="NUC337" s="42" t="s">
        <v>606</v>
      </c>
      <c r="NUD337" s="42" t="s">
        <v>606</v>
      </c>
      <c r="NUE337" s="42" t="s">
        <v>606</v>
      </c>
      <c r="NUF337" s="42" t="s">
        <v>606</v>
      </c>
      <c r="NUG337" s="42" t="s">
        <v>606</v>
      </c>
      <c r="NUH337" s="42" t="s">
        <v>606</v>
      </c>
      <c r="NUI337" s="42" t="s">
        <v>606</v>
      </c>
      <c r="NUJ337" s="42" t="s">
        <v>606</v>
      </c>
      <c r="NUK337" s="42" t="s">
        <v>606</v>
      </c>
      <c r="NUL337" s="42" t="s">
        <v>606</v>
      </c>
      <c r="NUM337" s="42" t="s">
        <v>606</v>
      </c>
      <c r="NUN337" s="42" t="s">
        <v>606</v>
      </c>
      <c r="NUO337" s="42" t="s">
        <v>606</v>
      </c>
      <c r="NUP337" s="42" t="s">
        <v>606</v>
      </c>
      <c r="NUQ337" s="42" t="s">
        <v>606</v>
      </c>
      <c r="NUR337" s="42" t="s">
        <v>606</v>
      </c>
      <c r="NUS337" s="42" t="s">
        <v>606</v>
      </c>
      <c r="NUT337" s="42" t="s">
        <v>606</v>
      </c>
      <c r="NUU337" s="42" t="s">
        <v>606</v>
      </c>
      <c r="NUV337" s="42" t="s">
        <v>606</v>
      </c>
      <c r="NUW337" s="42" t="s">
        <v>606</v>
      </c>
      <c r="NUX337" s="42" t="s">
        <v>606</v>
      </c>
      <c r="NUY337" s="42" t="s">
        <v>606</v>
      </c>
      <c r="NUZ337" s="42" t="s">
        <v>606</v>
      </c>
      <c r="NVA337" s="42" t="s">
        <v>606</v>
      </c>
      <c r="NVB337" s="42" t="s">
        <v>606</v>
      </c>
      <c r="NVC337" s="42" t="s">
        <v>606</v>
      </c>
      <c r="NVD337" s="42" t="s">
        <v>606</v>
      </c>
      <c r="NVE337" s="42" t="s">
        <v>606</v>
      </c>
      <c r="NVF337" s="42" t="s">
        <v>606</v>
      </c>
      <c r="NVG337" s="42" t="s">
        <v>606</v>
      </c>
      <c r="NVH337" s="42" t="s">
        <v>606</v>
      </c>
      <c r="NVI337" s="42" t="s">
        <v>606</v>
      </c>
      <c r="NVJ337" s="42" t="s">
        <v>606</v>
      </c>
      <c r="NVK337" s="42" t="s">
        <v>606</v>
      </c>
      <c r="NVL337" s="42" t="s">
        <v>606</v>
      </c>
      <c r="NVM337" s="42" t="s">
        <v>606</v>
      </c>
      <c r="NVN337" s="42" t="s">
        <v>606</v>
      </c>
      <c r="NVO337" s="42" t="s">
        <v>606</v>
      </c>
      <c r="NVP337" s="42" t="s">
        <v>606</v>
      </c>
      <c r="NVQ337" s="42" t="s">
        <v>606</v>
      </c>
      <c r="NVR337" s="42" t="s">
        <v>606</v>
      </c>
      <c r="NVS337" s="42" t="s">
        <v>606</v>
      </c>
      <c r="NVT337" s="42" t="s">
        <v>606</v>
      </c>
      <c r="NVU337" s="42" t="s">
        <v>606</v>
      </c>
      <c r="NVV337" s="42" t="s">
        <v>606</v>
      </c>
      <c r="NVW337" s="42" t="s">
        <v>606</v>
      </c>
      <c r="NVX337" s="42" t="s">
        <v>606</v>
      </c>
      <c r="NVY337" s="42" t="s">
        <v>606</v>
      </c>
      <c r="NVZ337" s="42" t="s">
        <v>606</v>
      </c>
      <c r="NWA337" s="42" t="s">
        <v>606</v>
      </c>
      <c r="NWB337" s="42" t="s">
        <v>606</v>
      </c>
      <c r="NWC337" s="42" t="s">
        <v>606</v>
      </c>
      <c r="NWD337" s="42" t="s">
        <v>606</v>
      </c>
      <c r="NWE337" s="42" t="s">
        <v>606</v>
      </c>
      <c r="NWF337" s="42" t="s">
        <v>606</v>
      </c>
      <c r="NWG337" s="42" t="s">
        <v>606</v>
      </c>
      <c r="NWH337" s="42" t="s">
        <v>606</v>
      </c>
      <c r="NWI337" s="42" t="s">
        <v>606</v>
      </c>
      <c r="NWJ337" s="42" t="s">
        <v>606</v>
      </c>
      <c r="NWK337" s="42" t="s">
        <v>606</v>
      </c>
      <c r="NWL337" s="42" t="s">
        <v>606</v>
      </c>
      <c r="NWM337" s="42" t="s">
        <v>606</v>
      </c>
      <c r="NWN337" s="42" t="s">
        <v>606</v>
      </c>
      <c r="NWO337" s="42" t="s">
        <v>606</v>
      </c>
      <c r="NWP337" s="42" t="s">
        <v>606</v>
      </c>
      <c r="NWQ337" s="42" t="s">
        <v>606</v>
      </c>
      <c r="NWR337" s="42" t="s">
        <v>606</v>
      </c>
      <c r="NWS337" s="42" t="s">
        <v>606</v>
      </c>
      <c r="NWT337" s="42" t="s">
        <v>606</v>
      </c>
      <c r="NWU337" s="42" t="s">
        <v>606</v>
      </c>
      <c r="NWV337" s="42" t="s">
        <v>606</v>
      </c>
      <c r="NWW337" s="42" t="s">
        <v>606</v>
      </c>
      <c r="NWX337" s="42" t="s">
        <v>606</v>
      </c>
      <c r="NWY337" s="42" t="s">
        <v>606</v>
      </c>
      <c r="NWZ337" s="42" t="s">
        <v>606</v>
      </c>
      <c r="NXA337" s="42" t="s">
        <v>606</v>
      </c>
      <c r="NXB337" s="42" t="s">
        <v>606</v>
      </c>
      <c r="NXC337" s="42" t="s">
        <v>606</v>
      </c>
      <c r="NXD337" s="42" t="s">
        <v>606</v>
      </c>
      <c r="NXE337" s="42" t="s">
        <v>606</v>
      </c>
      <c r="NXF337" s="42" t="s">
        <v>606</v>
      </c>
      <c r="NXG337" s="42" t="s">
        <v>606</v>
      </c>
      <c r="NXH337" s="42" t="s">
        <v>606</v>
      </c>
      <c r="NXI337" s="42" t="s">
        <v>606</v>
      </c>
      <c r="NXJ337" s="42" t="s">
        <v>606</v>
      </c>
      <c r="NXK337" s="42" t="s">
        <v>606</v>
      </c>
      <c r="NXL337" s="42" t="s">
        <v>606</v>
      </c>
      <c r="NXM337" s="42" t="s">
        <v>606</v>
      </c>
      <c r="NXN337" s="42" t="s">
        <v>606</v>
      </c>
      <c r="NXO337" s="42" t="s">
        <v>606</v>
      </c>
      <c r="NXP337" s="42" t="s">
        <v>606</v>
      </c>
      <c r="NXQ337" s="42" t="s">
        <v>606</v>
      </c>
      <c r="NXR337" s="42" t="s">
        <v>606</v>
      </c>
      <c r="NXS337" s="42" t="s">
        <v>606</v>
      </c>
      <c r="NXT337" s="42" t="s">
        <v>606</v>
      </c>
      <c r="NXU337" s="42" t="s">
        <v>606</v>
      </c>
      <c r="NXV337" s="42" t="s">
        <v>606</v>
      </c>
      <c r="NXW337" s="42" t="s">
        <v>606</v>
      </c>
      <c r="NXX337" s="42" t="s">
        <v>606</v>
      </c>
      <c r="NXY337" s="42" t="s">
        <v>606</v>
      </c>
      <c r="NXZ337" s="42" t="s">
        <v>606</v>
      </c>
      <c r="NYA337" s="42" t="s">
        <v>606</v>
      </c>
      <c r="NYB337" s="42" t="s">
        <v>606</v>
      </c>
      <c r="NYC337" s="42" t="s">
        <v>606</v>
      </c>
      <c r="NYD337" s="42" t="s">
        <v>606</v>
      </c>
      <c r="NYE337" s="42" t="s">
        <v>606</v>
      </c>
      <c r="NYF337" s="42" t="s">
        <v>606</v>
      </c>
      <c r="NYG337" s="42" t="s">
        <v>606</v>
      </c>
      <c r="NYH337" s="42" t="s">
        <v>606</v>
      </c>
      <c r="NYI337" s="42" t="s">
        <v>606</v>
      </c>
      <c r="NYJ337" s="42" t="s">
        <v>606</v>
      </c>
      <c r="NYK337" s="42" t="s">
        <v>606</v>
      </c>
      <c r="NYL337" s="42" t="s">
        <v>606</v>
      </c>
      <c r="NYM337" s="42" t="s">
        <v>606</v>
      </c>
      <c r="NYN337" s="42" t="s">
        <v>606</v>
      </c>
      <c r="NYO337" s="42" t="s">
        <v>606</v>
      </c>
      <c r="NYP337" s="42" t="s">
        <v>606</v>
      </c>
      <c r="NYQ337" s="42" t="s">
        <v>606</v>
      </c>
      <c r="NYR337" s="42" t="s">
        <v>606</v>
      </c>
      <c r="NYS337" s="42" t="s">
        <v>606</v>
      </c>
      <c r="NYT337" s="42" t="s">
        <v>606</v>
      </c>
      <c r="NYU337" s="42" t="s">
        <v>606</v>
      </c>
      <c r="NYV337" s="42" t="s">
        <v>606</v>
      </c>
      <c r="NYW337" s="42" t="s">
        <v>606</v>
      </c>
      <c r="NYX337" s="42" t="s">
        <v>606</v>
      </c>
      <c r="NYY337" s="42" t="s">
        <v>606</v>
      </c>
      <c r="NYZ337" s="42" t="s">
        <v>606</v>
      </c>
      <c r="NZA337" s="42" t="s">
        <v>606</v>
      </c>
      <c r="NZB337" s="42" t="s">
        <v>606</v>
      </c>
      <c r="NZC337" s="42" t="s">
        <v>606</v>
      </c>
      <c r="NZD337" s="42" t="s">
        <v>606</v>
      </c>
      <c r="NZE337" s="42" t="s">
        <v>606</v>
      </c>
      <c r="NZF337" s="42" t="s">
        <v>606</v>
      </c>
      <c r="NZG337" s="42" t="s">
        <v>606</v>
      </c>
      <c r="NZH337" s="42" t="s">
        <v>606</v>
      </c>
      <c r="NZI337" s="42" t="s">
        <v>606</v>
      </c>
      <c r="NZJ337" s="42" t="s">
        <v>606</v>
      </c>
      <c r="NZK337" s="42" t="s">
        <v>606</v>
      </c>
      <c r="NZL337" s="42" t="s">
        <v>606</v>
      </c>
      <c r="NZM337" s="42" t="s">
        <v>606</v>
      </c>
      <c r="NZN337" s="42" t="s">
        <v>606</v>
      </c>
      <c r="NZO337" s="42" t="s">
        <v>606</v>
      </c>
      <c r="NZP337" s="42" t="s">
        <v>606</v>
      </c>
      <c r="NZQ337" s="42" t="s">
        <v>606</v>
      </c>
      <c r="NZR337" s="42" t="s">
        <v>606</v>
      </c>
      <c r="NZS337" s="42" t="s">
        <v>606</v>
      </c>
      <c r="NZT337" s="42" t="s">
        <v>606</v>
      </c>
      <c r="NZU337" s="42" t="s">
        <v>606</v>
      </c>
      <c r="NZV337" s="42" t="s">
        <v>606</v>
      </c>
      <c r="NZW337" s="42" t="s">
        <v>606</v>
      </c>
      <c r="NZX337" s="42" t="s">
        <v>606</v>
      </c>
      <c r="NZY337" s="42" t="s">
        <v>606</v>
      </c>
      <c r="NZZ337" s="42" t="s">
        <v>606</v>
      </c>
      <c r="OAA337" s="42" t="s">
        <v>606</v>
      </c>
      <c r="OAB337" s="42" t="s">
        <v>606</v>
      </c>
      <c r="OAC337" s="42" t="s">
        <v>606</v>
      </c>
      <c r="OAD337" s="42" t="s">
        <v>606</v>
      </c>
      <c r="OAE337" s="42" t="s">
        <v>606</v>
      </c>
      <c r="OAF337" s="42" t="s">
        <v>606</v>
      </c>
      <c r="OAG337" s="42" t="s">
        <v>606</v>
      </c>
      <c r="OAH337" s="42" t="s">
        <v>606</v>
      </c>
      <c r="OAI337" s="42" t="s">
        <v>606</v>
      </c>
      <c r="OAJ337" s="42" t="s">
        <v>606</v>
      </c>
      <c r="OAK337" s="42" t="s">
        <v>606</v>
      </c>
      <c r="OAL337" s="42" t="s">
        <v>606</v>
      </c>
      <c r="OAM337" s="42" t="s">
        <v>606</v>
      </c>
      <c r="OAN337" s="42" t="s">
        <v>606</v>
      </c>
      <c r="OAO337" s="42" t="s">
        <v>606</v>
      </c>
      <c r="OAP337" s="42" t="s">
        <v>606</v>
      </c>
      <c r="OAQ337" s="42" t="s">
        <v>606</v>
      </c>
      <c r="OAR337" s="42" t="s">
        <v>606</v>
      </c>
      <c r="OAS337" s="42" t="s">
        <v>606</v>
      </c>
      <c r="OAT337" s="42" t="s">
        <v>606</v>
      </c>
      <c r="OAU337" s="42" t="s">
        <v>606</v>
      </c>
      <c r="OAV337" s="42" t="s">
        <v>606</v>
      </c>
      <c r="OAW337" s="42" t="s">
        <v>606</v>
      </c>
      <c r="OAX337" s="42" t="s">
        <v>606</v>
      </c>
      <c r="OAY337" s="42" t="s">
        <v>606</v>
      </c>
      <c r="OAZ337" s="42" t="s">
        <v>606</v>
      </c>
      <c r="OBA337" s="42" t="s">
        <v>606</v>
      </c>
      <c r="OBB337" s="42" t="s">
        <v>606</v>
      </c>
      <c r="OBC337" s="42" t="s">
        <v>606</v>
      </c>
      <c r="OBD337" s="42" t="s">
        <v>606</v>
      </c>
      <c r="OBE337" s="42" t="s">
        <v>606</v>
      </c>
      <c r="OBF337" s="42" t="s">
        <v>606</v>
      </c>
      <c r="OBG337" s="42" t="s">
        <v>606</v>
      </c>
      <c r="OBH337" s="42" t="s">
        <v>606</v>
      </c>
      <c r="OBI337" s="42" t="s">
        <v>606</v>
      </c>
      <c r="OBJ337" s="42" t="s">
        <v>606</v>
      </c>
      <c r="OBK337" s="42" t="s">
        <v>606</v>
      </c>
      <c r="OBL337" s="42" t="s">
        <v>606</v>
      </c>
      <c r="OBM337" s="42" t="s">
        <v>606</v>
      </c>
      <c r="OBN337" s="42" t="s">
        <v>606</v>
      </c>
      <c r="OBO337" s="42" t="s">
        <v>606</v>
      </c>
      <c r="OBP337" s="42" t="s">
        <v>606</v>
      </c>
      <c r="OBQ337" s="42" t="s">
        <v>606</v>
      </c>
      <c r="OBR337" s="42" t="s">
        <v>606</v>
      </c>
      <c r="OBS337" s="42" t="s">
        <v>606</v>
      </c>
      <c r="OBT337" s="42" t="s">
        <v>606</v>
      </c>
      <c r="OBU337" s="42" t="s">
        <v>606</v>
      </c>
      <c r="OBV337" s="42" t="s">
        <v>606</v>
      </c>
      <c r="OBW337" s="42" t="s">
        <v>606</v>
      </c>
      <c r="OBX337" s="42" t="s">
        <v>606</v>
      </c>
      <c r="OBY337" s="42" t="s">
        <v>606</v>
      </c>
      <c r="OBZ337" s="42" t="s">
        <v>606</v>
      </c>
      <c r="OCA337" s="42" t="s">
        <v>606</v>
      </c>
      <c r="OCB337" s="42" t="s">
        <v>606</v>
      </c>
      <c r="OCC337" s="42" t="s">
        <v>606</v>
      </c>
      <c r="OCD337" s="42" t="s">
        <v>606</v>
      </c>
      <c r="OCE337" s="42" t="s">
        <v>606</v>
      </c>
      <c r="OCF337" s="42" t="s">
        <v>606</v>
      </c>
      <c r="OCG337" s="42" t="s">
        <v>606</v>
      </c>
      <c r="OCH337" s="42" t="s">
        <v>606</v>
      </c>
      <c r="OCI337" s="42" t="s">
        <v>606</v>
      </c>
      <c r="OCJ337" s="42" t="s">
        <v>606</v>
      </c>
      <c r="OCK337" s="42" t="s">
        <v>606</v>
      </c>
      <c r="OCL337" s="42" t="s">
        <v>606</v>
      </c>
      <c r="OCM337" s="42" t="s">
        <v>606</v>
      </c>
      <c r="OCN337" s="42" t="s">
        <v>606</v>
      </c>
      <c r="OCO337" s="42" t="s">
        <v>606</v>
      </c>
      <c r="OCP337" s="42" t="s">
        <v>606</v>
      </c>
      <c r="OCQ337" s="42" t="s">
        <v>606</v>
      </c>
      <c r="OCR337" s="42" t="s">
        <v>606</v>
      </c>
      <c r="OCS337" s="42" t="s">
        <v>606</v>
      </c>
      <c r="OCT337" s="42" t="s">
        <v>606</v>
      </c>
      <c r="OCU337" s="42" t="s">
        <v>606</v>
      </c>
      <c r="OCV337" s="42" t="s">
        <v>606</v>
      </c>
      <c r="OCW337" s="42" t="s">
        <v>606</v>
      </c>
      <c r="OCX337" s="42" t="s">
        <v>606</v>
      </c>
      <c r="OCY337" s="42" t="s">
        <v>606</v>
      </c>
      <c r="OCZ337" s="42" t="s">
        <v>606</v>
      </c>
      <c r="ODA337" s="42" t="s">
        <v>606</v>
      </c>
      <c r="ODB337" s="42" t="s">
        <v>606</v>
      </c>
      <c r="ODC337" s="42" t="s">
        <v>606</v>
      </c>
      <c r="ODD337" s="42" t="s">
        <v>606</v>
      </c>
      <c r="ODE337" s="42" t="s">
        <v>606</v>
      </c>
      <c r="ODF337" s="42" t="s">
        <v>606</v>
      </c>
      <c r="ODG337" s="42" t="s">
        <v>606</v>
      </c>
      <c r="ODH337" s="42" t="s">
        <v>606</v>
      </c>
      <c r="ODI337" s="42" t="s">
        <v>606</v>
      </c>
      <c r="ODJ337" s="42" t="s">
        <v>606</v>
      </c>
      <c r="ODK337" s="42" t="s">
        <v>606</v>
      </c>
      <c r="ODL337" s="42" t="s">
        <v>606</v>
      </c>
      <c r="ODM337" s="42" t="s">
        <v>606</v>
      </c>
      <c r="ODN337" s="42" t="s">
        <v>606</v>
      </c>
      <c r="ODO337" s="42" t="s">
        <v>606</v>
      </c>
      <c r="ODP337" s="42" t="s">
        <v>606</v>
      </c>
      <c r="ODQ337" s="42" t="s">
        <v>606</v>
      </c>
      <c r="ODR337" s="42" t="s">
        <v>606</v>
      </c>
      <c r="ODS337" s="42" t="s">
        <v>606</v>
      </c>
      <c r="ODT337" s="42" t="s">
        <v>606</v>
      </c>
      <c r="ODU337" s="42" t="s">
        <v>606</v>
      </c>
      <c r="ODV337" s="42" t="s">
        <v>606</v>
      </c>
      <c r="ODW337" s="42" t="s">
        <v>606</v>
      </c>
      <c r="ODX337" s="42" t="s">
        <v>606</v>
      </c>
      <c r="ODY337" s="42" t="s">
        <v>606</v>
      </c>
      <c r="ODZ337" s="42" t="s">
        <v>606</v>
      </c>
      <c r="OEA337" s="42" t="s">
        <v>606</v>
      </c>
      <c r="OEB337" s="42" t="s">
        <v>606</v>
      </c>
      <c r="OEC337" s="42" t="s">
        <v>606</v>
      </c>
      <c r="OED337" s="42" t="s">
        <v>606</v>
      </c>
      <c r="OEE337" s="42" t="s">
        <v>606</v>
      </c>
      <c r="OEF337" s="42" t="s">
        <v>606</v>
      </c>
      <c r="OEG337" s="42" t="s">
        <v>606</v>
      </c>
      <c r="OEH337" s="42" t="s">
        <v>606</v>
      </c>
      <c r="OEI337" s="42" t="s">
        <v>606</v>
      </c>
      <c r="OEJ337" s="42" t="s">
        <v>606</v>
      </c>
      <c r="OEK337" s="42" t="s">
        <v>606</v>
      </c>
      <c r="OEL337" s="42" t="s">
        <v>606</v>
      </c>
      <c r="OEM337" s="42" t="s">
        <v>606</v>
      </c>
      <c r="OEN337" s="42" t="s">
        <v>606</v>
      </c>
      <c r="OEO337" s="42" t="s">
        <v>606</v>
      </c>
      <c r="OEP337" s="42" t="s">
        <v>606</v>
      </c>
      <c r="OEQ337" s="42" t="s">
        <v>606</v>
      </c>
      <c r="OER337" s="42" t="s">
        <v>606</v>
      </c>
      <c r="OES337" s="42" t="s">
        <v>606</v>
      </c>
      <c r="OET337" s="42" t="s">
        <v>606</v>
      </c>
      <c r="OEU337" s="42" t="s">
        <v>606</v>
      </c>
      <c r="OEV337" s="42" t="s">
        <v>606</v>
      </c>
      <c r="OEW337" s="42" t="s">
        <v>606</v>
      </c>
      <c r="OEX337" s="42" t="s">
        <v>606</v>
      </c>
      <c r="OEY337" s="42" t="s">
        <v>606</v>
      </c>
      <c r="OEZ337" s="42" t="s">
        <v>606</v>
      </c>
      <c r="OFA337" s="42" t="s">
        <v>606</v>
      </c>
      <c r="OFB337" s="42" t="s">
        <v>606</v>
      </c>
      <c r="OFC337" s="42" t="s">
        <v>606</v>
      </c>
      <c r="OFD337" s="42" t="s">
        <v>606</v>
      </c>
      <c r="OFE337" s="42" t="s">
        <v>606</v>
      </c>
      <c r="OFF337" s="42" t="s">
        <v>606</v>
      </c>
      <c r="OFG337" s="42" t="s">
        <v>606</v>
      </c>
      <c r="OFH337" s="42" t="s">
        <v>606</v>
      </c>
      <c r="OFI337" s="42" t="s">
        <v>606</v>
      </c>
      <c r="OFJ337" s="42" t="s">
        <v>606</v>
      </c>
      <c r="OFK337" s="42" t="s">
        <v>606</v>
      </c>
      <c r="OFL337" s="42" t="s">
        <v>606</v>
      </c>
      <c r="OFM337" s="42" t="s">
        <v>606</v>
      </c>
      <c r="OFN337" s="42" t="s">
        <v>606</v>
      </c>
      <c r="OFO337" s="42" t="s">
        <v>606</v>
      </c>
      <c r="OFP337" s="42" t="s">
        <v>606</v>
      </c>
      <c r="OFQ337" s="42" t="s">
        <v>606</v>
      </c>
      <c r="OFR337" s="42" t="s">
        <v>606</v>
      </c>
      <c r="OFS337" s="42" t="s">
        <v>606</v>
      </c>
      <c r="OFT337" s="42" t="s">
        <v>606</v>
      </c>
      <c r="OFU337" s="42" t="s">
        <v>606</v>
      </c>
      <c r="OFV337" s="42" t="s">
        <v>606</v>
      </c>
      <c r="OFW337" s="42" t="s">
        <v>606</v>
      </c>
      <c r="OFX337" s="42" t="s">
        <v>606</v>
      </c>
      <c r="OFY337" s="42" t="s">
        <v>606</v>
      </c>
      <c r="OFZ337" s="42" t="s">
        <v>606</v>
      </c>
      <c r="OGA337" s="42" t="s">
        <v>606</v>
      </c>
      <c r="OGB337" s="42" t="s">
        <v>606</v>
      </c>
      <c r="OGC337" s="42" t="s">
        <v>606</v>
      </c>
      <c r="OGD337" s="42" t="s">
        <v>606</v>
      </c>
      <c r="OGE337" s="42" t="s">
        <v>606</v>
      </c>
      <c r="OGF337" s="42" t="s">
        <v>606</v>
      </c>
      <c r="OGG337" s="42" t="s">
        <v>606</v>
      </c>
      <c r="OGH337" s="42" t="s">
        <v>606</v>
      </c>
      <c r="OGI337" s="42" t="s">
        <v>606</v>
      </c>
      <c r="OGJ337" s="42" t="s">
        <v>606</v>
      </c>
      <c r="OGK337" s="42" t="s">
        <v>606</v>
      </c>
      <c r="OGL337" s="42" t="s">
        <v>606</v>
      </c>
      <c r="OGM337" s="42" t="s">
        <v>606</v>
      </c>
      <c r="OGN337" s="42" t="s">
        <v>606</v>
      </c>
      <c r="OGO337" s="42" t="s">
        <v>606</v>
      </c>
      <c r="OGP337" s="42" t="s">
        <v>606</v>
      </c>
      <c r="OGQ337" s="42" t="s">
        <v>606</v>
      </c>
      <c r="OGR337" s="42" t="s">
        <v>606</v>
      </c>
      <c r="OGS337" s="42" t="s">
        <v>606</v>
      </c>
      <c r="OGT337" s="42" t="s">
        <v>606</v>
      </c>
      <c r="OGU337" s="42" t="s">
        <v>606</v>
      </c>
      <c r="OGV337" s="42" t="s">
        <v>606</v>
      </c>
      <c r="OGW337" s="42" t="s">
        <v>606</v>
      </c>
      <c r="OGX337" s="42" t="s">
        <v>606</v>
      </c>
      <c r="OGY337" s="42" t="s">
        <v>606</v>
      </c>
      <c r="OGZ337" s="42" t="s">
        <v>606</v>
      </c>
      <c r="OHA337" s="42" t="s">
        <v>606</v>
      </c>
      <c r="OHB337" s="42" t="s">
        <v>606</v>
      </c>
      <c r="OHC337" s="42" t="s">
        <v>606</v>
      </c>
      <c r="OHD337" s="42" t="s">
        <v>606</v>
      </c>
      <c r="OHE337" s="42" t="s">
        <v>606</v>
      </c>
      <c r="OHF337" s="42" t="s">
        <v>606</v>
      </c>
      <c r="OHG337" s="42" t="s">
        <v>606</v>
      </c>
      <c r="OHH337" s="42" t="s">
        <v>606</v>
      </c>
      <c r="OHI337" s="42" t="s">
        <v>606</v>
      </c>
      <c r="OHJ337" s="42" t="s">
        <v>606</v>
      </c>
      <c r="OHK337" s="42" t="s">
        <v>606</v>
      </c>
      <c r="OHL337" s="42" t="s">
        <v>606</v>
      </c>
      <c r="OHM337" s="42" t="s">
        <v>606</v>
      </c>
      <c r="OHN337" s="42" t="s">
        <v>606</v>
      </c>
      <c r="OHO337" s="42" t="s">
        <v>606</v>
      </c>
      <c r="OHP337" s="42" t="s">
        <v>606</v>
      </c>
      <c r="OHQ337" s="42" t="s">
        <v>606</v>
      </c>
      <c r="OHR337" s="42" t="s">
        <v>606</v>
      </c>
      <c r="OHS337" s="42" t="s">
        <v>606</v>
      </c>
      <c r="OHT337" s="42" t="s">
        <v>606</v>
      </c>
      <c r="OHU337" s="42" t="s">
        <v>606</v>
      </c>
      <c r="OHV337" s="42" t="s">
        <v>606</v>
      </c>
      <c r="OHW337" s="42" t="s">
        <v>606</v>
      </c>
      <c r="OHX337" s="42" t="s">
        <v>606</v>
      </c>
      <c r="OHY337" s="42" t="s">
        <v>606</v>
      </c>
      <c r="OHZ337" s="42" t="s">
        <v>606</v>
      </c>
      <c r="OIA337" s="42" t="s">
        <v>606</v>
      </c>
      <c r="OIB337" s="42" t="s">
        <v>606</v>
      </c>
      <c r="OIC337" s="42" t="s">
        <v>606</v>
      </c>
      <c r="OID337" s="42" t="s">
        <v>606</v>
      </c>
      <c r="OIE337" s="42" t="s">
        <v>606</v>
      </c>
      <c r="OIF337" s="42" t="s">
        <v>606</v>
      </c>
      <c r="OIG337" s="42" t="s">
        <v>606</v>
      </c>
      <c r="OIH337" s="42" t="s">
        <v>606</v>
      </c>
      <c r="OII337" s="42" t="s">
        <v>606</v>
      </c>
      <c r="OIJ337" s="42" t="s">
        <v>606</v>
      </c>
      <c r="OIK337" s="42" t="s">
        <v>606</v>
      </c>
      <c r="OIL337" s="42" t="s">
        <v>606</v>
      </c>
      <c r="OIM337" s="42" t="s">
        <v>606</v>
      </c>
      <c r="OIN337" s="42" t="s">
        <v>606</v>
      </c>
      <c r="OIO337" s="42" t="s">
        <v>606</v>
      </c>
      <c r="OIP337" s="42" t="s">
        <v>606</v>
      </c>
      <c r="OIQ337" s="42" t="s">
        <v>606</v>
      </c>
      <c r="OIR337" s="42" t="s">
        <v>606</v>
      </c>
      <c r="OIS337" s="42" t="s">
        <v>606</v>
      </c>
      <c r="OIT337" s="42" t="s">
        <v>606</v>
      </c>
      <c r="OIU337" s="42" t="s">
        <v>606</v>
      </c>
      <c r="OIV337" s="42" t="s">
        <v>606</v>
      </c>
      <c r="OIW337" s="42" t="s">
        <v>606</v>
      </c>
      <c r="OIX337" s="42" t="s">
        <v>606</v>
      </c>
      <c r="OIY337" s="42" t="s">
        <v>606</v>
      </c>
      <c r="OIZ337" s="42" t="s">
        <v>606</v>
      </c>
      <c r="OJA337" s="42" t="s">
        <v>606</v>
      </c>
      <c r="OJB337" s="42" t="s">
        <v>606</v>
      </c>
      <c r="OJC337" s="42" t="s">
        <v>606</v>
      </c>
      <c r="OJD337" s="42" t="s">
        <v>606</v>
      </c>
      <c r="OJE337" s="42" t="s">
        <v>606</v>
      </c>
      <c r="OJF337" s="42" t="s">
        <v>606</v>
      </c>
      <c r="OJG337" s="42" t="s">
        <v>606</v>
      </c>
      <c r="OJH337" s="42" t="s">
        <v>606</v>
      </c>
      <c r="OJI337" s="42" t="s">
        <v>606</v>
      </c>
      <c r="OJJ337" s="42" t="s">
        <v>606</v>
      </c>
      <c r="OJK337" s="42" t="s">
        <v>606</v>
      </c>
      <c r="OJL337" s="42" t="s">
        <v>606</v>
      </c>
      <c r="OJM337" s="42" t="s">
        <v>606</v>
      </c>
      <c r="OJN337" s="42" t="s">
        <v>606</v>
      </c>
      <c r="OJO337" s="42" t="s">
        <v>606</v>
      </c>
      <c r="OJP337" s="42" t="s">
        <v>606</v>
      </c>
      <c r="OJQ337" s="42" t="s">
        <v>606</v>
      </c>
      <c r="OJR337" s="42" t="s">
        <v>606</v>
      </c>
      <c r="OJS337" s="42" t="s">
        <v>606</v>
      </c>
      <c r="OJT337" s="42" t="s">
        <v>606</v>
      </c>
      <c r="OJU337" s="42" t="s">
        <v>606</v>
      </c>
      <c r="OJV337" s="42" t="s">
        <v>606</v>
      </c>
      <c r="OJW337" s="42" t="s">
        <v>606</v>
      </c>
      <c r="OJX337" s="42" t="s">
        <v>606</v>
      </c>
      <c r="OJY337" s="42" t="s">
        <v>606</v>
      </c>
      <c r="OJZ337" s="42" t="s">
        <v>606</v>
      </c>
      <c r="OKA337" s="42" t="s">
        <v>606</v>
      </c>
      <c r="OKB337" s="42" t="s">
        <v>606</v>
      </c>
      <c r="OKC337" s="42" t="s">
        <v>606</v>
      </c>
      <c r="OKD337" s="42" t="s">
        <v>606</v>
      </c>
      <c r="OKE337" s="42" t="s">
        <v>606</v>
      </c>
      <c r="OKF337" s="42" t="s">
        <v>606</v>
      </c>
      <c r="OKG337" s="42" t="s">
        <v>606</v>
      </c>
      <c r="OKH337" s="42" t="s">
        <v>606</v>
      </c>
      <c r="OKI337" s="42" t="s">
        <v>606</v>
      </c>
      <c r="OKJ337" s="42" t="s">
        <v>606</v>
      </c>
      <c r="OKK337" s="42" t="s">
        <v>606</v>
      </c>
      <c r="OKL337" s="42" t="s">
        <v>606</v>
      </c>
      <c r="OKM337" s="42" t="s">
        <v>606</v>
      </c>
      <c r="OKN337" s="42" t="s">
        <v>606</v>
      </c>
      <c r="OKO337" s="42" t="s">
        <v>606</v>
      </c>
      <c r="OKP337" s="42" t="s">
        <v>606</v>
      </c>
      <c r="OKQ337" s="42" t="s">
        <v>606</v>
      </c>
      <c r="OKR337" s="42" t="s">
        <v>606</v>
      </c>
      <c r="OKS337" s="42" t="s">
        <v>606</v>
      </c>
      <c r="OKT337" s="42" t="s">
        <v>606</v>
      </c>
      <c r="OKU337" s="42" t="s">
        <v>606</v>
      </c>
      <c r="OKV337" s="42" t="s">
        <v>606</v>
      </c>
      <c r="OKW337" s="42" t="s">
        <v>606</v>
      </c>
      <c r="OKX337" s="42" t="s">
        <v>606</v>
      </c>
      <c r="OKY337" s="42" t="s">
        <v>606</v>
      </c>
      <c r="OKZ337" s="42" t="s">
        <v>606</v>
      </c>
      <c r="OLA337" s="42" t="s">
        <v>606</v>
      </c>
      <c r="OLB337" s="42" t="s">
        <v>606</v>
      </c>
      <c r="OLC337" s="42" t="s">
        <v>606</v>
      </c>
      <c r="OLD337" s="42" t="s">
        <v>606</v>
      </c>
      <c r="OLE337" s="42" t="s">
        <v>606</v>
      </c>
      <c r="OLF337" s="42" t="s">
        <v>606</v>
      </c>
      <c r="OLG337" s="42" t="s">
        <v>606</v>
      </c>
      <c r="OLH337" s="42" t="s">
        <v>606</v>
      </c>
      <c r="OLI337" s="42" t="s">
        <v>606</v>
      </c>
      <c r="OLJ337" s="42" t="s">
        <v>606</v>
      </c>
      <c r="OLK337" s="42" t="s">
        <v>606</v>
      </c>
      <c r="OLL337" s="42" t="s">
        <v>606</v>
      </c>
      <c r="OLM337" s="42" t="s">
        <v>606</v>
      </c>
      <c r="OLN337" s="42" t="s">
        <v>606</v>
      </c>
      <c r="OLO337" s="42" t="s">
        <v>606</v>
      </c>
      <c r="OLP337" s="42" t="s">
        <v>606</v>
      </c>
      <c r="OLQ337" s="42" t="s">
        <v>606</v>
      </c>
      <c r="OLR337" s="42" t="s">
        <v>606</v>
      </c>
      <c r="OLS337" s="42" t="s">
        <v>606</v>
      </c>
      <c r="OLT337" s="42" t="s">
        <v>606</v>
      </c>
      <c r="OLU337" s="42" t="s">
        <v>606</v>
      </c>
      <c r="OLV337" s="42" t="s">
        <v>606</v>
      </c>
      <c r="OLW337" s="42" t="s">
        <v>606</v>
      </c>
      <c r="OLX337" s="42" t="s">
        <v>606</v>
      </c>
      <c r="OLY337" s="42" t="s">
        <v>606</v>
      </c>
      <c r="OLZ337" s="42" t="s">
        <v>606</v>
      </c>
      <c r="OMA337" s="42" t="s">
        <v>606</v>
      </c>
      <c r="OMB337" s="42" t="s">
        <v>606</v>
      </c>
      <c r="OMC337" s="42" t="s">
        <v>606</v>
      </c>
      <c r="OMD337" s="42" t="s">
        <v>606</v>
      </c>
      <c r="OME337" s="42" t="s">
        <v>606</v>
      </c>
      <c r="OMF337" s="42" t="s">
        <v>606</v>
      </c>
      <c r="OMG337" s="42" t="s">
        <v>606</v>
      </c>
      <c r="OMH337" s="42" t="s">
        <v>606</v>
      </c>
      <c r="OMI337" s="42" t="s">
        <v>606</v>
      </c>
      <c r="OMJ337" s="42" t="s">
        <v>606</v>
      </c>
      <c r="OMK337" s="42" t="s">
        <v>606</v>
      </c>
      <c r="OML337" s="42" t="s">
        <v>606</v>
      </c>
      <c r="OMM337" s="42" t="s">
        <v>606</v>
      </c>
      <c r="OMN337" s="42" t="s">
        <v>606</v>
      </c>
      <c r="OMO337" s="42" t="s">
        <v>606</v>
      </c>
      <c r="OMP337" s="42" t="s">
        <v>606</v>
      </c>
      <c r="OMQ337" s="42" t="s">
        <v>606</v>
      </c>
      <c r="OMR337" s="42" t="s">
        <v>606</v>
      </c>
      <c r="OMS337" s="42" t="s">
        <v>606</v>
      </c>
      <c r="OMT337" s="42" t="s">
        <v>606</v>
      </c>
      <c r="OMU337" s="42" t="s">
        <v>606</v>
      </c>
      <c r="OMV337" s="42" t="s">
        <v>606</v>
      </c>
      <c r="OMW337" s="42" t="s">
        <v>606</v>
      </c>
      <c r="OMX337" s="42" t="s">
        <v>606</v>
      </c>
      <c r="OMY337" s="42" t="s">
        <v>606</v>
      </c>
      <c r="OMZ337" s="42" t="s">
        <v>606</v>
      </c>
      <c r="ONA337" s="42" t="s">
        <v>606</v>
      </c>
      <c r="ONB337" s="42" t="s">
        <v>606</v>
      </c>
      <c r="ONC337" s="42" t="s">
        <v>606</v>
      </c>
      <c r="OND337" s="42" t="s">
        <v>606</v>
      </c>
      <c r="ONE337" s="42" t="s">
        <v>606</v>
      </c>
      <c r="ONF337" s="42" t="s">
        <v>606</v>
      </c>
      <c r="ONG337" s="42" t="s">
        <v>606</v>
      </c>
      <c r="ONH337" s="42" t="s">
        <v>606</v>
      </c>
      <c r="ONI337" s="42" t="s">
        <v>606</v>
      </c>
      <c r="ONJ337" s="42" t="s">
        <v>606</v>
      </c>
      <c r="ONK337" s="42" t="s">
        <v>606</v>
      </c>
      <c r="ONL337" s="42" t="s">
        <v>606</v>
      </c>
      <c r="ONM337" s="42" t="s">
        <v>606</v>
      </c>
      <c r="ONN337" s="42" t="s">
        <v>606</v>
      </c>
      <c r="ONO337" s="42" t="s">
        <v>606</v>
      </c>
      <c r="ONP337" s="42" t="s">
        <v>606</v>
      </c>
      <c r="ONQ337" s="42" t="s">
        <v>606</v>
      </c>
      <c r="ONR337" s="42" t="s">
        <v>606</v>
      </c>
      <c r="ONS337" s="42" t="s">
        <v>606</v>
      </c>
      <c r="ONT337" s="42" t="s">
        <v>606</v>
      </c>
      <c r="ONU337" s="42" t="s">
        <v>606</v>
      </c>
      <c r="ONV337" s="42" t="s">
        <v>606</v>
      </c>
      <c r="ONW337" s="42" t="s">
        <v>606</v>
      </c>
      <c r="ONX337" s="42" t="s">
        <v>606</v>
      </c>
      <c r="ONY337" s="42" t="s">
        <v>606</v>
      </c>
      <c r="ONZ337" s="42" t="s">
        <v>606</v>
      </c>
      <c r="OOA337" s="42" t="s">
        <v>606</v>
      </c>
      <c r="OOB337" s="42" t="s">
        <v>606</v>
      </c>
      <c r="OOC337" s="42" t="s">
        <v>606</v>
      </c>
      <c r="OOD337" s="42" t="s">
        <v>606</v>
      </c>
      <c r="OOE337" s="42" t="s">
        <v>606</v>
      </c>
      <c r="OOF337" s="42" t="s">
        <v>606</v>
      </c>
      <c r="OOG337" s="42" t="s">
        <v>606</v>
      </c>
      <c r="OOH337" s="42" t="s">
        <v>606</v>
      </c>
      <c r="OOI337" s="42" t="s">
        <v>606</v>
      </c>
      <c r="OOJ337" s="42" t="s">
        <v>606</v>
      </c>
      <c r="OOK337" s="42" t="s">
        <v>606</v>
      </c>
      <c r="OOL337" s="42" t="s">
        <v>606</v>
      </c>
      <c r="OOM337" s="42" t="s">
        <v>606</v>
      </c>
      <c r="OON337" s="42" t="s">
        <v>606</v>
      </c>
      <c r="OOO337" s="42" t="s">
        <v>606</v>
      </c>
      <c r="OOP337" s="42" t="s">
        <v>606</v>
      </c>
      <c r="OOQ337" s="42" t="s">
        <v>606</v>
      </c>
      <c r="OOR337" s="42" t="s">
        <v>606</v>
      </c>
      <c r="OOS337" s="42" t="s">
        <v>606</v>
      </c>
      <c r="OOT337" s="42" t="s">
        <v>606</v>
      </c>
      <c r="OOU337" s="42" t="s">
        <v>606</v>
      </c>
      <c r="OOV337" s="42" t="s">
        <v>606</v>
      </c>
      <c r="OOW337" s="42" t="s">
        <v>606</v>
      </c>
      <c r="OOX337" s="42" t="s">
        <v>606</v>
      </c>
      <c r="OOY337" s="42" t="s">
        <v>606</v>
      </c>
      <c r="OOZ337" s="42" t="s">
        <v>606</v>
      </c>
      <c r="OPA337" s="42" t="s">
        <v>606</v>
      </c>
      <c r="OPB337" s="42" t="s">
        <v>606</v>
      </c>
      <c r="OPC337" s="42" t="s">
        <v>606</v>
      </c>
      <c r="OPD337" s="42" t="s">
        <v>606</v>
      </c>
      <c r="OPE337" s="42" t="s">
        <v>606</v>
      </c>
      <c r="OPF337" s="42" t="s">
        <v>606</v>
      </c>
      <c r="OPG337" s="42" t="s">
        <v>606</v>
      </c>
      <c r="OPH337" s="42" t="s">
        <v>606</v>
      </c>
      <c r="OPI337" s="42" t="s">
        <v>606</v>
      </c>
      <c r="OPJ337" s="42" t="s">
        <v>606</v>
      </c>
      <c r="OPK337" s="42" t="s">
        <v>606</v>
      </c>
      <c r="OPL337" s="42" t="s">
        <v>606</v>
      </c>
      <c r="OPM337" s="42" t="s">
        <v>606</v>
      </c>
      <c r="OPN337" s="42" t="s">
        <v>606</v>
      </c>
      <c r="OPO337" s="42" t="s">
        <v>606</v>
      </c>
      <c r="OPP337" s="42" t="s">
        <v>606</v>
      </c>
      <c r="OPQ337" s="42" t="s">
        <v>606</v>
      </c>
      <c r="OPR337" s="42" t="s">
        <v>606</v>
      </c>
      <c r="OPS337" s="42" t="s">
        <v>606</v>
      </c>
      <c r="OPT337" s="42" t="s">
        <v>606</v>
      </c>
      <c r="OPU337" s="42" t="s">
        <v>606</v>
      </c>
      <c r="OPV337" s="42" t="s">
        <v>606</v>
      </c>
      <c r="OPW337" s="42" t="s">
        <v>606</v>
      </c>
      <c r="OPX337" s="42" t="s">
        <v>606</v>
      </c>
      <c r="OPY337" s="42" t="s">
        <v>606</v>
      </c>
      <c r="OPZ337" s="42" t="s">
        <v>606</v>
      </c>
      <c r="OQA337" s="42" t="s">
        <v>606</v>
      </c>
      <c r="OQB337" s="42" t="s">
        <v>606</v>
      </c>
      <c r="OQC337" s="42" t="s">
        <v>606</v>
      </c>
      <c r="OQD337" s="42" t="s">
        <v>606</v>
      </c>
      <c r="OQE337" s="42" t="s">
        <v>606</v>
      </c>
      <c r="OQF337" s="42" t="s">
        <v>606</v>
      </c>
      <c r="OQG337" s="42" t="s">
        <v>606</v>
      </c>
      <c r="OQH337" s="42" t="s">
        <v>606</v>
      </c>
      <c r="OQI337" s="42" t="s">
        <v>606</v>
      </c>
      <c r="OQJ337" s="42" t="s">
        <v>606</v>
      </c>
      <c r="OQK337" s="42" t="s">
        <v>606</v>
      </c>
      <c r="OQL337" s="42" t="s">
        <v>606</v>
      </c>
      <c r="OQM337" s="42" t="s">
        <v>606</v>
      </c>
      <c r="OQN337" s="42" t="s">
        <v>606</v>
      </c>
      <c r="OQO337" s="42" t="s">
        <v>606</v>
      </c>
      <c r="OQP337" s="42" t="s">
        <v>606</v>
      </c>
      <c r="OQQ337" s="42" t="s">
        <v>606</v>
      </c>
      <c r="OQR337" s="42" t="s">
        <v>606</v>
      </c>
      <c r="OQS337" s="42" t="s">
        <v>606</v>
      </c>
      <c r="OQT337" s="42" t="s">
        <v>606</v>
      </c>
      <c r="OQU337" s="42" t="s">
        <v>606</v>
      </c>
      <c r="OQV337" s="42" t="s">
        <v>606</v>
      </c>
      <c r="OQW337" s="42" t="s">
        <v>606</v>
      </c>
      <c r="OQX337" s="42" t="s">
        <v>606</v>
      </c>
      <c r="OQY337" s="42" t="s">
        <v>606</v>
      </c>
      <c r="OQZ337" s="42" t="s">
        <v>606</v>
      </c>
      <c r="ORA337" s="42" t="s">
        <v>606</v>
      </c>
      <c r="ORB337" s="42" t="s">
        <v>606</v>
      </c>
      <c r="ORC337" s="42" t="s">
        <v>606</v>
      </c>
      <c r="ORD337" s="42" t="s">
        <v>606</v>
      </c>
      <c r="ORE337" s="42" t="s">
        <v>606</v>
      </c>
      <c r="ORF337" s="42" t="s">
        <v>606</v>
      </c>
      <c r="ORG337" s="42" t="s">
        <v>606</v>
      </c>
      <c r="ORH337" s="42" t="s">
        <v>606</v>
      </c>
      <c r="ORI337" s="42" t="s">
        <v>606</v>
      </c>
      <c r="ORJ337" s="42" t="s">
        <v>606</v>
      </c>
      <c r="ORK337" s="42" t="s">
        <v>606</v>
      </c>
      <c r="ORL337" s="42" t="s">
        <v>606</v>
      </c>
      <c r="ORM337" s="42" t="s">
        <v>606</v>
      </c>
      <c r="ORN337" s="42" t="s">
        <v>606</v>
      </c>
      <c r="ORO337" s="42" t="s">
        <v>606</v>
      </c>
      <c r="ORP337" s="42" t="s">
        <v>606</v>
      </c>
      <c r="ORQ337" s="42" t="s">
        <v>606</v>
      </c>
      <c r="ORR337" s="42" t="s">
        <v>606</v>
      </c>
      <c r="ORS337" s="42" t="s">
        <v>606</v>
      </c>
      <c r="ORT337" s="42" t="s">
        <v>606</v>
      </c>
      <c r="ORU337" s="42" t="s">
        <v>606</v>
      </c>
      <c r="ORV337" s="42" t="s">
        <v>606</v>
      </c>
      <c r="ORW337" s="42" t="s">
        <v>606</v>
      </c>
      <c r="ORX337" s="42" t="s">
        <v>606</v>
      </c>
      <c r="ORY337" s="42" t="s">
        <v>606</v>
      </c>
      <c r="ORZ337" s="42" t="s">
        <v>606</v>
      </c>
      <c r="OSA337" s="42" t="s">
        <v>606</v>
      </c>
      <c r="OSB337" s="42" t="s">
        <v>606</v>
      </c>
      <c r="OSC337" s="42" t="s">
        <v>606</v>
      </c>
      <c r="OSD337" s="42" t="s">
        <v>606</v>
      </c>
      <c r="OSE337" s="42" t="s">
        <v>606</v>
      </c>
      <c r="OSF337" s="42" t="s">
        <v>606</v>
      </c>
      <c r="OSG337" s="42" t="s">
        <v>606</v>
      </c>
      <c r="OSH337" s="42" t="s">
        <v>606</v>
      </c>
      <c r="OSI337" s="42" t="s">
        <v>606</v>
      </c>
      <c r="OSJ337" s="42" t="s">
        <v>606</v>
      </c>
      <c r="OSK337" s="42" t="s">
        <v>606</v>
      </c>
      <c r="OSL337" s="42" t="s">
        <v>606</v>
      </c>
      <c r="OSM337" s="42" t="s">
        <v>606</v>
      </c>
      <c r="OSN337" s="42" t="s">
        <v>606</v>
      </c>
      <c r="OSO337" s="42" t="s">
        <v>606</v>
      </c>
      <c r="OSP337" s="42" t="s">
        <v>606</v>
      </c>
      <c r="OSQ337" s="42" t="s">
        <v>606</v>
      </c>
      <c r="OSR337" s="42" t="s">
        <v>606</v>
      </c>
      <c r="OSS337" s="42" t="s">
        <v>606</v>
      </c>
      <c r="OST337" s="42" t="s">
        <v>606</v>
      </c>
      <c r="OSU337" s="42" t="s">
        <v>606</v>
      </c>
      <c r="OSV337" s="42" t="s">
        <v>606</v>
      </c>
      <c r="OSW337" s="42" t="s">
        <v>606</v>
      </c>
      <c r="OSX337" s="42" t="s">
        <v>606</v>
      </c>
      <c r="OSY337" s="42" t="s">
        <v>606</v>
      </c>
      <c r="OSZ337" s="42" t="s">
        <v>606</v>
      </c>
      <c r="OTA337" s="42" t="s">
        <v>606</v>
      </c>
      <c r="OTB337" s="42" t="s">
        <v>606</v>
      </c>
      <c r="OTC337" s="42" t="s">
        <v>606</v>
      </c>
      <c r="OTD337" s="42" t="s">
        <v>606</v>
      </c>
      <c r="OTE337" s="42" t="s">
        <v>606</v>
      </c>
      <c r="OTF337" s="42" t="s">
        <v>606</v>
      </c>
      <c r="OTG337" s="42" t="s">
        <v>606</v>
      </c>
      <c r="OTH337" s="42" t="s">
        <v>606</v>
      </c>
      <c r="OTI337" s="42" t="s">
        <v>606</v>
      </c>
      <c r="OTJ337" s="42" t="s">
        <v>606</v>
      </c>
      <c r="OTK337" s="42" t="s">
        <v>606</v>
      </c>
      <c r="OTL337" s="42" t="s">
        <v>606</v>
      </c>
      <c r="OTM337" s="42" t="s">
        <v>606</v>
      </c>
      <c r="OTN337" s="42" t="s">
        <v>606</v>
      </c>
      <c r="OTO337" s="42" t="s">
        <v>606</v>
      </c>
      <c r="OTP337" s="42" t="s">
        <v>606</v>
      </c>
      <c r="OTQ337" s="42" t="s">
        <v>606</v>
      </c>
      <c r="OTR337" s="42" t="s">
        <v>606</v>
      </c>
      <c r="OTS337" s="42" t="s">
        <v>606</v>
      </c>
      <c r="OTT337" s="42" t="s">
        <v>606</v>
      </c>
      <c r="OTU337" s="42" t="s">
        <v>606</v>
      </c>
      <c r="OTV337" s="42" t="s">
        <v>606</v>
      </c>
      <c r="OTW337" s="42" t="s">
        <v>606</v>
      </c>
      <c r="OTX337" s="42" t="s">
        <v>606</v>
      </c>
      <c r="OTY337" s="42" t="s">
        <v>606</v>
      </c>
      <c r="OTZ337" s="42" t="s">
        <v>606</v>
      </c>
      <c r="OUA337" s="42" t="s">
        <v>606</v>
      </c>
      <c r="OUB337" s="42" t="s">
        <v>606</v>
      </c>
      <c r="OUC337" s="42" t="s">
        <v>606</v>
      </c>
      <c r="OUD337" s="42" t="s">
        <v>606</v>
      </c>
      <c r="OUE337" s="42" t="s">
        <v>606</v>
      </c>
      <c r="OUF337" s="42" t="s">
        <v>606</v>
      </c>
      <c r="OUG337" s="42" t="s">
        <v>606</v>
      </c>
      <c r="OUH337" s="42" t="s">
        <v>606</v>
      </c>
      <c r="OUI337" s="42" t="s">
        <v>606</v>
      </c>
      <c r="OUJ337" s="42" t="s">
        <v>606</v>
      </c>
      <c r="OUK337" s="42" t="s">
        <v>606</v>
      </c>
      <c r="OUL337" s="42" t="s">
        <v>606</v>
      </c>
      <c r="OUM337" s="42" t="s">
        <v>606</v>
      </c>
      <c r="OUN337" s="42" t="s">
        <v>606</v>
      </c>
      <c r="OUO337" s="42" t="s">
        <v>606</v>
      </c>
      <c r="OUP337" s="42" t="s">
        <v>606</v>
      </c>
      <c r="OUQ337" s="42" t="s">
        <v>606</v>
      </c>
      <c r="OUR337" s="42" t="s">
        <v>606</v>
      </c>
      <c r="OUS337" s="42" t="s">
        <v>606</v>
      </c>
      <c r="OUT337" s="42" t="s">
        <v>606</v>
      </c>
      <c r="OUU337" s="42" t="s">
        <v>606</v>
      </c>
      <c r="OUV337" s="42" t="s">
        <v>606</v>
      </c>
      <c r="OUW337" s="42" t="s">
        <v>606</v>
      </c>
      <c r="OUX337" s="42" t="s">
        <v>606</v>
      </c>
      <c r="OUY337" s="42" t="s">
        <v>606</v>
      </c>
      <c r="OUZ337" s="42" t="s">
        <v>606</v>
      </c>
      <c r="OVA337" s="42" t="s">
        <v>606</v>
      </c>
      <c r="OVB337" s="42" t="s">
        <v>606</v>
      </c>
      <c r="OVC337" s="42" t="s">
        <v>606</v>
      </c>
      <c r="OVD337" s="42" t="s">
        <v>606</v>
      </c>
      <c r="OVE337" s="42" t="s">
        <v>606</v>
      </c>
      <c r="OVF337" s="42" t="s">
        <v>606</v>
      </c>
      <c r="OVG337" s="42" t="s">
        <v>606</v>
      </c>
      <c r="OVH337" s="42" t="s">
        <v>606</v>
      </c>
      <c r="OVI337" s="42" t="s">
        <v>606</v>
      </c>
      <c r="OVJ337" s="42" t="s">
        <v>606</v>
      </c>
      <c r="OVK337" s="42" t="s">
        <v>606</v>
      </c>
      <c r="OVL337" s="42" t="s">
        <v>606</v>
      </c>
      <c r="OVM337" s="42" t="s">
        <v>606</v>
      </c>
      <c r="OVN337" s="42" t="s">
        <v>606</v>
      </c>
      <c r="OVO337" s="42" t="s">
        <v>606</v>
      </c>
      <c r="OVP337" s="42" t="s">
        <v>606</v>
      </c>
      <c r="OVQ337" s="42" t="s">
        <v>606</v>
      </c>
      <c r="OVR337" s="42" t="s">
        <v>606</v>
      </c>
      <c r="OVS337" s="42" t="s">
        <v>606</v>
      </c>
      <c r="OVT337" s="42" t="s">
        <v>606</v>
      </c>
      <c r="OVU337" s="42" t="s">
        <v>606</v>
      </c>
      <c r="OVV337" s="42" t="s">
        <v>606</v>
      </c>
      <c r="OVW337" s="42" t="s">
        <v>606</v>
      </c>
      <c r="OVX337" s="42" t="s">
        <v>606</v>
      </c>
      <c r="OVY337" s="42" t="s">
        <v>606</v>
      </c>
      <c r="OVZ337" s="42" t="s">
        <v>606</v>
      </c>
      <c r="OWA337" s="42" t="s">
        <v>606</v>
      </c>
      <c r="OWB337" s="42" t="s">
        <v>606</v>
      </c>
      <c r="OWC337" s="42" t="s">
        <v>606</v>
      </c>
      <c r="OWD337" s="42" t="s">
        <v>606</v>
      </c>
      <c r="OWE337" s="42" t="s">
        <v>606</v>
      </c>
      <c r="OWF337" s="42" t="s">
        <v>606</v>
      </c>
      <c r="OWG337" s="42" t="s">
        <v>606</v>
      </c>
      <c r="OWH337" s="42" t="s">
        <v>606</v>
      </c>
      <c r="OWI337" s="42" t="s">
        <v>606</v>
      </c>
      <c r="OWJ337" s="42" t="s">
        <v>606</v>
      </c>
      <c r="OWK337" s="42" t="s">
        <v>606</v>
      </c>
      <c r="OWL337" s="42" t="s">
        <v>606</v>
      </c>
      <c r="OWM337" s="42" t="s">
        <v>606</v>
      </c>
      <c r="OWN337" s="42" t="s">
        <v>606</v>
      </c>
      <c r="OWO337" s="42" t="s">
        <v>606</v>
      </c>
      <c r="OWP337" s="42" t="s">
        <v>606</v>
      </c>
      <c r="OWQ337" s="42" t="s">
        <v>606</v>
      </c>
      <c r="OWR337" s="42" t="s">
        <v>606</v>
      </c>
      <c r="OWS337" s="42" t="s">
        <v>606</v>
      </c>
      <c r="OWT337" s="42" t="s">
        <v>606</v>
      </c>
      <c r="OWU337" s="42" t="s">
        <v>606</v>
      </c>
      <c r="OWV337" s="42" t="s">
        <v>606</v>
      </c>
      <c r="OWW337" s="42" t="s">
        <v>606</v>
      </c>
      <c r="OWX337" s="42" t="s">
        <v>606</v>
      </c>
      <c r="OWY337" s="42" t="s">
        <v>606</v>
      </c>
      <c r="OWZ337" s="42" t="s">
        <v>606</v>
      </c>
      <c r="OXA337" s="42" t="s">
        <v>606</v>
      </c>
      <c r="OXB337" s="42" t="s">
        <v>606</v>
      </c>
      <c r="OXC337" s="42" t="s">
        <v>606</v>
      </c>
      <c r="OXD337" s="42" t="s">
        <v>606</v>
      </c>
      <c r="OXE337" s="42" t="s">
        <v>606</v>
      </c>
      <c r="OXF337" s="42" t="s">
        <v>606</v>
      </c>
      <c r="OXG337" s="42" t="s">
        <v>606</v>
      </c>
      <c r="OXH337" s="42" t="s">
        <v>606</v>
      </c>
      <c r="OXI337" s="42" t="s">
        <v>606</v>
      </c>
      <c r="OXJ337" s="42" t="s">
        <v>606</v>
      </c>
      <c r="OXK337" s="42" t="s">
        <v>606</v>
      </c>
      <c r="OXL337" s="42" t="s">
        <v>606</v>
      </c>
      <c r="OXM337" s="42" t="s">
        <v>606</v>
      </c>
      <c r="OXN337" s="42" t="s">
        <v>606</v>
      </c>
      <c r="OXO337" s="42" t="s">
        <v>606</v>
      </c>
      <c r="OXP337" s="42" t="s">
        <v>606</v>
      </c>
      <c r="OXQ337" s="42" t="s">
        <v>606</v>
      </c>
      <c r="OXR337" s="42" t="s">
        <v>606</v>
      </c>
      <c r="OXS337" s="42" t="s">
        <v>606</v>
      </c>
      <c r="OXT337" s="42" t="s">
        <v>606</v>
      </c>
      <c r="OXU337" s="42" t="s">
        <v>606</v>
      </c>
      <c r="OXV337" s="42" t="s">
        <v>606</v>
      </c>
      <c r="OXW337" s="42" t="s">
        <v>606</v>
      </c>
      <c r="OXX337" s="42" t="s">
        <v>606</v>
      </c>
      <c r="OXY337" s="42" t="s">
        <v>606</v>
      </c>
      <c r="OXZ337" s="42" t="s">
        <v>606</v>
      </c>
      <c r="OYA337" s="42" t="s">
        <v>606</v>
      </c>
      <c r="OYB337" s="42" t="s">
        <v>606</v>
      </c>
      <c r="OYC337" s="42" t="s">
        <v>606</v>
      </c>
      <c r="OYD337" s="42" t="s">
        <v>606</v>
      </c>
      <c r="OYE337" s="42" t="s">
        <v>606</v>
      </c>
      <c r="OYF337" s="42" t="s">
        <v>606</v>
      </c>
      <c r="OYG337" s="42" t="s">
        <v>606</v>
      </c>
      <c r="OYH337" s="42" t="s">
        <v>606</v>
      </c>
      <c r="OYI337" s="42" t="s">
        <v>606</v>
      </c>
      <c r="OYJ337" s="42" t="s">
        <v>606</v>
      </c>
      <c r="OYK337" s="42" t="s">
        <v>606</v>
      </c>
      <c r="OYL337" s="42" t="s">
        <v>606</v>
      </c>
      <c r="OYM337" s="42" t="s">
        <v>606</v>
      </c>
      <c r="OYN337" s="42" t="s">
        <v>606</v>
      </c>
      <c r="OYO337" s="42" t="s">
        <v>606</v>
      </c>
      <c r="OYP337" s="42" t="s">
        <v>606</v>
      </c>
      <c r="OYQ337" s="42" t="s">
        <v>606</v>
      </c>
      <c r="OYR337" s="42" t="s">
        <v>606</v>
      </c>
      <c r="OYS337" s="42" t="s">
        <v>606</v>
      </c>
      <c r="OYT337" s="42" t="s">
        <v>606</v>
      </c>
      <c r="OYU337" s="42" t="s">
        <v>606</v>
      </c>
      <c r="OYV337" s="42" t="s">
        <v>606</v>
      </c>
      <c r="OYW337" s="42" t="s">
        <v>606</v>
      </c>
      <c r="OYX337" s="42" t="s">
        <v>606</v>
      </c>
      <c r="OYY337" s="42" t="s">
        <v>606</v>
      </c>
      <c r="OYZ337" s="42" t="s">
        <v>606</v>
      </c>
      <c r="OZA337" s="42" t="s">
        <v>606</v>
      </c>
      <c r="OZB337" s="42" t="s">
        <v>606</v>
      </c>
      <c r="OZC337" s="42" t="s">
        <v>606</v>
      </c>
      <c r="OZD337" s="42" t="s">
        <v>606</v>
      </c>
      <c r="OZE337" s="42" t="s">
        <v>606</v>
      </c>
      <c r="OZF337" s="42" t="s">
        <v>606</v>
      </c>
      <c r="OZG337" s="42" t="s">
        <v>606</v>
      </c>
      <c r="OZH337" s="42" t="s">
        <v>606</v>
      </c>
      <c r="OZI337" s="42" t="s">
        <v>606</v>
      </c>
      <c r="OZJ337" s="42" t="s">
        <v>606</v>
      </c>
      <c r="OZK337" s="42" t="s">
        <v>606</v>
      </c>
      <c r="OZL337" s="42" t="s">
        <v>606</v>
      </c>
      <c r="OZM337" s="42" t="s">
        <v>606</v>
      </c>
      <c r="OZN337" s="42" t="s">
        <v>606</v>
      </c>
      <c r="OZO337" s="42" t="s">
        <v>606</v>
      </c>
      <c r="OZP337" s="42" t="s">
        <v>606</v>
      </c>
      <c r="OZQ337" s="42" t="s">
        <v>606</v>
      </c>
      <c r="OZR337" s="42" t="s">
        <v>606</v>
      </c>
      <c r="OZS337" s="42" t="s">
        <v>606</v>
      </c>
      <c r="OZT337" s="42" t="s">
        <v>606</v>
      </c>
      <c r="OZU337" s="42" t="s">
        <v>606</v>
      </c>
      <c r="OZV337" s="42" t="s">
        <v>606</v>
      </c>
      <c r="OZW337" s="42" t="s">
        <v>606</v>
      </c>
      <c r="OZX337" s="42" t="s">
        <v>606</v>
      </c>
      <c r="OZY337" s="42" t="s">
        <v>606</v>
      </c>
      <c r="OZZ337" s="42" t="s">
        <v>606</v>
      </c>
      <c r="PAA337" s="42" t="s">
        <v>606</v>
      </c>
      <c r="PAB337" s="42" t="s">
        <v>606</v>
      </c>
      <c r="PAC337" s="42" t="s">
        <v>606</v>
      </c>
      <c r="PAD337" s="42" t="s">
        <v>606</v>
      </c>
      <c r="PAE337" s="42" t="s">
        <v>606</v>
      </c>
      <c r="PAF337" s="42" t="s">
        <v>606</v>
      </c>
      <c r="PAG337" s="42" t="s">
        <v>606</v>
      </c>
      <c r="PAH337" s="42" t="s">
        <v>606</v>
      </c>
      <c r="PAI337" s="42" t="s">
        <v>606</v>
      </c>
      <c r="PAJ337" s="42" t="s">
        <v>606</v>
      </c>
      <c r="PAK337" s="42" t="s">
        <v>606</v>
      </c>
      <c r="PAL337" s="42" t="s">
        <v>606</v>
      </c>
      <c r="PAM337" s="42" t="s">
        <v>606</v>
      </c>
      <c r="PAN337" s="42" t="s">
        <v>606</v>
      </c>
      <c r="PAO337" s="42" t="s">
        <v>606</v>
      </c>
      <c r="PAP337" s="42" t="s">
        <v>606</v>
      </c>
      <c r="PAQ337" s="42" t="s">
        <v>606</v>
      </c>
      <c r="PAR337" s="42" t="s">
        <v>606</v>
      </c>
      <c r="PAS337" s="42" t="s">
        <v>606</v>
      </c>
      <c r="PAT337" s="42" t="s">
        <v>606</v>
      </c>
      <c r="PAU337" s="42" t="s">
        <v>606</v>
      </c>
      <c r="PAV337" s="42" t="s">
        <v>606</v>
      </c>
      <c r="PAW337" s="42" t="s">
        <v>606</v>
      </c>
      <c r="PAX337" s="42" t="s">
        <v>606</v>
      </c>
      <c r="PAY337" s="42" t="s">
        <v>606</v>
      </c>
      <c r="PAZ337" s="42" t="s">
        <v>606</v>
      </c>
      <c r="PBA337" s="42" t="s">
        <v>606</v>
      </c>
      <c r="PBB337" s="42" t="s">
        <v>606</v>
      </c>
      <c r="PBC337" s="42" t="s">
        <v>606</v>
      </c>
      <c r="PBD337" s="42" t="s">
        <v>606</v>
      </c>
      <c r="PBE337" s="42" t="s">
        <v>606</v>
      </c>
      <c r="PBF337" s="42" t="s">
        <v>606</v>
      </c>
      <c r="PBG337" s="42" t="s">
        <v>606</v>
      </c>
      <c r="PBH337" s="42" t="s">
        <v>606</v>
      </c>
      <c r="PBI337" s="42" t="s">
        <v>606</v>
      </c>
      <c r="PBJ337" s="42" t="s">
        <v>606</v>
      </c>
      <c r="PBK337" s="42" t="s">
        <v>606</v>
      </c>
      <c r="PBL337" s="42" t="s">
        <v>606</v>
      </c>
      <c r="PBM337" s="42" t="s">
        <v>606</v>
      </c>
      <c r="PBN337" s="42" t="s">
        <v>606</v>
      </c>
      <c r="PBO337" s="42" t="s">
        <v>606</v>
      </c>
      <c r="PBP337" s="42" t="s">
        <v>606</v>
      </c>
      <c r="PBQ337" s="42" t="s">
        <v>606</v>
      </c>
      <c r="PBR337" s="42" t="s">
        <v>606</v>
      </c>
      <c r="PBS337" s="42" t="s">
        <v>606</v>
      </c>
      <c r="PBT337" s="42" t="s">
        <v>606</v>
      </c>
      <c r="PBU337" s="42" t="s">
        <v>606</v>
      </c>
      <c r="PBV337" s="42" t="s">
        <v>606</v>
      </c>
      <c r="PBW337" s="42" t="s">
        <v>606</v>
      </c>
      <c r="PBX337" s="42" t="s">
        <v>606</v>
      </c>
      <c r="PBY337" s="42" t="s">
        <v>606</v>
      </c>
      <c r="PBZ337" s="42" t="s">
        <v>606</v>
      </c>
      <c r="PCA337" s="42" t="s">
        <v>606</v>
      </c>
      <c r="PCB337" s="42" t="s">
        <v>606</v>
      </c>
      <c r="PCC337" s="42" t="s">
        <v>606</v>
      </c>
      <c r="PCD337" s="42" t="s">
        <v>606</v>
      </c>
      <c r="PCE337" s="42" t="s">
        <v>606</v>
      </c>
      <c r="PCF337" s="42" t="s">
        <v>606</v>
      </c>
      <c r="PCG337" s="42" t="s">
        <v>606</v>
      </c>
      <c r="PCH337" s="42" t="s">
        <v>606</v>
      </c>
      <c r="PCI337" s="42" t="s">
        <v>606</v>
      </c>
      <c r="PCJ337" s="42" t="s">
        <v>606</v>
      </c>
      <c r="PCK337" s="42" t="s">
        <v>606</v>
      </c>
      <c r="PCL337" s="42" t="s">
        <v>606</v>
      </c>
      <c r="PCM337" s="42" t="s">
        <v>606</v>
      </c>
      <c r="PCN337" s="42" t="s">
        <v>606</v>
      </c>
      <c r="PCO337" s="42" t="s">
        <v>606</v>
      </c>
      <c r="PCP337" s="42" t="s">
        <v>606</v>
      </c>
      <c r="PCQ337" s="42" t="s">
        <v>606</v>
      </c>
      <c r="PCR337" s="42" t="s">
        <v>606</v>
      </c>
      <c r="PCS337" s="42" t="s">
        <v>606</v>
      </c>
      <c r="PCT337" s="42" t="s">
        <v>606</v>
      </c>
      <c r="PCU337" s="42" t="s">
        <v>606</v>
      </c>
      <c r="PCV337" s="42" t="s">
        <v>606</v>
      </c>
      <c r="PCW337" s="42" t="s">
        <v>606</v>
      </c>
      <c r="PCX337" s="42" t="s">
        <v>606</v>
      </c>
      <c r="PCY337" s="42" t="s">
        <v>606</v>
      </c>
      <c r="PCZ337" s="42" t="s">
        <v>606</v>
      </c>
      <c r="PDA337" s="42" t="s">
        <v>606</v>
      </c>
      <c r="PDB337" s="42" t="s">
        <v>606</v>
      </c>
      <c r="PDC337" s="42" t="s">
        <v>606</v>
      </c>
      <c r="PDD337" s="42" t="s">
        <v>606</v>
      </c>
      <c r="PDE337" s="42" t="s">
        <v>606</v>
      </c>
      <c r="PDF337" s="42" t="s">
        <v>606</v>
      </c>
      <c r="PDG337" s="42" t="s">
        <v>606</v>
      </c>
      <c r="PDH337" s="42" t="s">
        <v>606</v>
      </c>
      <c r="PDI337" s="42" t="s">
        <v>606</v>
      </c>
      <c r="PDJ337" s="42" t="s">
        <v>606</v>
      </c>
      <c r="PDK337" s="42" t="s">
        <v>606</v>
      </c>
      <c r="PDL337" s="42" t="s">
        <v>606</v>
      </c>
      <c r="PDM337" s="42" t="s">
        <v>606</v>
      </c>
      <c r="PDN337" s="42" t="s">
        <v>606</v>
      </c>
      <c r="PDO337" s="42" t="s">
        <v>606</v>
      </c>
      <c r="PDP337" s="42" t="s">
        <v>606</v>
      </c>
      <c r="PDQ337" s="42" t="s">
        <v>606</v>
      </c>
      <c r="PDR337" s="42" t="s">
        <v>606</v>
      </c>
      <c r="PDS337" s="42" t="s">
        <v>606</v>
      </c>
      <c r="PDT337" s="42" t="s">
        <v>606</v>
      </c>
      <c r="PDU337" s="42" t="s">
        <v>606</v>
      </c>
      <c r="PDV337" s="42" t="s">
        <v>606</v>
      </c>
      <c r="PDW337" s="42" t="s">
        <v>606</v>
      </c>
      <c r="PDX337" s="42" t="s">
        <v>606</v>
      </c>
      <c r="PDY337" s="42" t="s">
        <v>606</v>
      </c>
      <c r="PDZ337" s="42" t="s">
        <v>606</v>
      </c>
      <c r="PEA337" s="42" t="s">
        <v>606</v>
      </c>
      <c r="PEB337" s="42" t="s">
        <v>606</v>
      </c>
      <c r="PEC337" s="42" t="s">
        <v>606</v>
      </c>
      <c r="PED337" s="42" t="s">
        <v>606</v>
      </c>
      <c r="PEE337" s="42" t="s">
        <v>606</v>
      </c>
      <c r="PEF337" s="42" t="s">
        <v>606</v>
      </c>
      <c r="PEG337" s="42" t="s">
        <v>606</v>
      </c>
      <c r="PEH337" s="42" t="s">
        <v>606</v>
      </c>
      <c r="PEI337" s="42" t="s">
        <v>606</v>
      </c>
      <c r="PEJ337" s="42" t="s">
        <v>606</v>
      </c>
      <c r="PEK337" s="42" t="s">
        <v>606</v>
      </c>
      <c r="PEL337" s="42" t="s">
        <v>606</v>
      </c>
      <c r="PEM337" s="42" t="s">
        <v>606</v>
      </c>
      <c r="PEN337" s="42" t="s">
        <v>606</v>
      </c>
      <c r="PEO337" s="42" t="s">
        <v>606</v>
      </c>
      <c r="PEP337" s="42" t="s">
        <v>606</v>
      </c>
      <c r="PEQ337" s="42" t="s">
        <v>606</v>
      </c>
      <c r="PER337" s="42" t="s">
        <v>606</v>
      </c>
      <c r="PES337" s="42" t="s">
        <v>606</v>
      </c>
      <c r="PET337" s="42" t="s">
        <v>606</v>
      </c>
      <c r="PEU337" s="42" t="s">
        <v>606</v>
      </c>
      <c r="PEV337" s="42" t="s">
        <v>606</v>
      </c>
      <c r="PEW337" s="42" t="s">
        <v>606</v>
      </c>
      <c r="PEX337" s="42" t="s">
        <v>606</v>
      </c>
      <c r="PEY337" s="42" t="s">
        <v>606</v>
      </c>
      <c r="PEZ337" s="42" t="s">
        <v>606</v>
      </c>
      <c r="PFA337" s="42" t="s">
        <v>606</v>
      </c>
      <c r="PFB337" s="42" t="s">
        <v>606</v>
      </c>
      <c r="PFC337" s="42" t="s">
        <v>606</v>
      </c>
      <c r="PFD337" s="42" t="s">
        <v>606</v>
      </c>
      <c r="PFE337" s="42" t="s">
        <v>606</v>
      </c>
      <c r="PFF337" s="42" t="s">
        <v>606</v>
      </c>
      <c r="PFG337" s="42" t="s">
        <v>606</v>
      </c>
      <c r="PFH337" s="42" t="s">
        <v>606</v>
      </c>
      <c r="PFI337" s="42" t="s">
        <v>606</v>
      </c>
      <c r="PFJ337" s="42" t="s">
        <v>606</v>
      </c>
      <c r="PFK337" s="42" t="s">
        <v>606</v>
      </c>
      <c r="PFL337" s="42" t="s">
        <v>606</v>
      </c>
      <c r="PFM337" s="42" t="s">
        <v>606</v>
      </c>
      <c r="PFN337" s="42" t="s">
        <v>606</v>
      </c>
      <c r="PFO337" s="42" t="s">
        <v>606</v>
      </c>
      <c r="PFP337" s="42" t="s">
        <v>606</v>
      </c>
      <c r="PFQ337" s="42" t="s">
        <v>606</v>
      </c>
      <c r="PFR337" s="42" t="s">
        <v>606</v>
      </c>
      <c r="PFS337" s="42" t="s">
        <v>606</v>
      </c>
      <c r="PFT337" s="42" t="s">
        <v>606</v>
      </c>
      <c r="PFU337" s="42" t="s">
        <v>606</v>
      </c>
      <c r="PFV337" s="42" t="s">
        <v>606</v>
      </c>
      <c r="PFW337" s="42" t="s">
        <v>606</v>
      </c>
      <c r="PFX337" s="42" t="s">
        <v>606</v>
      </c>
      <c r="PFY337" s="42" t="s">
        <v>606</v>
      </c>
      <c r="PFZ337" s="42" t="s">
        <v>606</v>
      </c>
      <c r="PGA337" s="42" t="s">
        <v>606</v>
      </c>
      <c r="PGB337" s="42" t="s">
        <v>606</v>
      </c>
      <c r="PGC337" s="42" t="s">
        <v>606</v>
      </c>
      <c r="PGD337" s="42" t="s">
        <v>606</v>
      </c>
      <c r="PGE337" s="42" t="s">
        <v>606</v>
      </c>
      <c r="PGF337" s="42" t="s">
        <v>606</v>
      </c>
      <c r="PGG337" s="42" t="s">
        <v>606</v>
      </c>
      <c r="PGH337" s="42" t="s">
        <v>606</v>
      </c>
      <c r="PGI337" s="42" t="s">
        <v>606</v>
      </c>
      <c r="PGJ337" s="42" t="s">
        <v>606</v>
      </c>
      <c r="PGK337" s="42" t="s">
        <v>606</v>
      </c>
      <c r="PGL337" s="42" t="s">
        <v>606</v>
      </c>
      <c r="PGM337" s="42" t="s">
        <v>606</v>
      </c>
      <c r="PGN337" s="42" t="s">
        <v>606</v>
      </c>
      <c r="PGO337" s="42" t="s">
        <v>606</v>
      </c>
      <c r="PGP337" s="42" t="s">
        <v>606</v>
      </c>
      <c r="PGQ337" s="42" t="s">
        <v>606</v>
      </c>
      <c r="PGR337" s="42" t="s">
        <v>606</v>
      </c>
      <c r="PGS337" s="42" t="s">
        <v>606</v>
      </c>
      <c r="PGT337" s="42" t="s">
        <v>606</v>
      </c>
      <c r="PGU337" s="42" t="s">
        <v>606</v>
      </c>
      <c r="PGV337" s="42" t="s">
        <v>606</v>
      </c>
      <c r="PGW337" s="42" t="s">
        <v>606</v>
      </c>
      <c r="PGX337" s="42" t="s">
        <v>606</v>
      </c>
      <c r="PGY337" s="42" t="s">
        <v>606</v>
      </c>
      <c r="PGZ337" s="42" t="s">
        <v>606</v>
      </c>
      <c r="PHA337" s="42" t="s">
        <v>606</v>
      </c>
      <c r="PHB337" s="42" t="s">
        <v>606</v>
      </c>
      <c r="PHC337" s="42" t="s">
        <v>606</v>
      </c>
      <c r="PHD337" s="42" t="s">
        <v>606</v>
      </c>
      <c r="PHE337" s="42" t="s">
        <v>606</v>
      </c>
      <c r="PHF337" s="42" t="s">
        <v>606</v>
      </c>
      <c r="PHG337" s="42" t="s">
        <v>606</v>
      </c>
      <c r="PHH337" s="42" t="s">
        <v>606</v>
      </c>
      <c r="PHI337" s="42" t="s">
        <v>606</v>
      </c>
      <c r="PHJ337" s="42" t="s">
        <v>606</v>
      </c>
      <c r="PHK337" s="42" t="s">
        <v>606</v>
      </c>
      <c r="PHL337" s="42" t="s">
        <v>606</v>
      </c>
      <c r="PHM337" s="42" t="s">
        <v>606</v>
      </c>
      <c r="PHN337" s="42" t="s">
        <v>606</v>
      </c>
      <c r="PHO337" s="42" t="s">
        <v>606</v>
      </c>
      <c r="PHP337" s="42" t="s">
        <v>606</v>
      </c>
      <c r="PHQ337" s="42" t="s">
        <v>606</v>
      </c>
      <c r="PHR337" s="42" t="s">
        <v>606</v>
      </c>
      <c r="PHS337" s="42" t="s">
        <v>606</v>
      </c>
      <c r="PHT337" s="42" t="s">
        <v>606</v>
      </c>
      <c r="PHU337" s="42" t="s">
        <v>606</v>
      </c>
      <c r="PHV337" s="42" t="s">
        <v>606</v>
      </c>
      <c r="PHW337" s="42" t="s">
        <v>606</v>
      </c>
      <c r="PHX337" s="42" t="s">
        <v>606</v>
      </c>
      <c r="PHY337" s="42" t="s">
        <v>606</v>
      </c>
      <c r="PHZ337" s="42" t="s">
        <v>606</v>
      </c>
      <c r="PIA337" s="42" t="s">
        <v>606</v>
      </c>
      <c r="PIB337" s="42" t="s">
        <v>606</v>
      </c>
      <c r="PIC337" s="42" t="s">
        <v>606</v>
      </c>
      <c r="PID337" s="42" t="s">
        <v>606</v>
      </c>
      <c r="PIE337" s="42" t="s">
        <v>606</v>
      </c>
      <c r="PIF337" s="42" t="s">
        <v>606</v>
      </c>
      <c r="PIG337" s="42" t="s">
        <v>606</v>
      </c>
      <c r="PIH337" s="42" t="s">
        <v>606</v>
      </c>
      <c r="PII337" s="42" t="s">
        <v>606</v>
      </c>
      <c r="PIJ337" s="42" t="s">
        <v>606</v>
      </c>
      <c r="PIK337" s="42" t="s">
        <v>606</v>
      </c>
      <c r="PIL337" s="42" t="s">
        <v>606</v>
      </c>
      <c r="PIM337" s="42" t="s">
        <v>606</v>
      </c>
      <c r="PIN337" s="42" t="s">
        <v>606</v>
      </c>
      <c r="PIO337" s="42" t="s">
        <v>606</v>
      </c>
      <c r="PIP337" s="42" t="s">
        <v>606</v>
      </c>
      <c r="PIQ337" s="42" t="s">
        <v>606</v>
      </c>
      <c r="PIR337" s="42" t="s">
        <v>606</v>
      </c>
      <c r="PIS337" s="42" t="s">
        <v>606</v>
      </c>
      <c r="PIT337" s="42" t="s">
        <v>606</v>
      </c>
      <c r="PIU337" s="42" t="s">
        <v>606</v>
      </c>
      <c r="PIV337" s="42" t="s">
        <v>606</v>
      </c>
      <c r="PIW337" s="42" t="s">
        <v>606</v>
      </c>
      <c r="PIX337" s="42" t="s">
        <v>606</v>
      </c>
      <c r="PIY337" s="42" t="s">
        <v>606</v>
      </c>
      <c r="PIZ337" s="42" t="s">
        <v>606</v>
      </c>
      <c r="PJA337" s="42" t="s">
        <v>606</v>
      </c>
      <c r="PJB337" s="42" t="s">
        <v>606</v>
      </c>
      <c r="PJC337" s="42" t="s">
        <v>606</v>
      </c>
      <c r="PJD337" s="42" t="s">
        <v>606</v>
      </c>
      <c r="PJE337" s="42" t="s">
        <v>606</v>
      </c>
      <c r="PJF337" s="42" t="s">
        <v>606</v>
      </c>
      <c r="PJG337" s="42" t="s">
        <v>606</v>
      </c>
      <c r="PJH337" s="42" t="s">
        <v>606</v>
      </c>
      <c r="PJI337" s="42" t="s">
        <v>606</v>
      </c>
      <c r="PJJ337" s="42" t="s">
        <v>606</v>
      </c>
      <c r="PJK337" s="42" t="s">
        <v>606</v>
      </c>
      <c r="PJL337" s="42" t="s">
        <v>606</v>
      </c>
      <c r="PJM337" s="42" t="s">
        <v>606</v>
      </c>
      <c r="PJN337" s="42" t="s">
        <v>606</v>
      </c>
      <c r="PJO337" s="42" t="s">
        <v>606</v>
      </c>
      <c r="PJP337" s="42" t="s">
        <v>606</v>
      </c>
      <c r="PJQ337" s="42" t="s">
        <v>606</v>
      </c>
      <c r="PJR337" s="42" t="s">
        <v>606</v>
      </c>
      <c r="PJS337" s="42" t="s">
        <v>606</v>
      </c>
      <c r="PJT337" s="42" t="s">
        <v>606</v>
      </c>
      <c r="PJU337" s="42" t="s">
        <v>606</v>
      </c>
      <c r="PJV337" s="42" t="s">
        <v>606</v>
      </c>
      <c r="PJW337" s="42" t="s">
        <v>606</v>
      </c>
      <c r="PJX337" s="42" t="s">
        <v>606</v>
      </c>
      <c r="PJY337" s="42" t="s">
        <v>606</v>
      </c>
      <c r="PJZ337" s="42" t="s">
        <v>606</v>
      </c>
      <c r="PKA337" s="42" t="s">
        <v>606</v>
      </c>
      <c r="PKB337" s="42" t="s">
        <v>606</v>
      </c>
      <c r="PKC337" s="42" t="s">
        <v>606</v>
      </c>
      <c r="PKD337" s="42" t="s">
        <v>606</v>
      </c>
      <c r="PKE337" s="42" t="s">
        <v>606</v>
      </c>
      <c r="PKF337" s="42" t="s">
        <v>606</v>
      </c>
      <c r="PKG337" s="42" t="s">
        <v>606</v>
      </c>
      <c r="PKH337" s="42" t="s">
        <v>606</v>
      </c>
      <c r="PKI337" s="42" t="s">
        <v>606</v>
      </c>
      <c r="PKJ337" s="42" t="s">
        <v>606</v>
      </c>
      <c r="PKK337" s="42" t="s">
        <v>606</v>
      </c>
      <c r="PKL337" s="42" t="s">
        <v>606</v>
      </c>
      <c r="PKM337" s="42" t="s">
        <v>606</v>
      </c>
      <c r="PKN337" s="42" t="s">
        <v>606</v>
      </c>
      <c r="PKO337" s="42" t="s">
        <v>606</v>
      </c>
      <c r="PKP337" s="42" t="s">
        <v>606</v>
      </c>
      <c r="PKQ337" s="42" t="s">
        <v>606</v>
      </c>
      <c r="PKR337" s="42" t="s">
        <v>606</v>
      </c>
      <c r="PKS337" s="42" t="s">
        <v>606</v>
      </c>
      <c r="PKT337" s="42" t="s">
        <v>606</v>
      </c>
      <c r="PKU337" s="42" t="s">
        <v>606</v>
      </c>
      <c r="PKV337" s="42" t="s">
        <v>606</v>
      </c>
      <c r="PKW337" s="42" t="s">
        <v>606</v>
      </c>
      <c r="PKX337" s="42" t="s">
        <v>606</v>
      </c>
      <c r="PKY337" s="42" t="s">
        <v>606</v>
      </c>
      <c r="PKZ337" s="42" t="s">
        <v>606</v>
      </c>
      <c r="PLA337" s="42" t="s">
        <v>606</v>
      </c>
      <c r="PLB337" s="42" t="s">
        <v>606</v>
      </c>
      <c r="PLC337" s="42" t="s">
        <v>606</v>
      </c>
      <c r="PLD337" s="42" t="s">
        <v>606</v>
      </c>
      <c r="PLE337" s="42" t="s">
        <v>606</v>
      </c>
      <c r="PLF337" s="42" t="s">
        <v>606</v>
      </c>
      <c r="PLG337" s="42" t="s">
        <v>606</v>
      </c>
      <c r="PLH337" s="42" t="s">
        <v>606</v>
      </c>
      <c r="PLI337" s="42" t="s">
        <v>606</v>
      </c>
      <c r="PLJ337" s="42" t="s">
        <v>606</v>
      </c>
      <c r="PLK337" s="42" t="s">
        <v>606</v>
      </c>
      <c r="PLL337" s="42" t="s">
        <v>606</v>
      </c>
      <c r="PLM337" s="42" t="s">
        <v>606</v>
      </c>
      <c r="PLN337" s="42" t="s">
        <v>606</v>
      </c>
      <c r="PLO337" s="42" t="s">
        <v>606</v>
      </c>
      <c r="PLP337" s="42" t="s">
        <v>606</v>
      </c>
      <c r="PLQ337" s="42" t="s">
        <v>606</v>
      </c>
      <c r="PLR337" s="42" t="s">
        <v>606</v>
      </c>
      <c r="PLS337" s="42" t="s">
        <v>606</v>
      </c>
      <c r="PLT337" s="42" t="s">
        <v>606</v>
      </c>
      <c r="PLU337" s="42" t="s">
        <v>606</v>
      </c>
      <c r="PLV337" s="42" t="s">
        <v>606</v>
      </c>
      <c r="PLW337" s="42" t="s">
        <v>606</v>
      </c>
      <c r="PLX337" s="42" t="s">
        <v>606</v>
      </c>
      <c r="PLY337" s="42" t="s">
        <v>606</v>
      </c>
      <c r="PLZ337" s="42" t="s">
        <v>606</v>
      </c>
      <c r="PMA337" s="42" t="s">
        <v>606</v>
      </c>
      <c r="PMB337" s="42" t="s">
        <v>606</v>
      </c>
      <c r="PMC337" s="42" t="s">
        <v>606</v>
      </c>
      <c r="PMD337" s="42" t="s">
        <v>606</v>
      </c>
      <c r="PME337" s="42" t="s">
        <v>606</v>
      </c>
      <c r="PMF337" s="42" t="s">
        <v>606</v>
      </c>
      <c r="PMG337" s="42" t="s">
        <v>606</v>
      </c>
      <c r="PMH337" s="42" t="s">
        <v>606</v>
      </c>
      <c r="PMI337" s="42" t="s">
        <v>606</v>
      </c>
      <c r="PMJ337" s="42" t="s">
        <v>606</v>
      </c>
      <c r="PMK337" s="42" t="s">
        <v>606</v>
      </c>
      <c r="PML337" s="42" t="s">
        <v>606</v>
      </c>
      <c r="PMM337" s="42" t="s">
        <v>606</v>
      </c>
      <c r="PMN337" s="42" t="s">
        <v>606</v>
      </c>
      <c r="PMO337" s="42" t="s">
        <v>606</v>
      </c>
      <c r="PMP337" s="42" t="s">
        <v>606</v>
      </c>
      <c r="PMQ337" s="42" t="s">
        <v>606</v>
      </c>
      <c r="PMR337" s="42" t="s">
        <v>606</v>
      </c>
      <c r="PMS337" s="42" t="s">
        <v>606</v>
      </c>
      <c r="PMT337" s="42" t="s">
        <v>606</v>
      </c>
      <c r="PMU337" s="42" t="s">
        <v>606</v>
      </c>
      <c r="PMV337" s="42" t="s">
        <v>606</v>
      </c>
      <c r="PMW337" s="42" t="s">
        <v>606</v>
      </c>
      <c r="PMX337" s="42" t="s">
        <v>606</v>
      </c>
      <c r="PMY337" s="42" t="s">
        <v>606</v>
      </c>
      <c r="PMZ337" s="42" t="s">
        <v>606</v>
      </c>
      <c r="PNA337" s="42" t="s">
        <v>606</v>
      </c>
      <c r="PNB337" s="42" t="s">
        <v>606</v>
      </c>
      <c r="PNC337" s="42" t="s">
        <v>606</v>
      </c>
      <c r="PND337" s="42" t="s">
        <v>606</v>
      </c>
      <c r="PNE337" s="42" t="s">
        <v>606</v>
      </c>
      <c r="PNF337" s="42" t="s">
        <v>606</v>
      </c>
      <c r="PNG337" s="42" t="s">
        <v>606</v>
      </c>
      <c r="PNH337" s="42" t="s">
        <v>606</v>
      </c>
      <c r="PNI337" s="42" t="s">
        <v>606</v>
      </c>
      <c r="PNJ337" s="42" t="s">
        <v>606</v>
      </c>
      <c r="PNK337" s="42" t="s">
        <v>606</v>
      </c>
      <c r="PNL337" s="42" t="s">
        <v>606</v>
      </c>
      <c r="PNM337" s="42" t="s">
        <v>606</v>
      </c>
      <c r="PNN337" s="42" t="s">
        <v>606</v>
      </c>
      <c r="PNO337" s="42" t="s">
        <v>606</v>
      </c>
      <c r="PNP337" s="42" t="s">
        <v>606</v>
      </c>
      <c r="PNQ337" s="42" t="s">
        <v>606</v>
      </c>
      <c r="PNR337" s="42" t="s">
        <v>606</v>
      </c>
      <c r="PNS337" s="42" t="s">
        <v>606</v>
      </c>
      <c r="PNT337" s="42" t="s">
        <v>606</v>
      </c>
      <c r="PNU337" s="42" t="s">
        <v>606</v>
      </c>
      <c r="PNV337" s="42" t="s">
        <v>606</v>
      </c>
      <c r="PNW337" s="42" t="s">
        <v>606</v>
      </c>
      <c r="PNX337" s="42" t="s">
        <v>606</v>
      </c>
      <c r="PNY337" s="42" t="s">
        <v>606</v>
      </c>
      <c r="PNZ337" s="42" t="s">
        <v>606</v>
      </c>
      <c r="POA337" s="42" t="s">
        <v>606</v>
      </c>
      <c r="POB337" s="42" t="s">
        <v>606</v>
      </c>
      <c r="POC337" s="42" t="s">
        <v>606</v>
      </c>
      <c r="POD337" s="42" t="s">
        <v>606</v>
      </c>
      <c r="POE337" s="42" t="s">
        <v>606</v>
      </c>
      <c r="POF337" s="42" t="s">
        <v>606</v>
      </c>
      <c r="POG337" s="42" t="s">
        <v>606</v>
      </c>
      <c r="POH337" s="42" t="s">
        <v>606</v>
      </c>
      <c r="POI337" s="42" t="s">
        <v>606</v>
      </c>
      <c r="POJ337" s="42" t="s">
        <v>606</v>
      </c>
      <c r="POK337" s="42" t="s">
        <v>606</v>
      </c>
      <c r="POL337" s="42" t="s">
        <v>606</v>
      </c>
      <c r="POM337" s="42" t="s">
        <v>606</v>
      </c>
      <c r="PON337" s="42" t="s">
        <v>606</v>
      </c>
      <c r="POO337" s="42" t="s">
        <v>606</v>
      </c>
      <c r="POP337" s="42" t="s">
        <v>606</v>
      </c>
      <c r="POQ337" s="42" t="s">
        <v>606</v>
      </c>
      <c r="POR337" s="42" t="s">
        <v>606</v>
      </c>
      <c r="POS337" s="42" t="s">
        <v>606</v>
      </c>
      <c r="POT337" s="42" t="s">
        <v>606</v>
      </c>
      <c r="POU337" s="42" t="s">
        <v>606</v>
      </c>
      <c r="POV337" s="42" t="s">
        <v>606</v>
      </c>
      <c r="POW337" s="42" t="s">
        <v>606</v>
      </c>
      <c r="POX337" s="42" t="s">
        <v>606</v>
      </c>
      <c r="POY337" s="42" t="s">
        <v>606</v>
      </c>
      <c r="POZ337" s="42" t="s">
        <v>606</v>
      </c>
      <c r="PPA337" s="42" t="s">
        <v>606</v>
      </c>
      <c r="PPB337" s="42" t="s">
        <v>606</v>
      </c>
      <c r="PPC337" s="42" t="s">
        <v>606</v>
      </c>
      <c r="PPD337" s="42" t="s">
        <v>606</v>
      </c>
      <c r="PPE337" s="42" t="s">
        <v>606</v>
      </c>
      <c r="PPF337" s="42" t="s">
        <v>606</v>
      </c>
      <c r="PPG337" s="42" t="s">
        <v>606</v>
      </c>
      <c r="PPH337" s="42" t="s">
        <v>606</v>
      </c>
      <c r="PPI337" s="42" t="s">
        <v>606</v>
      </c>
      <c r="PPJ337" s="42" t="s">
        <v>606</v>
      </c>
      <c r="PPK337" s="42" t="s">
        <v>606</v>
      </c>
      <c r="PPL337" s="42" t="s">
        <v>606</v>
      </c>
      <c r="PPM337" s="42" t="s">
        <v>606</v>
      </c>
      <c r="PPN337" s="42" t="s">
        <v>606</v>
      </c>
      <c r="PPO337" s="42" t="s">
        <v>606</v>
      </c>
      <c r="PPP337" s="42" t="s">
        <v>606</v>
      </c>
      <c r="PPQ337" s="42" t="s">
        <v>606</v>
      </c>
      <c r="PPR337" s="42" t="s">
        <v>606</v>
      </c>
      <c r="PPS337" s="42" t="s">
        <v>606</v>
      </c>
      <c r="PPT337" s="42" t="s">
        <v>606</v>
      </c>
      <c r="PPU337" s="42" t="s">
        <v>606</v>
      </c>
      <c r="PPV337" s="42" t="s">
        <v>606</v>
      </c>
      <c r="PPW337" s="42" t="s">
        <v>606</v>
      </c>
      <c r="PPX337" s="42" t="s">
        <v>606</v>
      </c>
      <c r="PPY337" s="42" t="s">
        <v>606</v>
      </c>
      <c r="PPZ337" s="42" t="s">
        <v>606</v>
      </c>
      <c r="PQA337" s="42" t="s">
        <v>606</v>
      </c>
      <c r="PQB337" s="42" t="s">
        <v>606</v>
      </c>
      <c r="PQC337" s="42" t="s">
        <v>606</v>
      </c>
      <c r="PQD337" s="42" t="s">
        <v>606</v>
      </c>
      <c r="PQE337" s="42" t="s">
        <v>606</v>
      </c>
      <c r="PQF337" s="42" t="s">
        <v>606</v>
      </c>
      <c r="PQG337" s="42" t="s">
        <v>606</v>
      </c>
      <c r="PQH337" s="42" t="s">
        <v>606</v>
      </c>
      <c r="PQI337" s="42" t="s">
        <v>606</v>
      </c>
      <c r="PQJ337" s="42" t="s">
        <v>606</v>
      </c>
      <c r="PQK337" s="42" t="s">
        <v>606</v>
      </c>
      <c r="PQL337" s="42" t="s">
        <v>606</v>
      </c>
      <c r="PQM337" s="42" t="s">
        <v>606</v>
      </c>
      <c r="PQN337" s="42" t="s">
        <v>606</v>
      </c>
      <c r="PQO337" s="42" t="s">
        <v>606</v>
      </c>
      <c r="PQP337" s="42" t="s">
        <v>606</v>
      </c>
      <c r="PQQ337" s="42" t="s">
        <v>606</v>
      </c>
      <c r="PQR337" s="42" t="s">
        <v>606</v>
      </c>
      <c r="PQS337" s="42" t="s">
        <v>606</v>
      </c>
      <c r="PQT337" s="42" t="s">
        <v>606</v>
      </c>
      <c r="PQU337" s="42" t="s">
        <v>606</v>
      </c>
      <c r="PQV337" s="42" t="s">
        <v>606</v>
      </c>
      <c r="PQW337" s="42" t="s">
        <v>606</v>
      </c>
      <c r="PQX337" s="42" t="s">
        <v>606</v>
      </c>
      <c r="PQY337" s="42" t="s">
        <v>606</v>
      </c>
      <c r="PQZ337" s="42" t="s">
        <v>606</v>
      </c>
      <c r="PRA337" s="42" t="s">
        <v>606</v>
      </c>
      <c r="PRB337" s="42" t="s">
        <v>606</v>
      </c>
      <c r="PRC337" s="42" t="s">
        <v>606</v>
      </c>
      <c r="PRD337" s="42" t="s">
        <v>606</v>
      </c>
      <c r="PRE337" s="42" t="s">
        <v>606</v>
      </c>
      <c r="PRF337" s="42" t="s">
        <v>606</v>
      </c>
      <c r="PRG337" s="42" t="s">
        <v>606</v>
      </c>
      <c r="PRH337" s="42" t="s">
        <v>606</v>
      </c>
      <c r="PRI337" s="42" t="s">
        <v>606</v>
      </c>
      <c r="PRJ337" s="42" t="s">
        <v>606</v>
      </c>
      <c r="PRK337" s="42" t="s">
        <v>606</v>
      </c>
      <c r="PRL337" s="42" t="s">
        <v>606</v>
      </c>
      <c r="PRM337" s="42" t="s">
        <v>606</v>
      </c>
      <c r="PRN337" s="42" t="s">
        <v>606</v>
      </c>
      <c r="PRO337" s="42" t="s">
        <v>606</v>
      </c>
      <c r="PRP337" s="42" t="s">
        <v>606</v>
      </c>
      <c r="PRQ337" s="42" t="s">
        <v>606</v>
      </c>
      <c r="PRR337" s="42" t="s">
        <v>606</v>
      </c>
      <c r="PRS337" s="42" t="s">
        <v>606</v>
      </c>
      <c r="PRT337" s="42" t="s">
        <v>606</v>
      </c>
      <c r="PRU337" s="42" t="s">
        <v>606</v>
      </c>
      <c r="PRV337" s="42" t="s">
        <v>606</v>
      </c>
      <c r="PRW337" s="42" t="s">
        <v>606</v>
      </c>
      <c r="PRX337" s="42" t="s">
        <v>606</v>
      </c>
      <c r="PRY337" s="42" t="s">
        <v>606</v>
      </c>
      <c r="PRZ337" s="42" t="s">
        <v>606</v>
      </c>
      <c r="PSA337" s="42" t="s">
        <v>606</v>
      </c>
      <c r="PSB337" s="42" t="s">
        <v>606</v>
      </c>
      <c r="PSC337" s="42" t="s">
        <v>606</v>
      </c>
      <c r="PSD337" s="42" t="s">
        <v>606</v>
      </c>
      <c r="PSE337" s="42" t="s">
        <v>606</v>
      </c>
      <c r="PSF337" s="42" t="s">
        <v>606</v>
      </c>
      <c r="PSG337" s="42" t="s">
        <v>606</v>
      </c>
      <c r="PSH337" s="42" t="s">
        <v>606</v>
      </c>
      <c r="PSI337" s="42" t="s">
        <v>606</v>
      </c>
      <c r="PSJ337" s="42" t="s">
        <v>606</v>
      </c>
      <c r="PSK337" s="42" t="s">
        <v>606</v>
      </c>
      <c r="PSL337" s="42" t="s">
        <v>606</v>
      </c>
      <c r="PSM337" s="42" t="s">
        <v>606</v>
      </c>
      <c r="PSN337" s="42" t="s">
        <v>606</v>
      </c>
      <c r="PSO337" s="42" t="s">
        <v>606</v>
      </c>
      <c r="PSP337" s="42" t="s">
        <v>606</v>
      </c>
      <c r="PSQ337" s="42" t="s">
        <v>606</v>
      </c>
      <c r="PSR337" s="42" t="s">
        <v>606</v>
      </c>
      <c r="PSS337" s="42" t="s">
        <v>606</v>
      </c>
      <c r="PST337" s="42" t="s">
        <v>606</v>
      </c>
      <c r="PSU337" s="42" t="s">
        <v>606</v>
      </c>
      <c r="PSV337" s="42" t="s">
        <v>606</v>
      </c>
      <c r="PSW337" s="42" t="s">
        <v>606</v>
      </c>
      <c r="PSX337" s="42" t="s">
        <v>606</v>
      </c>
      <c r="PSY337" s="42" t="s">
        <v>606</v>
      </c>
      <c r="PSZ337" s="42" t="s">
        <v>606</v>
      </c>
      <c r="PTA337" s="42" t="s">
        <v>606</v>
      </c>
      <c r="PTB337" s="42" t="s">
        <v>606</v>
      </c>
      <c r="PTC337" s="42" t="s">
        <v>606</v>
      </c>
      <c r="PTD337" s="42" t="s">
        <v>606</v>
      </c>
      <c r="PTE337" s="42" t="s">
        <v>606</v>
      </c>
      <c r="PTF337" s="42" t="s">
        <v>606</v>
      </c>
      <c r="PTG337" s="42" t="s">
        <v>606</v>
      </c>
      <c r="PTH337" s="42" t="s">
        <v>606</v>
      </c>
      <c r="PTI337" s="42" t="s">
        <v>606</v>
      </c>
      <c r="PTJ337" s="42" t="s">
        <v>606</v>
      </c>
      <c r="PTK337" s="42" t="s">
        <v>606</v>
      </c>
      <c r="PTL337" s="42" t="s">
        <v>606</v>
      </c>
      <c r="PTM337" s="42" t="s">
        <v>606</v>
      </c>
      <c r="PTN337" s="42" t="s">
        <v>606</v>
      </c>
      <c r="PTO337" s="42" t="s">
        <v>606</v>
      </c>
      <c r="PTP337" s="42" t="s">
        <v>606</v>
      </c>
      <c r="PTQ337" s="42" t="s">
        <v>606</v>
      </c>
      <c r="PTR337" s="42" t="s">
        <v>606</v>
      </c>
      <c r="PTS337" s="42" t="s">
        <v>606</v>
      </c>
      <c r="PTT337" s="42" t="s">
        <v>606</v>
      </c>
      <c r="PTU337" s="42" t="s">
        <v>606</v>
      </c>
      <c r="PTV337" s="42" t="s">
        <v>606</v>
      </c>
      <c r="PTW337" s="42" t="s">
        <v>606</v>
      </c>
      <c r="PTX337" s="42" t="s">
        <v>606</v>
      </c>
      <c r="PTY337" s="42" t="s">
        <v>606</v>
      </c>
      <c r="PTZ337" s="42" t="s">
        <v>606</v>
      </c>
      <c r="PUA337" s="42" t="s">
        <v>606</v>
      </c>
      <c r="PUB337" s="42" t="s">
        <v>606</v>
      </c>
      <c r="PUC337" s="42" t="s">
        <v>606</v>
      </c>
      <c r="PUD337" s="42" t="s">
        <v>606</v>
      </c>
      <c r="PUE337" s="42" t="s">
        <v>606</v>
      </c>
      <c r="PUF337" s="42" t="s">
        <v>606</v>
      </c>
      <c r="PUG337" s="42" t="s">
        <v>606</v>
      </c>
      <c r="PUH337" s="42" t="s">
        <v>606</v>
      </c>
      <c r="PUI337" s="42" t="s">
        <v>606</v>
      </c>
      <c r="PUJ337" s="42" t="s">
        <v>606</v>
      </c>
      <c r="PUK337" s="42" t="s">
        <v>606</v>
      </c>
      <c r="PUL337" s="42" t="s">
        <v>606</v>
      </c>
      <c r="PUM337" s="42" t="s">
        <v>606</v>
      </c>
      <c r="PUN337" s="42" t="s">
        <v>606</v>
      </c>
      <c r="PUO337" s="42" t="s">
        <v>606</v>
      </c>
      <c r="PUP337" s="42" t="s">
        <v>606</v>
      </c>
      <c r="PUQ337" s="42" t="s">
        <v>606</v>
      </c>
      <c r="PUR337" s="42" t="s">
        <v>606</v>
      </c>
      <c r="PUS337" s="42" t="s">
        <v>606</v>
      </c>
      <c r="PUT337" s="42" t="s">
        <v>606</v>
      </c>
      <c r="PUU337" s="42" t="s">
        <v>606</v>
      </c>
      <c r="PUV337" s="42" t="s">
        <v>606</v>
      </c>
      <c r="PUW337" s="42" t="s">
        <v>606</v>
      </c>
      <c r="PUX337" s="42" t="s">
        <v>606</v>
      </c>
      <c r="PUY337" s="42" t="s">
        <v>606</v>
      </c>
      <c r="PUZ337" s="42" t="s">
        <v>606</v>
      </c>
      <c r="PVA337" s="42" t="s">
        <v>606</v>
      </c>
      <c r="PVB337" s="42" t="s">
        <v>606</v>
      </c>
      <c r="PVC337" s="42" t="s">
        <v>606</v>
      </c>
      <c r="PVD337" s="42" t="s">
        <v>606</v>
      </c>
      <c r="PVE337" s="42" t="s">
        <v>606</v>
      </c>
      <c r="PVF337" s="42" t="s">
        <v>606</v>
      </c>
      <c r="PVG337" s="42" t="s">
        <v>606</v>
      </c>
      <c r="PVH337" s="42" t="s">
        <v>606</v>
      </c>
      <c r="PVI337" s="42" t="s">
        <v>606</v>
      </c>
      <c r="PVJ337" s="42" t="s">
        <v>606</v>
      </c>
      <c r="PVK337" s="42" t="s">
        <v>606</v>
      </c>
      <c r="PVL337" s="42" t="s">
        <v>606</v>
      </c>
      <c r="PVM337" s="42" t="s">
        <v>606</v>
      </c>
      <c r="PVN337" s="42" t="s">
        <v>606</v>
      </c>
      <c r="PVO337" s="42" t="s">
        <v>606</v>
      </c>
      <c r="PVP337" s="42" t="s">
        <v>606</v>
      </c>
      <c r="PVQ337" s="42" t="s">
        <v>606</v>
      </c>
      <c r="PVR337" s="42" t="s">
        <v>606</v>
      </c>
      <c r="PVS337" s="42" t="s">
        <v>606</v>
      </c>
      <c r="PVT337" s="42" t="s">
        <v>606</v>
      </c>
      <c r="PVU337" s="42" t="s">
        <v>606</v>
      </c>
      <c r="PVV337" s="42" t="s">
        <v>606</v>
      </c>
      <c r="PVW337" s="42" t="s">
        <v>606</v>
      </c>
      <c r="PVX337" s="42" t="s">
        <v>606</v>
      </c>
      <c r="PVY337" s="42" t="s">
        <v>606</v>
      </c>
      <c r="PVZ337" s="42" t="s">
        <v>606</v>
      </c>
      <c r="PWA337" s="42" t="s">
        <v>606</v>
      </c>
      <c r="PWB337" s="42" t="s">
        <v>606</v>
      </c>
      <c r="PWC337" s="42" t="s">
        <v>606</v>
      </c>
      <c r="PWD337" s="42" t="s">
        <v>606</v>
      </c>
      <c r="PWE337" s="42" t="s">
        <v>606</v>
      </c>
      <c r="PWF337" s="42" t="s">
        <v>606</v>
      </c>
      <c r="PWG337" s="42" t="s">
        <v>606</v>
      </c>
      <c r="PWH337" s="42" t="s">
        <v>606</v>
      </c>
      <c r="PWI337" s="42" t="s">
        <v>606</v>
      </c>
      <c r="PWJ337" s="42" t="s">
        <v>606</v>
      </c>
      <c r="PWK337" s="42" t="s">
        <v>606</v>
      </c>
      <c r="PWL337" s="42" t="s">
        <v>606</v>
      </c>
      <c r="PWM337" s="42" t="s">
        <v>606</v>
      </c>
      <c r="PWN337" s="42" t="s">
        <v>606</v>
      </c>
      <c r="PWO337" s="42" t="s">
        <v>606</v>
      </c>
      <c r="PWP337" s="42" t="s">
        <v>606</v>
      </c>
      <c r="PWQ337" s="42" t="s">
        <v>606</v>
      </c>
      <c r="PWR337" s="42" t="s">
        <v>606</v>
      </c>
      <c r="PWS337" s="42" t="s">
        <v>606</v>
      </c>
      <c r="PWT337" s="42" t="s">
        <v>606</v>
      </c>
      <c r="PWU337" s="42" t="s">
        <v>606</v>
      </c>
      <c r="PWV337" s="42" t="s">
        <v>606</v>
      </c>
      <c r="PWW337" s="42" t="s">
        <v>606</v>
      </c>
      <c r="PWX337" s="42" t="s">
        <v>606</v>
      </c>
      <c r="PWY337" s="42" t="s">
        <v>606</v>
      </c>
      <c r="PWZ337" s="42" t="s">
        <v>606</v>
      </c>
      <c r="PXA337" s="42" t="s">
        <v>606</v>
      </c>
      <c r="PXB337" s="42" t="s">
        <v>606</v>
      </c>
      <c r="PXC337" s="42" t="s">
        <v>606</v>
      </c>
      <c r="PXD337" s="42" t="s">
        <v>606</v>
      </c>
      <c r="PXE337" s="42" t="s">
        <v>606</v>
      </c>
      <c r="PXF337" s="42" t="s">
        <v>606</v>
      </c>
      <c r="PXG337" s="42" t="s">
        <v>606</v>
      </c>
      <c r="PXH337" s="42" t="s">
        <v>606</v>
      </c>
      <c r="PXI337" s="42" t="s">
        <v>606</v>
      </c>
      <c r="PXJ337" s="42" t="s">
        <v>606</v>
      </c>
      <c r="PXK337" s="42" t="s">
        <v>606</v>
      </c>
      <c r="PXL337" s="42" t="s">
        <v>606</v>
      </c>
      <c r="PXM337" s="42" t="s">
        <v>606</v>
      </c>
      <c r="PXN337" s="42" t="s">
        <v>606</v>
      </c>
      <c r="PXO337" s="42" t="s">
        <v>606</v>
      </c>
      <c r="PXP337" s="42" t="s">
        <v>606</v>
      </c>
      <c r="PXQ337" s="42" t="s">
        <v>606</v>
      </c>
      <c r="PXR337" s="42" t="s">
        <v>606</v>
      </c>
      <c r="PXS337" s="42" t="s">
        <v>606</v>
      </c>
      <c r="PXT337" s="42" t="s">
        <v>606</v>
      </c>
      <c r="PXU337" s="42" t="s">
        <v>606</v>
      </c>
      <c r="PXV337" s="42" t="s">
        <v>606</v>
      </c>
      <c r="PXW337" s="42" t="s">
        <v>606</v>
      </c>
      <c r="PXX337" s="42" t="s">
        <v>606</v>
      </c>
      <c r="PXY337" s="42" t="s">
        <v>606</v>
      </c>
      <c r="PXZ337" s="42" t="s">
        <v>606</v>
      </c>
      <c r="PYA337" s="42" t="s">
        <v>606</v>
      </c>
      <c r="PYB337" s="42" t="s">
        <v>606</v>
      </c>
      <c r="PYC337" s="42" t="s">
        <v>606</v>
      </c>
      <c r="PYD337" s="42" t="s">
        <v>606</v>
      </c>
      <c r="PYE337" s="42" t="s">
        <v>606</v>
      </c>
      <c r="PYF337" s="42" t="s">
        <v>606</v>
      </c>
      <c r="PYG337" s="42" t="s">
        <v>606</v>
      </c>
      <c r="PYH337" s="42" t="s">
        <v>606</v>
      </c>
      <c r="PYI337" s="42" t="s">
        <v>606</v>
      </c>
      <c r="PYJ337" s="42" t="s">
        <v>606</v>
      </c>
      <c r="PYK337" s="42" t="s">
        <v>606</v>
      </c>
      <c r="PYL337" s="42" t="s">
        <v>606</v>
      </c>
      <c r="PYM337" s="42" t="s">
        <v>606</v>
      </c>
      <c r="PYN337" s="42" t="s">
        <v>606</v>
      </c>
      <c r="PYO337" s="42" t="s">
        <v>606</v>
      </c>
      <c r="PYP337" s="42" t="s">
        <v>606</v>
      </c>
      <c r="PYQ337" s="42" t="s">
        <v>606</v>
      </c>
      <c r="PYR337" s="42" t="s">
        <v>606</v>
      </c>
      <c r="PYS337" s="42" t="s">
        <v>606</v>
      </c>
      <c r="PYT337" s="42" t="s">
        <v>606</v>
      </c>
      <c r="PYU337" s="42" t="s">
        <v>606</v>
      </c>
      <c r="PYV337" s="42" t="s">
        <v>606</v>
      </c>
      <c r="PYW337" s="42" t="s">
        <v>606</v>
      </c>
      <c r="PYX337" s="42" t="s">
        <v>606</v>
      </c>
      <c r="PYY337" s="42" t="s">
        <v>606</v>
      </c>
      <c r="PYZ337" s="42" t="s">
        <v>606</v>
      </c>
      <c r="PZA337" s="42" t="s">
        <v>606</v>
      </c>
      <c r="PZB337" s="42" t="s">
        <v>606</v>
      </c>
      <c r="PZC337" s="42" t="s">
        <v>606</v>
      </c>
      <c r="PZD337" s="42" t="s">
        <v>606</v>
      </c>
      <c r="PZE337" s="42" t="s">
        <v>606</v>
      </c>
      <c r="PZF337" s="42" t="s">
        <v>606</v>
      </c>
      <c r="PZG337" s="42" t="s">
        <v>606</v>
      </c>
      <c r="PZH337" s="42" t="s">
        <v>606</v>
      </c>
      <c r="PZI337" s="42" t="s">
        <v>606</v>
      </c>
      <c r="PZJ337" s="42" t="s">
        <v>606</v>
      </c>
      <c r="PZK337" s="42" t="s">
        <v>606</v>
      </c>
      <c r="PZL337" s="42" t="s">
        <v>606</v>
      </c>
      <c r="PZM337" s="42" t="s">
        <v>606</v>
      </c>
      <c r="PZN337" s="42" t="s">
        <v>606</v>
      </c>
      <c r="PZO337" s="42" t="s">
        <v>606</v>
      </c>
      <c r="PZP337" s="42" t="s">
        <v>606</v>
      </c>
      <c r="PZQ337" s="42" t="s">
        <v>606</v>
      </c>
      <c r="PZR337" s="42" t="s">
        <v>606</v>
      </c>
      <c r="PZS337" s="42" t="s">
        <v>606</v>
      </c>
      <c r="PZT337" s="42" t="s">
        <v>606</v>
      </c>
      <c r="PZU337" s="42" t="s">
        <v>606</v>
      </c>
      <c r="PZV337" s="42" t="s">
        <v>606</v>
      </c>
      <c r="PZW337" s="42" t="s">
        <v>606</v>
      </c>
      <c r="PZX337" s="42" t="s">
        <v>606</v>
      </c>
      <c r="PZY337" s="42" t="s">
        <v>606</v>
      </c>
      <c r="PZZ337" s="42" t="s">
        <v>606</v>
      </c>
      <c r="QAA337" s="42" t="s">
        <v>606</v>
      </c>
      <c r="QAB337" s="42" t="s">
        <v>606</v>
      </c>
      <c r="QAC337" s="42" t="s">
        <v>606</v>
      </c>
      <c r="QAD337" s="42" t="s">
        <v>606</v>
      </c>
      <c r="QAE337" s="42" t="s">
        <v>606</v>
      </c>
      <c r="QAF337" s="42" t="s">
        <v>606</v>
      </c>
      <c r="QAG337" s="42" t="s">
        <v>606</v>
      </c>
      <c r="QAH337" s="42" t="s">
        <v>606</v>
      </c>
      <c r="QAI337" s="42" t="s">
        <v>606</v>
      </c>
      <c r="QAJ337" s="42" t="s">
        <v>606</v>
      </c>
      <c r="QAK337" s="42" t="s">
        <v>606</v>
      </c>
      <c r="QAL337" s="42" t="s">
        <v>606</v>
      </c>
      <c r="QAM337" s="42" t="s">
        <v>606</v>
      </c>
      <c r="QAN337" s="42" t="s">
        <v>606</v>
      </c>
      <c r="QAO337" s="42" t="s">
        <v>606</v>
      </c>
      <c r="QAP337" s="42" t="s">
        <v>606</v>
      </c>
      <c r="QAQ337" s="42" t="s">
        <v>606</v>
      </c>
      <c r="QAR337" s="42" t="s">
        <v>606</v>
      </c>
      <c r="QAS337" s="42" t="s">
        <v>606</v>
      </c>
      <c r="QAT337" s="42" t="s">
        <v>606</v>
      </c>
      <c r="QAU337" s="42" t="s">
        <v>606</v>
      </c>
      <c r="QAV337" s="42" t="s">
        <v>606</v>
      </c>
      <c r="QAW337" s="42" t="s">
        <v>606</v>
      </c>
      <c r="QAX337" s="42" t="s">
        <v>606</v>
      </c>
      <c r="QAY337" s="42" t="s">
        <v>606</v>
      </c>
      <c r="QAZ337" s="42" t="s">
        <v>606</v>
      </c>
      <c r="QBA337" s="42" t="s">
        <v>606</v>
      </c>
      <c r="QBB337" s="42" t="s">
        <v>606</v>
      </c>
      <c r="QBC337" s="42" t="s">
        <v>606</v>
      </c>
      <c r="QBD337" s="42" t="s">
        <v>606</v>
      </c>
      <c r="QBE337" s="42" t="s">
        <v>606</v>
      </c>
      <c r="QBF337" s="42" t="s">
        <v>606</v>
      </c>
      <c r="QBG337" s="42" t="s">
        <v>606</v>
      </c>
      <c r="QBH337" s="42" t="s">
        <v>606</v>
      </c>
      <c r="QBI337" s="42" t="s">
        <v>606</v>
      </c>
      <c r="QBJ337" s="42" t="s">
        <v>606</v>
      </c>
      <c r="QBK337" s="42" t="s">
        <v>606</v>
      </c>
      <c r="QBL337" s="42" t="s">
        <v>606</v>
      </c>
      <c r="QBM337" s="42" t="s">
        <v>606</v>
      </c>
      <c r="QBN337" s="42" t="s">
        <v>606</v>
      </c>
      <c r="QBO337" s="42" t="s">
        <v>606</v>
      </c>
      <c r="QBP337" s="42" t="s">
        <v>606</v>
      </c>
      <c r="QBQ337" s="42" t="s">
        <v>606</v>
      </c>
      <c r="QBR337" s="42" t="s">
        <v>606</v>
      </c>
      <c r="QBS337" s="42" t="s">
        <v>606</v>
      </c>
      <c r="QBT337" s="42" t="s">
        <v>606</v>
      </c>
      <c r="QBU337" s="42" t="s">
        <v>606</v>
      </c>
      <c r="QBV337" s="42" t="s">
        <v>606</v>
      </c>
      <c r="QBW337" s="42" t="s">
        <v>606</v>
      </c>
      <c r="QBX337" s="42" t="s">
        <v>606</v>
      </c>
      <c r="QBY337" s="42" t="s">
        <v>606</v>
      </c>
      <c r="QBZ337" s="42" t="s">
        <v>606</v>
      </c>
      <c r="QCA337" s="42" t="s">
        <v>606</v>
      </c>
      <c r="QCB337" s="42" t="s">
        <v>606</v>
      </c>
      <c r="QCC337" s="42" t="s">
        <v>606</v>
      </c>
      <c r="QCD337" s="42" t="s">
        <v>606</v>
      </c>
      <c r="QCE337" s="42" t="s">
        <v>606</v>
      </c>
      <c r="QCF337" s="42" t="s">
        <v>606</v>
      </c>
      <c r="QCG337" s="42" t="s">
        <v>606</v>
      </c>
      <c r="QCH337" s="42" t="s">
        <v>606</v>
      </c>
      <c r="QCI337" s="42" t="s">
        <v>606</v>
      </c>
      <c r="QCJ337" s="42" t="s">
        <v>606</v>
      </c>
      <c r="QCK337" s="42" t="s">
        <v>606</v>
      </c>
      <c r="QCL337" s="42" t="s">
        <v>606</v>
      </c>
      <c r="QCM337" s="42" t="s">
        <v>606</v>
      </c>
      <c r="QCN337" s="42" t="s">
        <v>606</v>
      </c>
      <c r="QCO337" s="42" t="s">
        <v>606</v>
      </c>
      <c r="QCP337" s="42" t="s">
        <v>606</v>
      </c>
      <c r="QCQ337" s="42" t="s">
        <v>606</v>
      </c>
      <c r="QCR337" s="42" t="s">
        <v>606</v>
      </c>
      <c r="QCS337" s="42" t="s">
        <v>606</v>
      </c>
      <c r="QCT337" s="42" t="s">
        <v>606</v>
      </c>
      <c r="QCU337" s="42" t="s">
        <v>606</v>
      </c>
      <c r="QCV337" s="42" t="s">
        <v>606</v>
      </c>
      <c r="QCW337" s="42" t="s">
        <v>606</v>
      </c>
      <c r="QCX337" s="42" t="s">
        <v>606</v>
      </c>
      <c r="QCY337" s="42" t="s">
        <v>606</v>
      </c>
      <c r="QCZ337" s="42" t="s">
        <v>606</v>
      </c>
      <c r="QDA337" s="42" t="s">
        <v>606</v>
      </c>
      <c r="QDB337" s="42" t="s">
        <v>606</v>
      </c>
      <c r="QDC337" s="42" t="s">
        <v>606</v>
      </c>
      <c r="QDD337" s="42" t="s">
        <v>606</v>
      </c>
      <c r="QDE337" s="42" t="s">
        <v>606</v>
      </c>
      <c r="QDF337" s="42" t="s">
        <v>606</v>
      </c>
      <c r="QDG337" s="42" t="s">
        <v>606</v>
      </c>
      <c r="QDH337" s="42" t="s">
        <v>606</v>
      </c>
      <c r="QDI337" s="42" t="s">
        <v>606</v>
      </c>
      <c r="QDJ337" s="42" t="s">
        <v>606</v>
      </c>
      <c r="QDK337" s="42" t="s">
        <v>606</v>
      </c>
      <c r="QDL337" s="42" t="s">
        <v>606</v>
      </c>
      <c r="QDM337" s="42" t="s">
        <v>606</v>
      </c>
      <c r="QDN337" s="42" t="s">
        <v>606</v>
      </c>
      <c r="QDO337" s="42" t="s">
        <v>606</v>
      </c>
      <c r="QDP337" s="42" t="s">
        <v>606</v>
      </c>
      <c r="QDQ337" s="42" t="s">
        <v>606</v>
      </c>
      <c r="QDR337" s="42" t="s">
        <v>606</v>
      </c>
      <c r="QDS337" s="42" t="s">
        <v>606</v>
      </c>
      <c r="QDT337" s="42" t="s">
        <v>606</v>
      </c>
      <c r="QDU337" s="42" t="s">
        <v>606</v>
      </c>
      <c r="QDV337" s="42" t="s">
        <v>606</v>
      </c>
      <c r="QDW337" s="42" t="s">
        <v>606</v>
      </c>
      <c r="QDX337" s="42" t="s">
        <v>606</v>
      </c>
      <c r="QDY337" s="42" t="s">
        <v>606</v>
      </c>
      <c r="QDZ337" s="42" t="s">
        <v>606</v>
      </c>
      <c r="QEA337" s="42" t="s">
        <v>606</v>
      </c>
      <c r="QEB337" s="42" t="s">
        <v>606</v>
      </c>
      <c r="QEC337" s="42" t="s">
        <v>606</v>
      </c>
      <c r="QED337" s="42" t="s">
        <v>606</v>
      </c>
      <c r="QEE337" s="42" t="s">
        <v>606</v>
      </c>
      <c r="QEF337" s="42" t="s">
        <v>606</v>
      </c>
      <c r="QEG337" s="42" t="s">
        <v>606</v>
      </c>
      <c r="QEH337" s="42" t="s">
        <v>606</v>
      </c>
      <c r="QEI337" s="42" t="s">
        <v>606</v>
      </c>
      <c r="QEJ337" s="42" t="s">
        <v>606</v>
      </c>
      <c r="QEK337" s="42" t="s">
        <v>606</v>
      </c>
      <c r="QEL337" s="42" t="s">
        <v>606</v>
      </c>
      <c r="QEM337" s="42" t="s">
        <v>606</v>
      </c>
      <c r="QEN337" s="42" t="s">
        <v>606</v>
      </c>
      <c r="QEO337" s="42" t="s">
        <v>606</v>
      </c>
      <c r="QEP337" s="42" t="s">
        <v>606</v>
      </c>
      <c r="QEQ337" s="42" t="s">
        <v>606</v>
      </c>
      <c r="QER337" s="42" t="s">
        <v>606</v>
      </c>
      <c r="QES337" s="42" t="s">
        <v>606</v>
      </c>
      <c r="QET337" s="42" t="s">
        <v>606</v>
      </c>
      <c r="QEU337" s="42" t="s">
        <v>606</v>
      </c>
      <c r="QEV337" s="42" t="s">
        <v>606</v>
      </c>
      <c r="QEW337" s="42" t="s">
        <v>606</v>
      </c>
      <c r="QEX337" s="42" t="s">
        <v>606</v>
      </c>
      <c r="QEY337" s="42" t="s">
        <v>606</v>
      </c>
      <c r="QEZ337" s="42" t="s">
        <v>606</v>
      </c>
      <c r="QFA337" s="42" t="s">
        <v>606</v>
      </c>
      <c r="QFB337" s="42" t="s">
        <v>606</v>
      </c>
      <c r="QFC337" s="42" t="s">
        <v>606</v>
      </c>
      <c r="QFD337" s="42" t="s">
        <v>606</v>
      </c>
      <c r="QFE337" s="42" t="s">
        <v>606</v>
      </c>
      <c r="QFF337" s="42" t="s">
        <v>606</v>
      </c>
      <c r="QFG337" s="42" t="s">
        <v>606</v>
      </c>
      <c r="QFH337" s="42" t="s">
        <v>606</v>
      </c>
      <c r="QFI337" s="42" t="s">
        <v>606</v>
      </c>
      <c r="QFJ337" s="42" t="s">
        <v>606</v>
      </c>
      <c r="QFK337" s="42" t="s">
        <v>606</v>
      </c>
      <c r="QFL337" s="42" t="s">
        <v>606</v>
      </c>
      <c r="QFM337" s="42" t="s">
        <v>606</v>
      </c>
      <c r="QFN337" s="42" t="s">
        <v>606</v>
      </c>
      <c r="QFO337" s="42" t="s">
        <v>606</v>
      </c>
      <c r="QFP337" s="42" t="s">
        <v>606</v>
      </c>
      <c r="QFQ337" s="42" t="s">
        <v>606</v>
      </c>
      <c r="QFR337" s="42" t="s">
        <v>606</v>
      </c>
      <c r="QFS337" s="42" t="s">
        <v>606</v>
      </c>
      <c r="QFT337" s="42" t="s">
        <v>606</v>
      </c>
      <c r="QFU337" s="42" t="s">
        <v>606</v>
      </c>
      <c r="QFV337" s="42" t="s">
        <v>606</v>
      </c>
      <c r="QFW337" s="42" t="s">
        <v>606</v>
      </c>
      <c r="QFX337" s="42" t="s">
        <v>606</v>
      </c>
      <c r="QFY337" s="42" t="s">
        <v>606</v>
      </c>
      <c r="QFZ337" s="42" t="s">
        <v>606</v>
      </c>
      <c r="QGA337" s="42" t="s">
        <v>606</v>
      </c>
      <c r="QGB337" s="42" t="s">
        <v>606</v>
      </c>
      <c r="QGC337" s="42" t="s">
        <v>606</v>
      </c>
      <c r="QGD337" s="42" t="s">
        <v>606</v>
      </c>
      <c r="QGE337" s="42" t="s">
        <v>606</v>
      </c>
      <c r="QGF337" s="42" t="s">
        <v>606</v>
      </c>
      <c r="QGG337" s="42" t="s">
        <v>606</v>
      </c>
      <c r="QGH337" s="42" t="s">
        <v>606</v>
      </c>
      <c r="QGI337" s="42" t="s">
        <v>606</v>
      </c>
      <c r="QGJ337" s="42" t="s">
        <v>606</v>
      </c>
      <c r="QGK337" s="42" t="s">
        <v>606</v>
      </c>
      <c r="QGL337" s="42" t="s">
        <v>606</v>
      </c>
      <c r="QGM337" s="42" t="s">
        <v>606</v>
      </c>
      <c r="QGN337" s="42" t="s">
        <v>606</v>
      </c>
      <c r="QGO337" s="42" t="s">
        <v>606</v>
      </c>
      <c r="QGP337" s="42" t="s">
        <v>606</v>
      </c>
      <c r="QGQ337" s="42" t="s">
        <v>606</v>
      </c>
      <c r="QGR337" s="42" t="s">
        <v>606</v>
      </c>
      <c r="QGS337" s="42" t="s">
        <v>606</v>
      </c>
      <c r="QGT337" s="42" t="s">
        <v>606</v>
      </c>
      <c r="QGU337" s="42" t="s">
        <v>606</v>
      </c>
      <c r="QGV337" s="42" t="s">
        <v>606</v>
      </c>
      <c r="QGW337" s="42" t="s">
        <v>606</v>
      </c>
      <c r="QGX337" s="42" t="s">
        <v>606</v>
      </c>
      <c r="QGY337" s="42" t="s">
        <v>606</v>
      </c>
      <c r="QGZ337" s="42" t="s">
        <v>606</v>
      </c>
      <c r="QHA337" s="42" t="s">
        <v>606</v>
      </c>
      <c r="QHB337" s="42" t="s">
        <v>606</v>
      </c>
      <c r="QHC337" s="42" t="s">
        <v>606</v>
      </c>
      <c r="QHD337" s="42" t="s">
        <v>606</v>
      </c>
      <c r="QHE337" s="42" t="s">
        <v>606</v>
      </c>
      <c r="QHF337" s="42" t="s">
        <v>606</v>
      </c>
      <c r="QHG337" s="42" t="s">
        <v>606</v>
      </c>
      <c r="QHH337" s="42" t="s">
        <v>606</v>
      </c>
      <c r="QHI337" s="42" t="s">
        <v>606</v>
      </c>
      <c r="QHJ337" s="42" t="s">
        <v>606</v>
      </c>
      <c r="QHK337" s="42" t="s">
        <v>606</v>
      </c>
      <c r="QHL337" s="42" t="s">
        <v>606</v>
      </c>
      <c r="QHM337" s="42" t="s">
        <v>606</v>
      </c>
      <c r="QHN337" s="42" t="s">
        <v>606</v>
      </c>
      <c r="QHO337" s="42" t="s">
        <v>606</v>
      </c>
      <c r="QHP337" s="42" t="s">
        <v>606</v>
      </c>
      <c r="QHQ337" s="42" t="s">
        <v>606</v>
      </c>
      <c r="QHR337" s="42" t="s">
        <v>606</v>
      </c>
      <c r="QHS337" s="42" t="s">
        <v>606</v>
      </c>
      <c r="QHT337" s="42" t="s">
        <v>606</v>
      </c>
      <c r="QHU337" s="42" t="s">
        <v>606</v>
      </c>
      <c r="QHV337" s="42" t="s">
        <v>606</v>
      </c>
      <c r="QHW337" s="42" t="s">
        <v>606</v>
      </c>
      <c r="QHX337" s="42" t="s">
        <v>606</v>
      </c>
      <c r="QHY337" s="42" t="s">
        <v>606</v>
      </c>
      <c r="QHZ337" s="42" t="s">
        <v>606</v>
      </c>
      <c r="QIA337" s="42" t="s">
        <v>606</v>
      </c>
      <c r="QIB337" s="42" t="s">
        <v>606</v>
      </c>
      <c r="QIC337" s="42" t="s">
        <v>606</v>
      </c>
      <c r="QID337" s="42" t="s">
        <v>606</v>
      </c>
      <c r="QIE337" s="42" t="s">
        <v>606</v>
      </c>
      <c r="QIF337" s="42" t="s">
        <v>606</v>
      </c>
      <c r="QIG337" s="42" t="s">
        <v>606</v>
      </c>
      <c r="QIH337" s="42" t="s">
        <v>606</v>
      </c>
      <c r="QII337" s="42" t="s">
        <v>606</v>
      </c>
      <c r="QIJ337" s="42" t="s">
        <v>606</v>
      </c>
      <c r="QIK337" s="42" t="s">
        <v>606</v>
      </c>
      <c r="QIL337" s="42" t="s">
        <v>606</v>
      </c>
      <c r="QIM337" s="42" t="s">
        <v>606</v>
      </c>
      <c r="QIN337" s="42" t="s">
        <v>606</v>
      </c>
      <c r="QIO337" s="42" t="s">
        <v>606</v>
      </c>
      <c r="QIP337" s="42" t="s">
        <v>606</v>
      </c>
      <c r="QIQ337" s="42" t="s">
        <v>606</v>
      </c>
      <c r="QIR337" s="42" t="s">
        <v>606</v>
      </c>
      <c r="QIS337" s="42" t="s">
        <v>606</v>
      </c>
      <c r="QIT337" s="42" t="s">
        <v>606</v>
      </c>
      <c r="QIU337" s="42" t="s">
        <v>606</v>
      </c>
      <c r="QIV337" s="42" t="s">
        <v>606</v>
      </c>
      <c r="QIW337" s="42" t="s">
        <v>606</v>
      </c>
      <c r="QIX337" s="42" t="s">
        <v>606</v>
      </c>
      <c r="QIY337" s="42" t="s">
        <v>606</v>
      </c>
      <c r="QIZ337" s="42" t="s">
        <v>606</v>
      </c>
      <c r="QJA337" s="42" t="s">
        <v>606</v>
      </c>
      <c r="QJB337" s="42" t="s">
        <v>606</v>
      </c>
      <c r="QJC337" s="42" t="s">
        <v>606</v>
      </c>
      <c r="QJD337" s="42" t="s">
        <v>606</v>
      </c>
      <c r="QJE337" s="42" t="s">
        <v>606</v>
      </c>
      <c r="QJF337" s="42" t="s">
        <v>606</v>
      </c>
      <c r="QJG337" s="42" t="s">
        <v>606</v>
      </c>
      <c r="QJH337" s="42" t="s">
        <v>606</v>
      </c>
      <c r="QJI337" s="42" t="s">
        <v>606</v>
      </c>
      <c r="QJJ337" s="42" t="s">
        <v>606</v>
      </c>
      <c r="QJK337" s="42" t="s">
        <v>606</v>
      </c>
      <c r="QJL337" s="42" t="s">
        <v>606</v>
      </c>
      <c r="QJM337" s="42" t="s">
        <v>606</v>
      </c>
      <c r="QJN337" s="42" t="s">
        <v>606</v>
      </c>
      <c r="QJO337" s="42" t="s">
        <v>606</v>
      </c>
      <c r="QJP337" s="42" t="s">
        <v>606</v>
      </c>
      <c r="QJQ337" s="42" t="s">
        <v>606</v>
      </c>
      <c r="QJR337" s="42" t="s">
        <v>606</v>
      </c>
      <c r="QJS337" s="42" t="s">
        <v>606</v>
      </c>
      <c r="QJT337" s="42" t="s">
        <v>606</v>
      </c>
      <c r="QJU337" s="42" t="s">
        <v>606</v>
      </c>
      <c r="QJV337" s="42" t="s">
        <v>606</v>
      </c>
      <c r="QJW337" s="42" t="s">
        <v>606</v>
      </c>
      <c r="QJX337" s="42" t="s">
        <v>606</v>
      </c>
      <c r="QJY337" s="42" t="s">
        <v>606</v>
      </c>
      <c r="QJZ337" s="42" t="s">
        <v>606</v>
      </c>
      <c r="QKA337" s="42" t="s">
        <v>606</v>
      </c>
      <c r="QKB337" s="42" t="s">
        <v>606</v>
      </c>
      <c r="QKC337" s="42" t="s">
        <v>606</v>
      </c>
      <c r="QKD337" s="42" t="s">
        <v>606</v>
      </c>
      <c r="QKE337" s="42" t="s">
        <v>606</v>
      </c>
      <c r="QKF337" s="42" t="s">
        <v>606</v>
      </c>
      <c r="QKG337" s="42" t="s">
        <v>606</v>
      </c>
      <c r="QKH337" s="42" t="s">
        <v>606</v>
      </c>
      <c r="QKI337" s="42" t="s">
        <v>606</v>
      </c>
      <c r="QKJ337" s="42" t="s">
        <v>606</v>
      </c>
      <c r="QKK337" s="42" t="s">
        <v>606</v>
      </c>
      <c r="QKL337" s="42" t="s">
        <v>606</v>
      </c>
      <c r="QKM337" s="42" t="s">
        <v>606</v>
      </c>
      <c r="QKN337" s="42" t="s">
        <v>606</v>
      </c>
      <c r="QKO337" s="42" t="s">
        <v>606</v>
      </c>
      <c r="QKP337" s="42" t="s">
        <v>606</v>
      </c>
      <c r="QKQ337" s="42" t="s">
        <v>606</v>
      </c>
      <c r="QKR337" s="42" t="s">
        <v>606</v>
      </c>
      <c r="QKS337" s="42" t="s">
        <v>606</v>
      </c>
      <c r="QKT337" s="42" t="s">
        <v>606</v>
      </c>
      <c r="QKU337" s="42" t="s">
        <v>606</v>
      </c>
      <c r="QKV337" s="42" t="s">
        <v>606</v>
      </c>
      <c r="QKW337" s="42" t="s">
        <v>606</v>
      </c>
      <c r="QKX337" s="42" t="s">
        <v>606</v>
      </c>
      <c r="QKY337" s="42" t="s">
        <v>606</v>
      </c>
      <c r="QKZ337" s="42" t="s">
        <v>606</v>
      </c>
      <c r="QLA337" s="42" t="s">
        <v>606</v>
      </c>
      <c r="QLB337" s="42" t="s">
        <v>606</v>
      </c>
      <c r="QLC337" s="42" t="s">
        <v>606</v>
      </c>
      <c r="QLD337" s="42" t="s">
        <v>606</v>
      </c>
      <c r="QLE337" s="42" t="s">
        <v>606</v>
      </c>
      <c r="QLF337" s="42" t="s">
        <v>606</v>
      </c>
      <c r="QLG337" s="42" t="s">
        <v>606</v>
      </c>
      <c r="QLH337" s="42" t="s">
        <v>606</v>
      </c>
      <c r="QLI337" s="42" t="s">
        <v>606</v>
      </c>
      <c r="QLJ337" s="42" t="s">
        <v>606</v>
      </c>
      <c r="QLK337" s="42" t="s">
        <v>606</v>
      </c>
      <c r="QLL337" s="42" t="s">
        <v>606</v>
      </c>
      <c r="QLM337" s="42" t="s">
        <v>606</v>
      </c>
      <c r="QLN337" s="42" t="s">
        <v>606</v>
      </c>
      <c r="QLO337" s="42" t="s">
        <v>606</v>
      </c>
      <c r="QLP337" s="42" t="s">
        <v>606</v>
      </c>
      <c r="QLQ337" s="42" t="s">
        <v>606</v>
      </c>
      <c r="QLR337" s="42" t="s">
        <v>606</v>
      </c>
      <c r="QLS337" s="42" t="s">
        <v>606</v>
      </c>
      <c r="QLT337" s="42" t="s">
        <v>606</v>
      </c>
      <c r="QLU337" s="42" t="s">
        <v>606</v>
      </c>
      <c r="QLV337" s="42" t="s">
        <v>606</v>
      </c>
      <c r="QLW337" s="42" t="s">
        <v>606</v>
      </c>
      <c r="QLX337" s="42" t="s">
        <v>606</v>
      </c>
      <c r="QLY337" s="42" t="s">
        <v>606</v>
      </c>
      <c r="QLZ337" s="42" t="s">
        <v>606</v>
      </c>
      <c r="QMA337" s="42" t="s">
        <v>606</v>
      </c>
      <c r="QMB337" s="42" t="s">
        <v>606</v>
      </c>
      <c r="QMC337" s="42" t="s">
        <v>606</v>
      </c>
      <c r="QMD337" s="42" t="s">
        <v>606</v>
      </c>
      <c r="QME337" s="42" t="s">
        <v>606</v>
      </c>
      <c r="QMF337" s="42" t="s">
        <v>606</v>
      </c>
      <c r="QMG337" s="42" t="s">
        <v>606</v>
      </c>
      <c r="QMH337" s="42" t="s">
        <v>606</v>
      </c>
      <c r="QMI337" s="42" t="s">
        <v>606</v>
      </c>
      <c r="QMJ337" s="42" t="s">
        <v>606</v>
      </c>
      <c r="QMK337" s="42" t="s">
        <v>606</v>
      </c>
      <c r="QML337" s="42" t="s">
        <v>606</v>
      </c>
      <c r="QMM337" s="42" t="s">
        <v>606</v>
      </c>
      <c r="QMN337" s="42" t="s">
        <v>606</v>
      </c>
      <c r="QMO337" s="42" t="s">
        <v>606</v>
      </c>
      <c r="QMP337" s="42" t="s">
        <v>606</v>
      </c>
      <c r="QMQ337" s="42" t="s">
        <v>606</v>
      </c>
      <c r="QMR337" s="42" t="s">
        <v>606</v>
      </c>
      <c r="QMS337" s="42" t="s">
        <v>606</v>
      </c>
      <c r="QMT337" s="42" t="s">
        <v>606</v>
      </c>
      <c r="QMU337" s="42" t="s">
        <v>606</v>
      </c>
      <c r="QMV337" s="42" t="s">
        <v>606</v>
      </c>
      <c r="QMW337" s="42" t="s">
        <v>606</v>
      </c>
      <c r="QMX337" s="42" t="s">
        <v>606</v>
      </c>
      <c r="QMY337" s="42" t="s">
        <v>606</v>
      </c>
      <c r="QMZ337" s="42" t="s">
        <v>606</v>
      </c>
      <c r="QNA337" s="42" t="s">
        <v>606</v>
      </c>
      <c r="QNB337" s="42" t="s">
        <v>606</v>
      </c>
      <c r="QNC337" s="42" t="s">
        <v>606</v>
      </c>
      <c r="QND337" s="42" t="s">
        <v>606</v>
      </c>
      <c r="QNE337" s="42" t="s">
        <v>606</v>
      </c>
      <c r="QNF337" s="42" t="s">
        <v>606</v>
      </c>
      <c r="QNG337" s="42" t="s">
        <v>606</v>
      </c>
      <c r="QNH337" s="42" t="s">
        <v>606</v>
      </c>
      <c r="QNI337" s="42" t="s">
        <v>606</v>
      </c>
      <c r="QNJ337" s="42" t="s">
        <v>606</v>
      </c>
      <c r="QNK337" s="42" t="s">
        <v>606</v>
      </c>
      <c r="QNL337" s="42" t="s">
        <v>606</v>
      </c>
      <c r="QNM337" s="42" t="s">
        <v>606</v>
      </c>
      <c r="QNN337" s="42" t="s">
        <v>606</v>
      </c>
      <c r="QNO337" s="42" t="s">
        <v>606</v>
      </c>
      <c r="QNP337" s="42" t="s">
        <v>606</v>
      </c>
      <c r="QNQ337" s="42" t="s">
        <v>606</v>
      </c>
      <c r="QNR337" s="42" t="s">
        <v>606</v>
      </c>
      <c r="QNS337" s="42" t="s">
        <v>606</v>
      </c>
      <c r="QNT337" s="42" t="s">
        <v>606</v>
      </c>
      <c r="QNU337" s="42" t="s">
        <v>606</v>
      </c>
      <c r="QNV337" s="42" t="s">
        <v>606</v>
      </c>
      <c r="QNW337" s="42" t="s">
        <v>606</v>
      </c>
      <c r="QNX337" s="42" t="s">
        <v>606</v>
      </c>
      <c r="QNY337" s="42" t="s">
        <v>606</v>
      </c>
      <c r="QNZ337" s="42" t="s">
        <v>606</v>
      </c>
      <c r="QOA337" s="42" t="s">
        <v>606</v>
      </c>
      <c r="QOB337" s="42" t="s">
        <v>606</v>
      </c>
      <c r="QOC337" s="42" t="s">
        <v>606</v>
      </c>
      <c r="QOD337" s="42" t="s">
        <v>606</v>
      </c>
      <c r="QOE337" s="42" t="s">
        <v>606</v>
      </c>
      <c r="QOF337" s="42" t="s">
        <v>606</v>
      </c>
      <c r="QOG337" s="42" t="s">
        <v>606</v>
      </c>
      <c r="QOH337" s="42" t="s">
        <v>606</v>
      </c>
      <c r="QOI337" s="42" t="s">
        <v>606</v>
      </c>
      <c r="QOJ337" s="42" t="s">
        <v>606</v>
      </c>
      <c r="QOK337" s="42" t="s">
        <v>606</v>
      </c>
      <c r="QOL337" s="42" t="s">
        <v>606</v>
      </c>
      <c r="QOM337" s="42" t="s">
        <v>606</v>
      </c>
      <c r="QON337" s="42" t="s">
        <v>606</v>
      </c>
      <c r="QOO337" s="42" t="s">
        <v>606</v>
      </c>
      <c r="QOP337" s="42" t="s">
        <v>606</v>
      </c>
      <c r="QOQ337" s="42" t="s">
        <v>606</v>
      </c>
      <c r="QOR337" s="42" t="s">
        <v>606</v>
      </c>
      <c r="QOS337" s="42" t="s">
        <v>606</v>
      </c>
      <c r="QOT337" s="42" t="s">
        <v>606</v>
      </c>
      <c r="QOU337" s="42" t="s">
        <v>606</v>
      </c>
      <c r="QOV337" s="42" t="s">
        <v>606</v>
      </c>
      <c r="QOW337" s="42" t="s">
        <v>606</v>
      </c>
      <c r="QOX337" s="42" t="s">
        <v>606</v>
      </c>
      <c r="QOY337" s="42" t="s">
        <v>606</v>
      </c>
      <c r="QOZ337" s="42" t="s">
        <v>606</v>
      </c>
      <c r="QPA337" s="42" t="s">
        <v>606</v>
      </c>
      <c r="QPB337" s="42" t="s">
        <v>606</v>
      </c>
      <c r="QPC337" s="42" t="s">
        <v>606</v>
      </c>
      <c r="QPD337" s="42" t="s">
        <v>606</v>
      </c>
      <c r="QPE337" s="42" t="s">
        <v>606</v>
      </c>
      <c r="QPF337" s="42" t="s">
        <v>606</v>
      </c>
      <c r="QPG337" s="42" t="s">
        <v>606</v>
      </c>
      <c r="QPH337" s="42" t="s">
        <v>606</v>
      </c>
      <c r="QPI337" s="42" t="s">
        <v>606</v>
      </c>
      <c r="QPJ337" s="42" t="s">
        <v>606</v>
      </c>
      <c r="QPK337" s="42" t="s">
        <v>606</v>
      </c>
      <c r="QPL337" s="42" t="s">
        <v>606</v>
      </c>
      <c r="QPM337" s="42" t="s">
        <v>606</v>
      </c>
      <c r="QPN337" s="42" t="s">
        <v>606</v>
      </c>
      <c r="QPO337" s="42" t="s">
        <v>606</v>
      </c>
      <c r="QPP337" s="42" t="s">
        <v>606</v>
      </c>
      <c r="QPQ337" s="42" t="s">
        <v>606</v>
      </c>
      <c r="QPR337" s="42" t="s">
        <v>606</v>
      </c>
      <c r="QPS337" s="42" t="s">
        <v>606</v>
      </c>
      <c r="QPT337" s="42" t="s">
        <v>606</v>
      </c>
      <c r="QPU337" s="42" t="s">
        <v>606</v>
      </c>
      <c r="QPV337" s="42" t="s">
        <v>606</v>
      </c>
      <c r="QPW337" s="42" t="s">
        <v>606</v>
      </c>
      <c r="QPX337" s="42" t="s">
        <v>606</v>
      </c>
      <c r="QPY337" s="42" t="s">
        <v>606</v>
      </c>
      <c r="QPZ337" s="42" t="s">
        <v>606</v>
      </c>
      <c r="QQA337" s="42" t="s">
        <v>606</v>
      </c>
      <c r="QQB337" s="42" t="s">
        <v>606</v>
      </c>
      <c r="QQC337" s="42" t="s">
        <v>606</v>
      </c>
      <c r="QQD337" s="42" t="s">
        <v>606</v>
      </c>
      <c r="QQE337" s="42" t="s">
        <v>606</v>
      </c>
      <c r="QQF337" s="42" t="s">
        <v>606</v>
      </c>
      <c r="QQG337" s="42" t="s">
        <v>606</v>
      </c>
      <c r="QQH337" s="42" t="s">
        <v>606</v>
      </c>
      <c r="QQI337" s="42" t="s">
        <v>606</v>
      </c>
      <c r="QQJ337" s="42" t="s">
        <v>606</v>
      </c>
      <c r="QQK337" s="42" t="s">
        <v>606</v>
      </c>
      <c r="QQL337" s="42" t="s">
        <v>606</v>
      </c>
      <c r="QQM337" s="42" t="s">
        <v>606</v>
      </c>
      <c r="QQN337" s="42" t="s">
        <v>606</v>
      </c>
      <c r="QQO337" s="42" t="s">
        <v>606</v>
      </c>
      <c r="QQP337" s="42" t="s">
        <v>606</v>
      </c>
      <c r="QQQ337" s="42" t="s">
        <v>606</v>
      </c>
      <c r="QQR337" s="42" t="s">
        <v>606</v>
      </c>
      <c r="QQS337" s="42" t="s">
        <v>606</v>
      </c>
      <c r="QQT337" s="42" t="s">
        <v>606</v>
      </c>
      <c r="QQU337" s="42" t="s">
        <v>606</v>
      </c>
      <c r="QQV337" s="42" t="s">
        <v>606</v>
      </c>
      <c r="QQW337" s="42" t="s">
        <v>606</v>
      </c>
      <c r="QQX337" s="42" t="s">
        <v>606</v>
      </c>
      <c r="QQY337" s="42" t="s">
        <v>606</v>
      </c>
      <c r="QQZ337" s="42" t="s">
        <v>606</v>
      </c>
      <c r="QRA337" s="42" t="s">
        <v>606</v>
      </c>
      <c r="QRB337" s="42" t="s">
        <v>606</v>
      </c>
      <c r="QRC337" s="42" t="s">
        <v>606</v>
      </c>
      <c r="QRD337" s="42" t="s">
        <v>606</v>
      </c>
      <c r="QRE337" s="42" t="s">
        <v>606</v>
      </c>
      <c r="QRF337" s="42" t="s">
        <v>606</v>
      </c>
      <c r="QRG337" s="42" t="s">
        <v>606</v>
      </c>
      <c r="QRH337" s="42" t="s">
        <v>606</v>
      </c>
      <c r="QRI337" s="42" t="s">
        <v>606</v>
      </c>
      <c r="QRJ337" s="42" t="s">
        <v>606</v>
      </c>
      <c r="QRK337" s="42" t="s">
        <v>606</v>
      </c>
      <c r="QRL337" s="42" t="s">
        <v>606</v>
      </c>
      <c r="QRM337" s="42" t="s">
        <v>606</v>
      </c>
      <c r="QRN337" s="42" t="s">
        <v>606</v>
      </c>
      <c r="QRO337" s="42" t="s">
        <v>606</v>
      </c>
      <c r="QRP337" s="42" t="s">
        <v>606</v>
      </c>
      <c r="QRQ337" s="42" t="s">
        <v>606</v>
      </c>
      <c r="QRR337" s="42" t="s">
        <v>606</v>
      </c>
      <c r="QRS337" s="42" t="s">
        <v>606</v>
      </c>
      <c r="QRT337" s="42" t="s">
        <v>606</v>
      </c>
      <c r="QRU337" s="42" t="s">
        <v>606</v>
      </c>
      <c r="QRV337" s="42" t="s">
        <v>606</v>
      </c>
      <c r="QRW337" s="42" t="s">
        <v>606</v>
      </c>
      <c r="QRX337" s="42" t="s">
        <v>606</v>
      </c>
      <c r="QRY337" s="42" t="s">
        <v>606</v>
      </c>
      <c r="QRZ337" s="42" t="s">
        <v>606</v>
      </c>
      <c r="QSA337" s="42" t="s">
        <v>606</v>
      </c>
      <c r="QSB337" s="42" t="s">
        <v>606</v>
      </c>
      <c r="QSC337" s="42" t="s">
        <v>606</v>
      </c>
      <c r="QSD337" s="42" t="s">
        <v>606</v>
      </c>
      <c r="QSE337" s="42" t="s">
        <v>606</v>
      </c>
      <c r="QSF337" s="42" t="s">
        <v>606</v>
      </c>
      <c r="QSG337" s="42" t="s">
        <v>606</v>
      </c>
      <c r="QSH337" s="42" t="s">
        <v>606</v>
      </c>
      <c r="QSI337" s="42" t="s">
        <v>606</v>
      </c>
      <c r="QSJ337" s="42" t="s">
        <v>606</v>
      </c>
      <c r="QSK337" s="42" t="s">
        <v>606</v>
      </c>
      <c r="QSL337" s="42" t="s">
        <v>606</v>
      </c>
      <c r="QSM337" s="42" t="s">
        <v>606</v>
      </c>
      <c r="QSN337" s="42" t="s">
        <v>606</v>
      </c>
      <c r="QSO337" s="42" t="s">
        <v>606</v>
      </c>
      <c r="QSP337" s="42" t="s">
        <v>606</v>
      </c>
      <c r="QSQ337" s="42" t="s">
        <v>606</v>
      </c>
      <c r="QSR337" s="42" t="s">
        <v>606</v>
      </c>
      <c r="QSS337" s="42" t="s">
        <v>606</v>
      </c>
      <c r="QST337" s="42" t="s">
        <v>606</v>
      </c>
      <c r="QSU337" s="42" t="s">
        <v>606</v>
      </c>
      <c r="QSV337" s="42" t="s">
        <v>606</v>
      </c>
      <c r="QSW337" s="42" t="s">
        <v>606</v>
      </c>
      <c r="QSX337" s="42" t="s">
        <v>606</v>
      </c>
      <c r="QSY337" s="42" t="s">
        <v>606</v>
      </c>
      <c r="QSZ337" s="42" t="s">
        <v>606</v>
      </c>
      <c r="QTA337" s="42" t="s">
        <v>606</v>
      </c>
      <c r="QTB337" s="42" t="s">
        <v>606</v>
      </c>
      <c r="QTC337" s="42" t="s">
        <v>606</v>
      </c>
      <c r="QTD337" s="42" t="s">
        <v>606</v>
      </c>
      <c r="QTE337" s="42" t="s">
        <v>606</v>
      </c>
      <c r="QTF337" s="42" t="s">
        <v>606</v>
      </c>
      <c r="QTG337" s="42" t="s">
        <v>606</v>
      </c>
      <c r="QTH337" s="42" t="s">
        <v>606</v>
      </c>
      <c r="QTI337" s="42" t="s">
        <v>606</v>
      </c>
      <c r="QTJ337" s="42" t="s">
        <v>606</v>
      </c>
      <c r="QTK337" s="42" t="s">
        <v>606</v>
      </c>
      <c r="QTL337" s="42" t="s">
        <v>606</v>
      </c>
      <c r="QTM337" s="42" t="s">
        <v>606</v>
      </c>
      <c r="QTN337" s="42" t="s">
        <v>606</v>
      </c>
      <c r="QTO337" s="42" t="s">
        <v>606</v>
      </c>
      <c r="QTP337" s="42" t="s">
        <v>606</v>
      </c>
      <c r="QTQ337" s="42" t="s">
        <v>606</v>
      </c>
      <c r="QTR337" s="42" t="s">
        <v>606</v>
      </c>
      <c r="QTS337" s="42" t="s">
        <v>606</v>
      </c>
      <c r="QTT337" s="42" t="s">
        <v>606</v>
      </c>
      <c r="QTU337" s="42" t="s">
        <v>606</v>
      </c>
      <c r="QTV337" s="42" t="s">
        <v>606</v>
      </c>
      <c r="QTW337" s="42" t="s">
        <v>606</v>
      </c>
      <c r="QTX337" s="42" t="s">
        <v>606</v>
      </c>
      <c r="QTY337" s="42" t="s">
        <v>606</v>
      </c>
      <c r="QTZ337" s="42" t="s">
        <v>606</v>
      </c>
      <c r="QUA337" s="42" t="s">
        <v>606</v>
      </c>
      <c r="QUB337" s="42" t="s">
        <v>606</v>
      </c>
      <c r="QUC337" s="42" t="s">
        <v>606</v>
      </c>
      <c r="QUD337" s="42" t="s">
        <v>606</v>
      </c>
      <c r="QUE337" s="42" t="s">
        <v>606</v>
      </c>
      <c r="QUF337" s="42" t="s">
        <v>606</v>
      </c>
      <c r="QUG337" s="42" t="s">
        <v>606</v>
      </c>
      <c r="QUH337" s="42" t="s">
        <v>606</v>
      </c>
      <c r="QUI337" s="42" t="s">
        <v>606</v>
      </c>
      <c r="QUJ337" s="42" t="s">
        <v>606</v>
      </c>
      <c r="QUK337" s="42" t="s">
        <v>606</v>
      </c>
      <c r="QUL337" s="42" t="s">
        <v>606</v>
      </c>
      <c r="QUM337" s="42" t="s">
        <v>606</v>
      </c>
      <c r="QUN337" s="42" t="s">
        <v>606</v>
      </c>
      <c r="QUO337" s="42" t="s">
        <v>606</v>
      </c>
      <c r="QUP337" s="42" t="s">
        <v>606</v>
      </c>
      <c r="QUQ337" s="42" t="s">
        <v>606</v>
      </c>
      <c r="QUR337" s="42" t="s">
        <v>606</v>
      </c>
      <c r="QUS337" s="42" t="s">
        <v>606</v>
      </c>
      <c r="QUT337" s="42" t="s">
        <v>606</v>
      </c>
      <c r="QUU337" s="42" t="s">
        <v>606</v>
      </c>
      <c r="QUV337" s="42" t="s">
        <v>606</v>
      </c>
      <c r="QUW337" s="42" t="s">
        <v>606</v>
      </c>
      <c r="QUX337" s="42" t="s">
        <v>606</v>
      </c>
      <c r="QUY337" s="42" t="s">
        <v>606</v>
      </c>
      <c r="QUZ337" s="42" t="s">
        <v>606</v>
      </c>
      <c r="QVA337" s="42" t="s">
        <v>606</v>
      </c>
      <c r="QVB337" s="42" t="s">
        <v>606</v>
      </c>
      <c r="QVC337" s="42" t="s">
        <v>606</v>
      </c>
      <c r="QVD337" s="42" t="s">
        <v>606</v>
      </c>
      <c r="QVE337" s="42" t="s">
        <v>606</v>
      </c>
      <c r="QVF337" s="42" t="s">
        <v>606</v>
      </c>
      <c r="QVG337" s="42" t="s">
        <v>606</v>
      </c>
      <c r="QVH337" s="42" t="s">
        <v>606</v>
      </c>
      <c r="QVI337" s="42" t="s">
        <v>606</v>
      </c>
      <c r="QVJ337" s="42" t="s">
        <v>606</v>
      </c>
      <c r="QVK337" s="42" t="s">
        <v>606</v>
      </c>
      <c r="QVL337" s="42" t="s">
        <v>606</v>
      </c>
      <c r="QVM337" s="42" t="s">
        <v>606</v>
      </c>
      <c r="QVN337" s="42" t="s">
        <v>606</v>
      </c>
      <c r="QVO337" s="42" t="s">
        <v>606</v>
      </c>
      <c r="QVP337" s="42" t="s">
        <v>606</v>
      </c>
      <c r="QVQ337" s="42" t="s">
        <v>606</v>
      </c>
      <c r="QVR337" s="42" t="s">
        <v>606</v>
      </c>
      <c r="QVS337" s="42" t="s">
        <v>606</v>
      </c>
      <c r="QVT337" s="42" t="s">
        <v>606</v>
      </c>
      <c r="QVU337" s="42" t="s">
        <v>606</v>
      </c>
      <c r="QVV337" s="42" t="s">
        <v>606</v>
      </c>
      <c r="QVW337" s="42" t="s">
        <v>606</v>
      </c>
      <c r="QVX337" s="42" t="s">
        <v>606</v>
      </c>
      <c r="QVY337" s="42" t="s">
        <v>606</v>
      </c>
      <c r="QVZ337" s="42" t="s">
        <v>606</v>
      </c>
      <c r="QWA337" s="42" t="s">
        <v>606</v>
      </c>
      <c r="QWB337" s="42" t="s">
        <v>606</v>
      </c>
      <c r="QWC337" s="42" t="s">
        <v>606</v>
      </c>
      <c r="QWD337" s="42" t="s">
        <v>606</v>
      </c>
      <c r="QWE337" s="42" t="s">
        <v>606</v>
      </c>
      <c r="QWF337" s="42" t="s">
        <v>606</v>
      </c>
      <c r="QWG337" s="42" t="s">
        <v>606</v>
      </c>
      <c r="QWH337" s="42" t="s">
        <v>606</v>
      </c>
      <c r="QWI337" s="42" t="s">
        <v>606</v>
      </c>
      <c r="QWJ337" s="42" t="s">
        <v>606</v>
      </c>
      <c r="QWK337" s="42" t="s">
        <v>606</v>
      </c>
      <c r="QWL337" s="42" t="s">
        <v>606</v>
      </c>
      <c r="QWM337" s="42" t="s">
        <v>606</v>
      </c>
      <c r="QWN337" s="42" t="s">
        <v>606</v>
      </c>
      <c r="QWO337" s="42" t="s">
        <v>606</v>
      </c>
      <c r="QWP337" s="42" t="s">
        <v>606</v>
      </c>
      <c r="QWQ337" s="42" t="s">
        <v>606</v>
      </c>
      <c r="QWR337" s="42" t="s">
        <v>606</v>
      </c>
      <c r="QWS337" s="42" t="s">
        <v>606</v>
      </c>
      <c r="QWT337" s="42" t="s">
        <v>606</v>
      </c>
      <c r="QWU337" s="42" t="s">
        <v>606</v>
      </c>
      <c r="QWV337" s="42" t="s">
        <v>606</v>
      </c>
      <c r="QWW337" s="42" t="s">
        <v>606</v>
      </c>
      <c r="QWX337" s="42" t="s">
        <v>606</v>
      </c>
      <c r="QWY337" s="42" t="s">
        <v>606</v>
      </c>
      <c r="QWZ337" s="42" t="s">
        <v>606</v>
      </c>
      <c r="QXA337" s="42" t="s">
        <v>606</v>
      </c>
      <c r="QXB337" s="42" t="s">
        <v>606</v>
      </c>
      <c r="QXC337" s="42" t="s">
        <v>606</v>
      </c>
      <c r="QXD337" s="42" t="s">
        <v>606</v>
      </c>
      <c r="QXE337" s="42" t="s">
        <v>606</v>
      </c>
      <c r="QXF337" s="42" t="s">
        <v>606</v>
      </c>
      <c r="QXG337" s="42" t="s">
        <v>606</v>
      </c>
      <c r="QXH337" s="42" t="s">
        <v>606</v>
      </c>
      <c r="QXI337" s="42" t="s">
        <v>606</v>
      </c>
      <c r="QXJ337" s="42" t="s">
        <v>606</v>
      </c>
      <c r="QXK337" s="42" t="s">
        <v>606</v>
      </c>
      <c r="QXL337" s="42" t="s">
        <v>606</v>
      </c>
      <c r="QXM337" s="42" t="s">
        <v>606</v>
      </c>
      <c r="QXN337" s="42" t="s">
        <v>606</v>
      </c>
      <c r="QXO337" s="42" t="s">
        <v>606</v>
      </c>
      <c r="QXP337" s="42" t="s">
        <v>606</v>
      </c>
      <c r="QXQ337" s="42" t="s">
        <v>606</v>
      </c>
      <c r="QXR337" s="42" t="s">
        <v>606</v>
      </c>
      <c r="QXS337" s="42" t="s">
        <v>606</v>
      </c>
      <c r="QXT337" s="42" t="s">
        <v>606</v>
      </c>
      <c r="QXU337" s="42" t="s">
        <v>606</v>
      </c>
      <c r="QXV337" s="42" t="s">
        <v>606</v>
      </c>
      <c r="QXW337" s="42" t="s">
        <v>606</v>
      </c>
      <c r="QXX337" s="42" t="s">
        <v>606</v>
      </c>
      <c r="QXY337" s="42" t="s">
        <v>606</v>
      </c>
      <c r="QXZ337" s="42" t="s">
        <v>606</v>
      </c>
      <c r="QYA337" s="42" t="s">
        <v>606</v>
      </c>
      <c r="QYB337" s="42" t="s">
        <v>606</v>
      </c>
      <c r="QYC337" s="42" t="s">
        <v>606</v>
      </c>
      <c r="QYD337" s="42" t="s">
        <v>606</v>
      </c>
      <c r="QYE337" s="42" t="s">
        <v>606</v>
      </c>
      <c r="QYF337" s="42" t="s">
        <v>606</v>
      </c>
      <c r="QYG337" s="42" t="s">
        <v>606</v>
      </c>
      <c r="QYH337" s="42" t="s">
        <v>606</v>
      </c>
      <c r="QYI337" s="42" t="s">
        <v>606</v>
      </c>
      <c r="QYJ337" s="42" t="s">
        <v>606</v>
      </c>
      <c r="QYK337" s="42" t="s">
        <v>606</v>
      </c>
      <c r="QYL337" s="42" t="s">
        <v>606</v>
      </c>
      <c r="QYM337" s="42" t="s">
        <v>606</v>
      </c>
      <c r="QYN337" s="42" t="s">
        <v>606</v>
      </c>
      <c r="QYO337" s="42" t="s">
        <v>606</v>
      </c>
      <c r="QYP337" s="42" t="s">
        <v>606</v>
      </c>
      <c r="QYQ337" s="42" t="s">
        <v>606</v>
      </c>
      <c r="QYR337" s="42" t="s">
        <v>606</v>
      </c>
      <c r="QYS337" s="42" t="s">
        <v>606</v>
      </c>
      <c r="QYT337" s="42" t="s">
        <v>606</v>
      </c>
      <c r="QYU337" s="42" t="s">
        <v>606</v>
      </c>
      <c r="QYV337" s="42" t="s">
        <v>606</v>
      </c>
      <c r="QYW337" s="42" t="s">
        <v>606</v>
      </c>
      <c r="QYX337" s="42" t="s">
        <v>606</v>
      </c>
      <c r="QYY337" s="42" t="s">
        <v>606</v>
      </c>
      <c r="QYZ337" s="42" t="s">
        <v>606</v>
      </c>
      <c r="QZA337" s="42" t="s">
        <v>606</v>
      </c>
      <c r="QZB337" s="42" t="s">
        <v>606</v>
      </c>
      <c r="QZC337" s="42" t="s">
        <v>606</v>
      </c>
      <c r="QZD337" s="42" t="s">
        <v>606</v>
      </c>
      <c r="QZE337" s="42" t="s">
        <v>606</v>
      </c>
      <c r="QZF337" s="42" t="s">
        <v>606</v>
      </c>
      <c r="QZG337" s="42" t="s">
        <v>606</v>
      </c>
      <c r="QZH337" s="42" t="s">
        <v>606</v>
      </c>
      <c r="QZI337" s="42" t="s">
        <v>606</v>
      </c>
      <c r="QZJ337" s="42" t="s">
        <v>606</v>
      </c>
      <c r="QZK337" s="42" t="s">
        <v>606</v>
      </c>
      <c r="QZL337" s="42" t="s">
        <v>606</v>
      </c>
      <c r="QZM337" s="42" t="s">
        <v>606</v>
      </c>
      <c r="QZN337" s="42" t="s">
        <v>606</v>
      </c>
      <c r="QZO337" s="42" t="s">
        <v>606</v>
      </c>
      <c r="QZP337" s="42" t="s">
        <v>606</v>
      </c>
      <c r="QZQ337" s="42" t="s">
        <v>606</v>
      </c>
      <c r="QZR337" s="42" t="s">
        <v>606</v>
      </c>
      <c r="QZS337" s="42" t="s">
        <v>606</v>
      </c>
      <c r="QZT337" s="42" t="s">
        <v>606</v>
      </c>
      <c r="QZU337" s="42" t="s">
        <v>606</v>
      </c>
      <c r="QZV337" s="42" t="s">
        <v>606</v>
      </c>
      <c r="QZW337" s="42" t="s">
        <v>606</v>
      </c>
      <c r="QZX337" s="42" t="s">
        <v>606</v>
      </c>
      <c r="QZY337" s="42" t="s">
        <v>606</v>
      </c>
      <c r="QZZ337" s="42" t="s">
        <v>606</v>
      </c>
      <c r="RAA337" s="42" t="s">
        <v>606</v>
      </c>
      <c r="RAB337" s="42" t="s">
        <v>606</v>
      </c>
      <c r="RAC337" s="42" t="s">
        <v>606</v>
      </c>
      <c r="RAD337" s="42" t="s">
        <v>606</v>
      </c>
      <c r="RAE337" s="42" t="s">
        <v>606</v>
      </c>
      <c r="RAF337" s="42" t="s">
        <v>606</v>
      </c>
      <c r="RAG337" s="42" t="s">
        <v>606</v>
      </c>
      <c r="RAH337" s="42" t="s">
        <v>606</v>
      </c>
      <c r="RAI337" s="42" t="s">
        <v>606</v>
      </c>
      <c r="RAJ337" s="42" t="s">
        <v>606</v>
      </c>
      <c r="RAK337" s="42" t="s">
        <v>606</v>
      </c>
      <c r="RAL337" s="42" t="s">
        <v>606</v>
      </c>
      <c r="RAM337" s="42" t="s">
        <v>606</v>
      </c>
      <c r="RAN337" s="42" t="s">
        <v>606</v>
      </c>
      <c r="RAO337" s="42" t="s">
        <v>606</v>
      </c>
      <c r="RAP337" s="42" t="s">
        <v>606</v>
      </c>
      <c r="RAQ337" s="42" t="s">
        <v>606</v>
      </c>
      <c r="RAR337" s="42" t="s">
        <v>606</v>
      </c>
      <c r="RAS337" s="42" t="s">
        <v>606</v>
      </c>
      <c r="RAT337" s="42" t="s">
        <v>606</v>
      </c>
      <c r="RAU337" s="42" t="s">
        <v>606</v>
      </c>
      <c r="RAV337" s="42" t="s">
        <v>606</v>
      </c>
      <c r="RAW337" s="42" t="s">
        <v>606</v>
      </c>
      <c r="RAX337" s="42" t="s">
        <v>606</v>
      </c>
      <c r="RAY337" s="42" t="s">
        <v>606</v>
      </c>
      <c r="RAZ337" s="42" t="s">
        <v>606</v>
      </c>
      <c r="RBA337" s="42" t="s">
        <v>606</v>
      </c>
      <c r="RBB337" s="42" t="s">
        <v>606</v>
      </c>
      <c r="RBC337" s="42" t="s">
        <v>606</v>
      </c>
      <c r="RBD337" s="42" t="s">
        <v>606</v>
      </c>
      <c r="RBE337" s="42" t="s">
        <v>606</v>
      </c>
      <c r="RBF337" s="42" t="s">
        <v>606</v>
      </c>
      <c r="RBG337" s="42" t="s">
        <v>606</v>
      </c>
      <c r="RBH337" s="42" t="s">
        <v>606</v>
      </c>
      <c r="RBI337" s="42" t="s">
        <v>606</v>
      </c>
      <c r="RBJ337" s="42" t="s">
        <v>606</v>
      </c>
      <c r="RBK337" s="42" t="s">
        <v>606</v>
      </c>
      <c r="RBL337" s="42" t="s">
        <v>606</v>
      </c>
      <c r="RBM337" s="42" t="s">
        <v>606</v>
      </c>
      <c r="RBN337" s="42" t="s">
        <v>606</v>
      </c>
      <c r="RBO337" s="42" t="s">
        <v>606</v>
      </c>
      <c r="RBP337" s="42" t="s">
        <v>606</v>
      </c>
      <c r="RBQ337" s="42" t="s">
        <v>606</v>
      </c>
      <c r="RBR337" s="42" t="s">
        <v>606</v>
      </c>
      <c r="RBS337" s="42" t="s">
        <v>606</v>
      </c>
      <c r="RBT337" s="42" t="s">
        <v>606</v>
      </c>
      <c r="RBU337" s="42" t="s">
        <v>606</v>
      </c>
      <c r="RBV337" s="42" t="s">
        <v>606</v>
      </c>
      <c r="RBW337" s="42" t="s">
        <v>606</v>
      </c>
      <c r="RBX337" s="42" t="s">
        <v>606</v>
      </c>
      <c r="RBY337" s="42" t="s">
        <v>606</v>
      </c>
      <c r="RBZ337" s="42" t="s">
        <v>606</v>
      </c>
      <c r="RCA337" s="42" t="s">
        <v>606</v>
      </c>
      <c r="RCB337" s="42" t="s">
        <v>606</v>
      </c>
      <c r="RCC337" s="42" t="s">
        <v>606</v>
      </c>
      <c r="RCD337" s="42" t="s">
        <v>606</v>
      </c>
      <c r="RCE337" s="42" t="s">
        <v>606</v>
      </c>
      <c r="RCF337" s="42" t="s">
        <v>606</v>
      </c>
      <c r="RCG337" s="42" t="s">
        <v>606</v>
      </c>
      <c r="RCH337" s="42" t="s">
        <v>606</v>
      </c>
      <c r="RCI337" s="42" t="s">
        <v>606</v>
      </c>
      <c r="RCJ337" s="42" t="s">
        <v>606</v>
      </c>
      <c r="RCK337" s="42" t="s">
        <v>606</v>
      </c>
      <c r="RCL337" s="42" t="s">
        <v>606</v>
      </c>
      <c r="RCM337" s="42" t="s">
        <v>606</v>
      </c>
      <c r="RCN337" s="42" t="s">
        <v>606</v>
      </c>
      <c r="RCO337" s="42" t="s">
        <v>606</v>
      </c>
      <c r="RCP337" s="42" t="s">
        <v>606</v>
      </c>
      <c r="RCQ337" s="42" t="s">
        <v>606</v>
      </c>
      <c r="RCR337" s="42" t="s">
        <v>606</v>
      </c>
      <c r="RCS337" s="42" t="s">
        <v>606</v>
      </c>
      <c r="RCT337" s="42" t="s">
        <v>606</v>
      </c>
      <c r="RCU337" s="42" t="s">
        <v>606</v>
      </c>
      <c r="RCV337" s="42" t="s">
        <v>606</v>
      </c>
      <c r="RCW337" s="42" t="s">
        <v>606</v>
      </c>
      <c r="RCX337" s="42" t="s">
        <v>606</v>
      </c>
      <c r="RCY337" s="42" t="s">
        <v>606</v>
      </c>
      <c r="RCZ337" s="42" t="s">
        <v>606</v>
      </c>
      <c r="RDA337" s="42" t="s">
        <v>606</v>
      </c>
      <c r="RDB337" s="42" t="s">
        <v>606</v>
      </c>
      <c r="RDC337" s="42" t="s">
        <v>606</v>
      </c>
      <c r="RDD337" s="42" t="s">
        <v>606</v>
      </c>
      <c r="RDE337" s="42" t="s">
        <v>606</v>
      </c>
      <c r="RDF337" s="42" t="s">
        <v>606</v>
      </c>
      <c r="RDG337" s="42" t="s">
        <v>606</v>
      </c>
      <c r="RDH337" s="42" t="s">
        <v>606</v>
      </c>
      <c r="RDI337" s="42" t="s">
        <v>606</v>
      </c>
      <c r="RDJ337" s="42" t="s">
        <v>606</v>
      </c>
      <c r="RDK337" s="42" t="s">
        <v>606</v>
      </c>
      <c r="RDL337" s="42" t="s">
        <v>606</v>
      </c>
      <c r="RDM337" s="42" t="s">
        <v>606</v>
      </c>
      <c r="RDN337" s="42" t="s">
        <v>606</v>
      </c>
      <c r="RDO337" s="42" t="s">
        <v>606</v>
      </c>
      <c r="RDP337" s="42" t="s">
        <v>606</v>
      </c>
      <c r="RDQ337" s="42" t="s">
        <v>606</v>
      </c>
      <c r="RDR337" s="42" t="s">
        <v>606</v>
      </c>
      <c r="RDS337" s="42" t="s">
        <v>606</v>
      </c>
      <c r="RDT337" s="42" t="s">
        <v>606</v>
      </c>
      <c r="RDU337" s="42" t="s">
        <v>606</v>
      </c>
      <c r="RDV337" s="42" t="s">
        <v>606</v>
      </c>
      <c r="RDW337" s="42" t="s">
        <v>606</v>
      </c>
      <c r="RDX337" s="42" t="s">
        <v>606</v>
      </c>
      <c r="RDY337" s="42" t="s">
        <v>606</v>
      </c>
      <c r="RDZ337" s="42" t="s">
        <v>606</v>
      </c>
      <c r="REA337" s="42" t="s">
        <v>606</v>
      </c>
      <c r="REB337" s="42" t="s">
        <v>606</v>
      </c>
      <c r="REC337" s="42" t="s">
        <v>606</v>
      </c>
      <c r="RED337" s="42" t="s">
        <v>606</v>
      </c>
      <c r="REE337" s="42" t="s">
        <v>606</v>
      </c>
      <c r="REF337" s="42" t="s">
        <v>606</v>
      </c>
      <c r="REG337" s="42" t="s">
        <v>606</v>
      </c>
      <c r="REH337" s="42" t="s">
        <v>606</v>
      </c>
      <c r="REI337" s="42" t="s">
        <v>606</v>
      </c>
      <c r="REJ337" s="42" t="s">
        <v>606</v>
      </c>
      <c r="REK337" s="42" t="s">
        <v>606</v>
      </c>
      <c r="REL337" s="42" t="s">
        <v>606</v>
      </c>
      <c r="REM337" s="42" t="s">
        <v>606</v>
      </c>
      <c r="REN337" s="42" t="s">
        <v>606</v>
      </c>
      <c r="REO337" s="42" t="s">
        <v>606</v>
      </c>
      <c r="REP337" s="42" t="s">
        <v>606</v>
      </c>
      <c r="REQ337" s="42" t="s">
        <v>606</v>
      </c>
      <c r="RER337" s="42" t="s">
        <v>606</v>
      </c>
      <c r="RES337" s="42" t="s">
        <v>606</v>
      </c>
      <c r="RET337" s="42" t="s">
        <v>606</v>
      </c>
      <c r="REU337" s="42" t="s">
        <v>606</v>
      </c>
      <c r="REV337" s="42" t="s">
        <v>606</v>
      </c>
      <c r="REW337" s="42" t="s">
        <v>606</v>
      </c>
      <c r="REX337" s="42" t="s">
        <v>606</v>
      </c>
      <c r="REY337" s="42" t="s">
        <v>606</v>
      </c>
      <c r="REZ337" s="42" t="s">
        <v>606</v>
      </c>
      <c r="RFA337" s="42" t="s">
        <v>606</v>
      </c>
      <c r="RFB337" s="42" t="s">
        <v>606</v>
      </c>
      <c r="RFC337" s="42" t="s">
        <v>606</v>
      </c>
      <c r="RFD337" s="42" t="s">
        <v>606</v>
      </c>
      <c r="RFE337" s="42" t="s">
        <v>606</v>
      </c>
      <c r="RFF337" s="42" t="s">
        <v>606</v>
      </c>
      <c r="RFG337" s="42" t="s">
        <v>606</v>
      </c>
      <c r="RFH337" s="42" t="s">
        <v>606</v>
      </c>
      <c r="RFI337" s="42" t="s">
        <v>606</v>
      </c>
      <c r="RFJ337" s="42" t="s">
        <v>606</v>
      </c>
      <c r="RFK337" s="42" t="s">
        <v>606</v>
      </c>
      <c r="RFL337" s="42" t="s">
        <v>606</v>
      </c>
      <c r="RFM337" s="42" t="s">
        <v>606</v>
      </c>
      <c r="RFN337" s="42" t="s">
        <v>606</v>
      </c>
      <c r="RFO337" s="42" t="s">
        <v>606</v>
      </c>
      <c r="RFP337" s="42" t="s">
        <v>606</v>
      </c>
      <c r="RFQ337" s="42" t="s">
        <v>606</v>
      </c>
      <c r="RFR337" s="42" t="s">
        <v>606</v>
      </c>
      <c r="RFS337" s="42" t="s">
        <v>606</v>
      </c>
      <c r="RFT337" s="42" t="s">
        <v>606</v>
      </c>
      <c r="RFU337" s="42" t="s">
        <v>606</v>
      </c>
      <c r="RFV337" s="42" t="s">
        <v>606</v>
      </c>
      <c r="RFW337" s="42" t="s">
        <v>606</v>
      </c>
      <c r="RFX337" s="42" t="s">
        <v>606</v>
      </c>
      <c r="RFY337" s="42" t="s">
        <v>606</v>
      </c>
      <c r="RFZ337" s="42" t="s">
        <v>606</v>
      </c>
      <c r="RGA337" s="42" t="s">
        <v>606</v>
      </c>
      <c r="RGB337" s="42" t="s">
        <v>606</v>
      </c>
      <c r="RGC337" s="42" t="s">
        <v>606</v>
      </c>
      <c r="RGD337" s="42" t="s">
        <v>606</v>
      </c>
      <c r="RGE337" s="42" t="s">
        <v>606</v>
      </c>
      <c r="RGF337" s="42" t="s">
        <v>606</v>
      </c>
      <c r="RGG337" s="42" t="s">
        <v>606</v>
      </c>
      <c r="RGH337" s="42" t="s">
        <v>606</v>
      </c>
      <c r="RGI337" s="42" t="s">
        <v>606</v>
      </c>
      <c r="RGJ337" s="42" t="s">
        <v>606</v>
      </c>
      <c r="RGK337" s="42" t="s">
        <v>606</v>
      </c>
      <c r="RGL337" s="42" t="s">
        <v>606</v>
      </c>
      <c r="RGM337" s="42" t="s">
        <v>606</v>
      </c>
      <c r="RGN337" s="42" t="s">
        <v>606</v>
      </c>
      <c r="RGO337" s="42" t="s">
        <v>606</v>
      </c>
      <c r="RGP337" s="42" t="s">
        <v>606</v>
      </c>
      <c r="RGQ337" s="42" t="s">
        <v>606</v>
      </c>
      <c r="RGR337" s="42" t="s">
        <v>606</v>
      </c>
      <c r="RGS337" s="42" t="s">
        <v>606</v>
      </c>
      <c r="RGT337" s="42" t="s">
        <v>606</v>
      </c>
      <c r="RGU337" s="42" t="s">
        <v>606</v>
      </c>
      <c r="RGV337" s="42" t="s">
        <v>606</v>
      </c>
      <c r="RGW337" s="42" t="s">
        <v>606</v>
      </c>
      <c r="RGX337" s="42" t="s">
        <v>606</v>
      </c>
      <c r="RGY337" s="42" t="s">
        <v>606</v>
      </c>
      <c r="RGZ337" s="42" t="s">
        <v>606</v>
      </c>
      <c r="RHA337" s="42" t="s">
        <v>606</v>
      </c>
      <c r="RHB337" s="42" t="s">
        <v>606</v>
      </c>
      <c r="RHC337" s="42" t="s">
        <v>606</v>
      </c>
      <c r="RHD337" s="42" t="s">
        <v>606</v>
      </c>
      <c r="RHE337" s="42" t="s">
        <v>606</v>
      </c>
      <c r="RHF337" s="42" t="s">
        <v>606</v>
      </c>
      <c r="RHG337" s="42" t="s">
        <v>606</v>
      </c>
      <c r="RHH337" s="42" t="s">
        <v>606</v>
      </c>
      <c r="RHI337" s="42" t="s">
        <v>606</v>
      </c>
      <c r="RHJ337" s="42" t="s">
        <v>606</v>
      </c>
      <c r="RHK337" s="42" t="s">
        <v>606</v>
      </c>
      <c r="RHL337" s="42" t="s">
        <v>606</v>
      </c>
      <c r="RHM337" s="42" t="s">
        <v>606</v>
      </c>
      <c r="RHN337" s="42" t="s">
        <v>606</v>
      </c>
      <c r="RHO337" s="42" t="s">
        <v>606</v>
      </c>
      <c r="RHP337" s="42" t="s">
        <v>606</v>
      </c>
      <c r="RHQ337" s="42" t="s">
        <v>606</v>
      </c>
      <c r="RHR337" s="42" t="s">
        <v>606</v>
      </c>
      <c r="RHS337" s="42" t="s">
        <v>606</v>
      </c>
      <c r="RHT337" s="42" t="s">
        <v>606</v>
      </c>
      <c r="RHU337" s="42" t="s">
        <v>606</v>
      </c>
      <c r="RHV337" s="42" t="s">
        <v>606</v>
      </c>
      <c r="RHW337" s="42" t="s">
        <v>606</v>
      </c>
      <c r="RHX337" s="42" t="s">
        <v>606</v>
      </c>
      <c r="RHY337" s="42" t="s">
        <v>606</v>
      </c>
      <c r="RHZ337" s="42" t="s">
        <v>606</v>
      </c>
      <c r="RIA337" s="42" t="s">
        <v>606</v>
      </c>
      <c r="RIB337" s="42" t="s">
        <v>606</v>
      </c>
      <c r="RIC337" s="42" t="s">
        <v>606</v>
      </c>
      <c r="RID337" s="42" t="s">
        <v>606</v>
      </c>
      <c r="RIE337" s="42" t="s">
        <v>606</v>
      </c>
      <c r="RIF337" s="42" t="s">
        <v>606</v>
      </c>
      <c r="RIG337" s="42" t="s">
        <v>606</v>
      </c>
      <c r="RIH337" s="42" t="s">
        <v>606</v>
      </c>
      <c r="RII337" s="42" t="s">
        <v>606</v>
      </c>
      <c r="RIJ337" s="42" t="s">
        <v>606</v>
      </c>
      <c r="RIK337" s="42" t="s">
        <v>606</v>
      </c>
      <c r="RIL337" s="42" t="s">
        <v>606</v>
      </c>
      <c r="RIM337" s="42" t="s">
        <v>606</v>
      </c>
      <c r="RIN337" s="42" t="s">
        <v>606</v>
      </c>
      <c r="RIO337" s="42" t="s">
        <v>606</v>
      </c>
      <c r="RIP337" s="42" t="s">
        <v>606</v>
      </c>
      <c r="RIQ337" s="42" t="s">
        <v>606</v>
      </c>
      <c r="RIR337" s="42" t="s">
        <v>606</v>
      </c>
      <c r="RIS337" s="42" t="s">
        <v>606</v>
      </c>
      <c r="RIT337" s="42" t="s">
        <v>606</v>
      </c>
      <c r="RIU337" s="42" t="s">
        <v>606</v>
      </c>
      <c r="RIV337" s="42" t="s">
        <v>606</v>
      </c>
      <c r="RIW337" s="42" t="s">
        <v>606</v>
      </c>
      <c r="RIX337" s="42" t="s">
        <v>606</v>
      </c>
      <c r="RIY337" s="42" t="s">
        <v>606</v>
      </c>
      <c r="RIZ337" s="42" t="s">
        <v>606</v>
      </c>
      <c r="RJA337" s="42" t="s">
        <v>606</v>
      </c>
      <c r="RJB337" s="42" t="s">
        <v>606</v>
      </c>
      <c r="RJC337" s="42" t="s">
        <v>606</v>
      </c>
      <c r="RJD337" s="42" t="s">
        <v>606</v>
      </c>
      <c r="RJE337" s="42" t="s">
        <v>606</v>
      </c>
      <c r="RJF337" s="42" t="s">
        <v>606</v>
      </c>
      <c r="RJG337" s="42" t="s">
        <v>606</v>
      </c>
      <c r="RJH337" s="42" t="s">
        <v>606</v>
      </c>
      <c r="RJI337" s="42" t="s">
        <v>606</v>
      </c>
      <c r="RJJ337" s="42" t="s">
        <v>606</v>
      </c>
      <c r="RJK337" s="42" t="s">
        <v>606</v>
      </c>
      <c r="RJL337" s="42" t="s">
        <v>606</v>
      </c>
      <c r="RJM337" s="42" t="s">
        <v>606</v>
      </c>
      <c r="RJN337" s="42" t="s">
        <v>606</v>
      </c>
      <c r="RJO337" s="42" t="s">
        <v>606</v>
      </c>
      <c r="RJP337" s="42" t="s">
        <v>606</v>
      </c>
      <c r="RJQ337" s="42" t="s">
        <v>606</v>
      </c>
      <c r="RJR337" s="42" t="s">
        <v>606</v>
      </c>
      <c r="RJS337" s="42" t="s">
        <v>606</v>
      </c>
      <c r="RJT337" s="42" t="s">
        <v>606</v>
      </c>
      <c r="RJU337" s="42" t="s">
        <v>606</v>
      </c>
      <c r="RJV337" s="42" t="s">
        <v>606</v>
      </c>
      <c r="RJW337" s="42" t="s">
        <v>606</v>
      </c>
      <c r="RJX337" s="42" t="s">
        <v>606</v>
      </c>
      <c r="RJY337" s="42" t="s">
        <v>606</v>
      </c>
      <c r="RJZ337" s="42" t="s">
        <v>606</v>
      </c>
      <c r="RKA337" s="42" t="s">
        <v>606</v>
      </c>
      <c r="RKB337" s="42" t="s">
        <v>606</v>
      </c>
      <c r="RKC337" s="42" t="s">
        <v>606</v>
      </c>
      <c r="RKD337" s="42" t="s">
        <v>606</v>
      </c>
      <c r="RKE337" s="42" t="s">
        <v>606</v>
      </c>
      <c r="RKF337" s="42" t="s">
        <v>606</v>
      </c>
      <c r="RKG337" s="42" t="s">
        <v>606</v>
      </c>
      <c r="RKH337" s="42" t="s">
        <v>606</v>
      </c>
      <c r="RKI337" s="42" t="s">
        <v>606</v>
      </c>
      <c r="RKJ337" s="42" t="s">
        <v>606</v>
      </c>
      <c r="RKK337" s="42" t="s">
        <v>606</v>
      </c>
      <c r="RKL337" s="42" t="s">
        <v>606</v>
      </c>
      <c r="RKM337" s="42" t="s">
        <v>606</v>
      </c>
      <c r="RKN337" s="42" t="s">
        <v>606</v>
      </c>
      <c r="RKO337" s="42" t="s">
        <v>606</v>
      </c>
      <c r="RKP337" s="42" t="s">
        <v>606</v>
      </c>
      <c r="RKQ337" s="42" t="s">
        <v>606</v>
      </c>
      <c r="RKR337" s="42" t="s">
        <v>606</v>
      </c>
      <c r="RKS337" s="42" t="s">
        <v>606</v>
      </c>
      <c r="RKT337" s="42" t="s">
        <v>606</v>
      </c>
      <c r="RKU337" s="42" t="s">
        <v>606</v>
      </c>
      <c r="RKV337" s="42" t="s">
        <v>606</v>
      </c>
      <c r="RKW337" s="42" t="s">
        <v>606</v>
      </c>
      <c r="RKX337" s="42" t="s">
        <v>606</v>
      </c>
      <c r="RKY337" s="42" t="s">
        <v>606</v>
      </c>
      <c r="RKZ337" s="42" t="s">
        <v>606</v>
      </c>
      <c r="RLA337" s="42" t="s">
        <v>606</v>
      </c>
      <c r="RLB337" s="42" t="s">
        <v>606</v>
      </c>
      <c r="RLC337" s="42" t="s">
        <v>606</v>
      </c>
      <c r="RLD337" s="42" t="s">
        <v>606</v>
      </c>
      <c r="RLE337" s="42" t="s">
        <v>606</v>
      </c>
      <c r="RLF337" s="42" t="s">
        <v>606</v>
      </c>
      <c r="RLG337" s="42" t="s">
        <v>606</v>
      </c>
      <c r="RLH337" s="42" t="s">
        <v>606</v>
      </c>
      <c r="RLI337" s="42" t="s">
        <v>606</v>
      </c>
      <c r="RLJ337" s="42" t="s">
        <v>606</v>
      </c>
      <c r="RLK337" s="42" t="s">
        <v>606</v>
      </c>
      <c r="RLL337" s="42" t="s">
        <v>606</v>
      </c>
      <c r="RLM337" s="42" t="s">
        <v>606</v>
      </c>
      <c r="RLN337" s="42" t="s">
        <v>606</v>
      </c>
      <c r="RLO337" s="42" t="s">
        <v>606</v>
      </c>
      <c r="RLP337" s="42" t="s">
        <v>606</v>
      </c>
      <c r="RLQ337" s="42" t="s">
        <v>606</v>
      </c>
      <c r="RLR337" s="42" t="s">
        <v>606</v>
      </c>
      <c r="RLS337" s="42" t="s">
        <v>606</v>
      </c>
      <c r="RLT337" s="42" t="s">
        <v>606</v>
      </c>
      <c r="RLU337" s="42" t="s">
        <v>606</v>
      </c>
      <c r="RLV337" s="42" t="s">
        <v>606</v>
      </c>
      <c r="RLW337" s="42" t="s">
        <v>606</v>
      </c>
      <c r="RLX337" s="42" t="s">
        <v>606</v>
      </c>
      <c r="RLY337" s="42" t="s">
        <v>606</v>
      </c>
      <c r="RLZ337" s="42" t="s">
        <v>606</v>
      </c>
      <c r="RMA337" s="42" t="s">
        <v>606</v>
      </c>
      <c r="RMB337" s="42" t="s">
        <v>606</v>
      </c>
      <c r="RMC337" s="42" t="s">
        <v>606</v>
      </c>
      <c r="RMD337" s="42" t="s">
        <v>606</v>
      </c>
      <c r="RME337" s="42" t="s">
        <v>606</v>
      </c>
      <c r="RMF337" s="42" t="s">
        <v>606</v>
      </c>
      <c r="RMG337" s="42" t="s">
        <v>606</v>
      </c>
      <c r="RMH337" s="42" t="s">
        <v>606</v>
      </c>
      <c r="RMI337" s="42" t="s">
        <v>606</v>
      </c>
      <c r="RMJ337" s="42" t="s">
        <v>606</v>
      </c>
      <c r="RMK337" s="42" t="s">
        <v>606</v>
      </c>
      <c r="RML337" s="42" t="s">
        <v>606</v>
      </c>
      <c r="RMM337" s="42" t="s">
        <v>606</v>
      </c>
      <c r="RMN337" s="42" t="s">
        <v>606</v>
      </c>
      <c r="RMO337" s="42" t="s">
        <v>606</v>
      </c>
      <c r="RMP337" s="42" t="s">
        <v>606</v>
      </c>
      <c r="RMQ337" s="42" t="s">
        <v>606</v>
      </c>
      <c r="RMR337" s="42" t="s">
        <v>606</v>
      </c>
      <c r="RMS337" s="42" t="s">
        <v>606</v>
      </c>
      <c r="RMT337" s="42" t="s">
        <v>606</v>
      </c>
      <c r="RMU337" s="42" t="s">
        <v>606</v>
      </c>
      <c r="RMV337" s="42" t="s">
        <v>606</v>
      </c>
      <c r="RMW337" s="42" t="s">
        <v>606</v>
      </c>
      <c r="RMX337" s="42" t="s">
        <v>606</v>
      </c>
      <c r="RMY337" s="42" t="s">
        <v>606</v>
      </c>
      <c r="RMZ337" s="42" t="s">
        <v>606</v>
      </c>
      <c r="RNA337" s="42" t="s">
        <v>606</v>
      </c>
      <c r="RNB337" s="42" t="s">
        <v>606</v>
      </c>
      <c r="RNC337" s="42" t="s">
        <v>606</v>
      </c>
      <c r="RND337" s="42" t="s">
        <v>606</v>
      </c>
      <c r="RNE337" s="42" t="s">
        <v>606</v>
      </c>
      <c r="RNF337" s="42" t="s">
        <v>606</v>
      </c>
      <c r="RNG337" s="42" t="s">
        <v>606</v>
      </c>
      <c r="RNH337" s="42" t="s">
        <v>606</v>
      </c>
      <c r="RNI337" s="42" t="s">
        <v>606</v>
      </c>
      <c r="RNJ337" s="42" t="s">
        <v>606</v>
      </c>
      <c r="RNK337" s="42" t="s">
        <v>606</v>
      </c>
      <c r="RNL337" s="42" t="s">
        <v>606</v>
      </c>
      <c r="RNM337" s="42" t="s">
        <v>606</v>
      </c>
      <c r="RNN337" s="42" t="s">
        <v>606</v>
      </c>
      <c r="RNO337" s="42" t="s">
        <v>606</v>
      </c>
      <c r="RNP337" s="42" t="s">
        <v>606</v>
      </c>
      <c r="RNQ337" s="42" t="s">
        <v>606</v>
      </c>
      <c r="RNR337" s="42" t="s">
        <v>606</v>
      </c>
      <c r="RNS337" s="42" t="s">
        <v>606</v>
      </c>
      <c r="RNT337" s="42" t="s">
        <v>606</v>
      </c>
      <c r="RNU337" s="42" t="s">
        <v>606</v>
      </c>
      <c r="RNV337" s="42" t="s">
        <v>606</v>
      </c>
      <c r="RNW337" s="42" t="s">
        <v>606</v>
      </c>
      <c r="RNX337" s="42" t="s">
        <v>606</v>
      </c>
      <c r="RNY337" s="42" t="s">
        <v>606</v>
      </c>
      <c r="RNZ337" s="42" t="s">
        <v>606</v>
      </c>
      <c r="ROA337" s="42" t="s">
        <v>606</v>
      </c>
      <c r="ROB337" s="42" t="s">
        <v>606</v>
      </c>
      <c r="ROC337" s="42" t="s">
        <v>606</v>
      </c>
      <c r="ROD337" s="42" t="s">
        <v>606</v>
      </c>
      <c r="ROE337" s="42" t="s">
        <v>606</v>
      </c>
      <c r="ROF337" s="42" t="s">
        <v>606</v>
      </c>
      <c r="ROG337" s="42" t="s">
        <v>606</v>
      </c>
      <c r="ROH337" s="42" t="s">
        <v>606</v>
      </c>
      <c r="ROI337" s="42" t="s">
        <v>606</v>
      </c>
      <c r="ROJ337" s="42" t="s">
        <v>606</v>
      </c>
      <c r="ROK337" s="42" t="s">
        <v>606</v>
      </c>
      <c r="ROL337" s="42" t="s">
        <v>606</v>
      </c>
      <c r="ROM337" s="42" t="s">
        <v>606</v>
      </c>
      <c r="RON337" s="42" t="s">
        <v>606</v>
      </c>
      <c r="ROO337" s="42" t="s">
        <v>606</v>
      </c>
      <c r="ROP337" s="42" t="s">
        <v>606</v>
      </c>
      <c r="ROQ337" s="42" t="s">
        <v>606</v>
      </c>
      <c r="ROR337" s="42" t="s">
        <v>606</v>
      </c>
      <c r="ROS337" s="42" t="s">
        <v>606</v>
      </c>
      <c r="ROT337" s="42" t="s">
        <v>606</v>
      </c>
      <c r="ROU337" s="42" t="s">
        <v>606</v>
      </c>
      <c r="ROV337" s="42" t="s">
        <v>606</v>
      </c>
      <c r="ROW337" s="42" t="s">
        <v>606</v>
      </c>
      <c r="ROX337" s="42" t="s">
        <v>606</v>
      </c>
      <c r="ROY337" s="42" t="s">
        <v>606</v>
      </c>
      <c r="ROZ337" s="42" t="s">
        <v>606</v>
      </c>
      <c r="RPA337" s="42" t="s">
        <v>606</v>
      </c>
      <c r="RPB337" s="42" t="s">
        <v>606</v>
      </c>
      <c r="RPC337" s="42" t="s">
        <v>606</v>
      </c>
      <c r="RPD337" s="42" t="s">
        <v>606</v>
      </c>
      <c r="RPE337" s="42" t="s">
        <v>606</v>
      </c>
      <c r="RPF337" s="42" t="s">
        <v>606</v>
      </c>
      <c r="RPG337" s="42" t="s">
        <v>606</v>
      </c>
      <c r="RPH337" s="42" t="s">
        <v>606</v>
      </c>
      <c r="RPI337" s="42" t="s">
        <v>606</v>
      </c>
      <c r="RPJ337" s="42" t="s">
        <v>606</v>
      </c>
      <c r="RPK337" s="42" t="s">
        <v>606</v>
      </c>
      <c r="RPL337" s="42" t="s">
        <v>606</v>
      </c>
      <c r="RPM337" s="42" t="s">
        <v>606</v>
      </c>
      <c r="RPN337" s="42" t="s">
        <v>606</v>
      </c>
      <c r="RPO337" s="42" t="s">
        <v>606</v>
      </c>
      <c r="RPP337" s="42" t="s">
        <v>606</v>
      </c>
      <c r="RPQ337" s="42" t="s">
        <v>606</v>
      </c>
      <c r="RPR337" s="42" t="s">
        <v>606</v>
      </c>
      <c r="RPS337" s="42" t="s">
        <v>606</v>
      </c>
      <c r="RPT337" s="42" t="s">
        <v>606</v>
      </c>
      <c r="RPU337" s="42" t="s">
        <v>606</v>
      </c>
      <c r="RPV337" s="42" t="s">
        <v>606</v>
      </c>
      <c r="RPW337" s="42" t="s">
        <v>606</v>
      </c>
      <c r="RPX337" s="42" t="s">
        <v>606</v>
      </c>
      <c r="RPY337" s="42" t="s">
        <v>606</v>
      </c>
      <c r="RPZ337" s="42" t="s">
        <v>606</v>
      </c>
      <c r="RQA337" s="42" t="s">
        <v>606</v>
      </c>
      <c r="RQB337" s="42" t="s">
        <v>606</v>
      </c>
      <c r="RQC337" s="42" t="s">
        <v>606</v>
      </c>
      <c r="RQD337" s="42" t="s">
        <v>606</v>
      </c>
      <c r="RQE337" s="42" t="s">
        <v>606</v>
      </c>
      <c r="RQF337" s="42" t="s">
        <v>606</v>
      </c>
      <c r="RQG337" s="42" t="s">
        <v>606</v>
      </c>
      <c r="RQH337" s="42" t="s">
        <v>606</v>
      </c>
      <c r="RQI337" s="42" t="s">
        <v>606</v>
      </c>
      <c r="RQJ337" s="42" t="s">
        <v>606</v>
      </c>
      <c r="RQK337" s="42" t="s">
        <v>606</v>
      </c>
      <c r="RQL337" s="42" t="s">
        <v>606</v>
      </c>
      <c r="RQM337" s="42" t="s">
        <v>606</v>
      </c>
      <c r="RQN337" s="42" t="s">
        <v>606</v>
      </c>
      <c r="RQO337" s="42" t="s">
        <v>606</v>
      </c>
      <c r="RQP337" s="42" t="s">
        <v>606</v>
      </c>
      <c r="RQQ337" s="42" t="s">
        <v>606</v>
      </c>
      <c r="RQR337" s="42" t="s">
        <v>606</v>
      </c>
      <c r="RQS337" s="42" t="s">
        <v>606</v>
      </c>
      <c r="RQT337" s="42" t="s">
        <v>606</v>
      </c>
      <c r="RQU337" s="42" t="s">
        <v>606</v>
      </c>
      <c r="RQV337" s="42" t="s">
        <v>606</v>
      </c>
      <c r="RQW337" s="42" t="s">
        <v>606</v>
      </c>
      <c r="RQX337" s="42" t="s">
        <v>606</v>
      </c>
      <c r="RQY337" s="42" t="s">
        <v>606</v>
      </c>
      <c r="RQZ337" s="42" t="s">
        <v>606</v>
      </c>
      <c r="RRA337" s="42" t="s">
        <v>606</v>
      </c>
      <c r="RRB337" s="42" t="s">
        <v>606</v>
      </c>
      <c r="RRC337" s="42" t="s">
        <v>606</v>
      </c>
      <c r="RRD337" s="42" t="s">
        <v>606</v>
      </c>
      <c r="RRE337" s="42" t="s">
        <v>606</v>
      </c>
      <c r="RRF337" s="42" t="s">
        <v>606</v>
      </c>
      <c r="RRG337" s="42" t="s">
        <v>606</v>
      </c>
      <c r="RRH337" s="42" t="s">
        <v>606</v>
      </c>
      <c r="RRI337" s="42" t="s">
        <v>606</v>
      </c>
      <c r="RRJ337" s="42" t="s">
        <v>606</v>
      </c>
      <c r="RRK337" s="42" t="s">
        <v>606</v>
      </c>
      <c r="RRL337" s="42" t="s">
        <v>606</v>
      </c>
      <c r="RRM337" s="42" t="s">
        <v>606</v>
      </c>
      <c r="RRN337" s="42" t="s">
        <v>606</v>
      </c>
      <c r="RRO337" s="42" t="s">
        <v>606</v>
      </c>
      <c r="RRP337" s="42" t="s">
        <v>606</v>
      </c>
      <c r="RRQ337" s="42" t="s">
        <v>606</v>
      </c>
      <c r="RRR337" s="42" t="s">
        <v>606</v>
      </c>
      <c r="RRS337" s="42" t="s">
        <v>606</v>
      </c>
      <c r="RRT337" s="42" t="s">
        <v>606</v>
      </c>
      <c r="RRU337" s="42" t="s">
        <v>606</v>
      </c>
      <c r="RRV337" s="42" t="s">
        <v>606</v>
      </c>
      <c r="RRW337" s="42" t="s">
        <v>606</v>
      </c>
      <c r="RRX337" s="42" t="s">
        <v>606</v>
      </c>
      <c r="RRY337" s="42" t="s">
        <v>606</v>
      </c>
      <c r="RRZ337" s="42" t="s">
        <v>606</v>
      </c>
      <c r="RSA337" s="42" t="s">
        <v>606</v>
      </c>
      <c r="RSB337" s="42" t="s">
        <v>606</v>
      </c>
      <c r="RSC337" s="42" t="s">
        <v>606</v>
      </c>
      <c r="RSD337" s="42" t="s">
        <v>606</v>
      </c>
      <c r="RSE337" s="42" t="s">
        <v>606</v>
      </c>
      <c r="RSF337" s="42" t="s">
        <v>606</v>
      </c>
      <c r="RSG337" s="42" t="s">
        <v>606</v>
      </c>
      <c r="RSH337" s="42" t="s">
        <v>606</v>
      </c>
      <c r="RSI337" s="42" t="s">
        <v>606</v>
      </c>
      <c r="RSJ337" s="42" t="s">
        <v>606</v>
      </c>
      <c r="RSK337" s="42" t="s">
        <v>606</v>
      </c>
      <c r="RSL337" s="42" t="s">
        <v>606</v>
      </c>
      <c r="RSM337" s="42" t="s">
        <v>606</v>
      </c>
      <c r="RSN337" s="42" t="s">
        <v>606</v>
      </c>
      <c r="RSO337" s="42" t="s">
        <v>606</v>
      </c>
      <c r="RSP337" s="42" t="s">
        <v>606</v>
      </c>
      <c r="RSQ337" s="42" t="s">
        <v>606</v>
      </c>
      <c r="RSR337" s="42" t="s">
        <v>606</v>
      </c>
      <c r="RSS337" s="42" t="s">
        <v>606</v>
      </c>
      <c r="RST337" s="42" t="s">
        <v>606</v>
      </c>
      <c r="RSU337" s="42" t="s">
        <v>606</v>
      </c>
      <c r="RSV337" s="42" t="s">
        <v>606</v>
      </c>
      <c r="RSW337" s="42" t="s">
        <v>606</v>
      </c>
      <c r="RSX337" s="42" t="s">
        <v>606</v>
      </c>
      <c r="RSY337" s="42" t="s">
        <v>606</v>
      </c>
      <c r="RSZ337" s="42" t="s">
        <v>606</v>
      </c>
      <c r="RTA337" s="42" t="s">
        <v>606</v>
      </c>
      <c r="RTB337" s="42" t="s">
        <v>606</v>
      </c>
      <c r="RTC337" s="42" t="s">
        <v>606</v>
      </c>
      <c r="RTD337" s="42" t="s">
        <v>606</v>
      </c>
      <c r="RTE337" s="42" t="s">
        <v>606</v>
      </c>
      <c r="RTF337" s="42" t="s">
        <v>606</v>
      </c>
      <c r="RTG337" s="42" t="s">
        <v>606</v>
      </c>
      <c r="RTH337" s="42" t="s">
        <v>606</v>
      </c>
      <c r="RTI337" s="42" t="s">
        <v>606</v>
      </c>
      <c r="RTJ337" s="42" t="s">
        <v>606</v>
      </c>
      <c r="RTK337" s="42" t="s">
        <v>606</v>
      </c>
      <c r="RTL337" s="42" t="s">
        <v>606</v>
      </c>
      <c r="RTM337" s="42" t="s">
        <v>606</v>
      </c>
      <c r="RTN337" s="42" t="s">
        <v>606</v>
      </c>
      <c r="RTO337" s="42" t="s">
        <v>606</v>
      </c>
      <c r="RTP337" s="42" t="s">
        <v>606</v>
      </c>
      <c r="RTQ337" s="42" t="s">
        <v>606</v>
      </c>
      <c r="RTR337" s="42" t="s">
        <v>606</v>
      </c>
      <c r="RTS337" s="42" t="s">
        <v>606</v>
      </c>
      <c r="RTT337" s="42" t="s">
        <v>606</v>
      </c>
      <c r="RTU337" s="42" t="s">
        <v>606</v>
      </c>
      <c r="RTV337" s="42" t="s">
        <v>606</v>
      </c>
      <c r="RTW337" s="42" t="s">
        <v>606</v>
      </c>
      <c r="RTX337" s="42" t="s">
        <v>606</v>
      </c>
      <c r="RTY337" s="42" t="s">
        <v>606</v>
      </c>
      <c r="RTZ337" s="42" t="s">
        <v>606</v>
      </c>
      <c r="RUA337" s="42" t="s">
        <v>606</v>
      </c>
      <c r="RUB337" s="42" t="s">
        <v>606</v>
      </c>
      <c r="RUC337" s="42" t="s">
        <v>606</v>
      </c>
      <c r="RUD337" s="42" t="s">
        <v>606</v>
      </c>
      <c r="RUE337" s="42" t="s">
        <v>606</v>
      </c>
      <c r="RUF337" s="42" t="s">
        <v>606</v>
      </c>
      <c r="RUG337" s="42" t="s">
        <v>606</v>
      </c>
      <c r="RUH337" s="42" t="s">
        <v>606</v>
      </c>
      <c r="RUI337" s="42" t="s">
        <v>606</v>
      </c>
      <c r="RUJ337" s="42" t="s">
        <v>606</v>
      </c>
      <c r="RUK337" s="42" t="s">
        <v>606</v>
      </c>
      <c r="RUL337" s="42" t="s">
        <v>606</v>
      </c>
      <c r="RUM337" s="42" t="s">
        <v>606</v>
      </c>
      <c r="RUN337" s="42" t="s">
        <v>606</v>
      </c>
      <c r="RUO337" s="42" t="s">
        <v>606</v>
      </c>
      <c r="RUP337" s="42" t="s">
        <v>606</v>
      </c>
      <c r="RUQ337" s="42" t="s">
        <v>606</v>
      </c>
      <c r="RUR337" s="42" t="s">
        <v>606</v>
      </c>
      <c r="RUS337" s="42" t="s">
        <v>606</v>
      </c>
      <c r="RUT337" s="42" t="s">
        <v>606</v>
      </c>
      <c r="RUU337" s="42" t="s">
        <v>606</v>
      </c>
      <c r="RUV337" s="42" t="s">
        <v>606</v>
      </c>
      <c r="RUW337" s="42" t="s">
        <v>606</v>
      </c>
      <c r="RUX337" s="42" t="s">
        <v>606</v>
      </c>
      <c r="RUY337" s="42" t="s">
        <v>606</v>
      </c>
      <c r="RUZ337" s="42" t="s">
        <v>606</v>
      </c>
      <c r="RVA337" s="42" t="s">
        <v>606</v>
      </c>
      <c r="RVB337" s="42" t="s">
        <v>606</v>
      </c>
      <c r="RVC337" s="42" t="s">
        <v>606</v>
      </c>
      <c r="RVD337" s="42" t="s">
        <v>606</v>
      </c>
      <c r="RVE337" s="42" t="s">
        <v>606</v>
      </c>
      <c r="RVF337" s="42" t="s">
        <v>606</v>
      </c>
      <c r="RVG337" s="42" t="s">
        <v>606</v>
      </c>
      <c r="RVH337" s="42" t="s">
        <v>606</v>
      </c>
      <c r="RVI337" s="42" t="s">
        <v>606</v>
      </c>
      <c r="RVJ337" s="42" t="s">
        <v>606</v>
      </c>
      <c r="RVK337" s="42" t="s">
        <v>606</v>
      </c>
      <c r="RVL337" s="42" t="s">
        <v>606</v>
      </c>
      <c r="RVM337" s="42" t="s">
        <v>606</v>
      </c>
      <c r="RVN337" s="42" t="s">
        <v>606</v>
      </c>
      <c r="RVO337" s="42" t="s">
        <v>606</v>
      </c>
      <c r="RVP337" s="42" t="s">
        <v>606</v>
      </c>
      <c r="RVQ337" s="42" t="s">
        <v>606</v>
      </c>
      <c r="RVR337" s="42" t="s">
        <v>606</v>
      </c>
      <c r="RVS337" s="42" t="s">
        <v>606</v>
      </c>
      <c r="RVT337" s="42" t="s">
        <v>606</v>
      </c>
      <c r="RVU337" s="42" t="s">
        <v>606</v>
      </c>
      <c r="RVV337" s="42" t="s">
        <v>606</v>
      </c>
      <c r="RVW337" s="42" t="s">
        <v>606</v>
      </c>
      <c r="RVX337" s="42" t="s">
        <v>606</v>
      </c>
      <c r="RVY337" s="42" t="s">
        <v>606</v>
      </c>
      <c r="RVZ337" s="42" t="s">
        <v>606</v>
      </c>
      <c r="RWA337" s="42" t="s">
        <v>606</v>
      </c>
      <c r="RWB337" s="42" t="s">
        <v>606</v>
      </c>
      <c r="RWC337" s="42" t="s">
        <v>606</v>
      </c>
      <c r="RWD337" s="42" t="s">
        <v>606</v>
      </c>
      <c r="RWE337" s="42" t="s">
        <v>606</v>
      </c>
      <c r="RWF337" s="42" t="s">
        <v>606</v>
      </c>
      <c r="RWG337" s="42" t="s">
        <v>606</v>
      </c>
      <c r="RWH337" s="42" t="s">
        <v>606</v>
      </c>
      <c r="RWI337" s="42" t="s">
        <v>606</v>
      </c>
      <c r="RWJ337" s="42" t="s">
        <v>606</v>
      </c>
      <c r="RWK337" s="42" t="s">
        <v>606</v>
      </c>
      <c r="RWL337" s="42" t="s">
        <v>606</v>
      </c>
      <c r="RWM337" s="42" t="s">
        <v>606</v>
      </c>
      <c r="RWN337" s="42" t="s">
        <v>606</v>
      </c>
      <c r="RWO337" s="42" t="s">
        <v>606</v>
      </c>
      <c r="RWP337" s="42" t="s">
        <v>606</v>
      </c>
      <c r="RWQ337" s="42" t="s">
        <v>606</v>
      </c>
      <c r="RWR337" s="42" t="s">
        <v>606</v>
      </c>
      <c r="RWS337" s="42" t="s">
        <v>606</v>
      </c>
      <c r="RWT337" s="42" t="s">
        <v>606</v>
      </c>
      <c r="RWU337" s="42" t="s">
        <v>606</v>
      </c>
      <c r="RWV337" s="42" t="s">
        <v>606</v>
      </c>
      <c r="RWW337" s="42" t="s">
        <v>606</v>
      </c>
      <c r="RWX337" s="42" t="s">
        <v>606</v>
      </c>
      <c r="RWY337" s="42" t="s">
        <v>606</v>
      </c>
      <c r="RWZ337" s="42" t="s">
        <v>606</v>
      </c>
      <c r="RXA337" s="42" t="s">
        <v>606</v>
      </c>
      <c r="RXB337" s="42" t="s">
        <v>606</v>
      </c>
      <c r="RXC337" s="42" t="s">
        <v>606</v>
      </c>
      <c r="RXD337" s="42" t="s">
        <v>606</v>
      </c>
      <c r="RXE337" s="42" t="s">
        <v>606</v>
      </c>
      <c r="RXF337" s="42" t="s">
        <v>606</v>
      </c>
      <c r="RXG337" s="42" t="s">
        <v>606</v>
      </c>
      <c r="RXH337" s="42" t="s">
        <v>606</v>
      </c>
      <c r="RXI337" s="42" t="s">
        <v>606</v>
      </c>
      <c r="RXJ337" s="42" t="s">
        <v>606</v>
      </c>
      <c r="RXK337" s="42" t="s">
        <v>606</v>
      </c>
      <c r="RXL337" s="42" t="s">
        <v>606</v>
      </c>
      <c r="RXM337" s="42" t="s">
        <v>606</v>
      </c>
      <c r="RXN337" s="42" t="s">
        <v>606</v>
      </c>
      <c r="RXO337" s="42" t="s">
        <v>606</v>
      </c>
      <c r="RXP337" s="42" t="s">
        <v>606</v>
      </c>
      <c r="RXQ337" s="42" t="s">
        <v>606</v>
      </c>
      <c r="RXR337" s="42" t="s">
        <v>606</v>
      </c>
      <c r="RXS337" s="42" t="s">
        <v>606</v>
      </c>
      <c r="RXT337" s="42" t="s">
        <v>606</v>
      </c>
      <c r="RXU337" s="42" t="s">
        <v>606</v>
      </c>
      <c r="RXV337" s="42" t="s">
        <v>606</v>
      </c>
      <c r="RXW337" s="42" t="s">
        <v>606</v>
      </c>
      <c r="RXX337" s="42" t="s">
        <v>606</v>
      </c>
      <c r="RXY337" s="42" t="s">
        <v>606</v>
      </c>
      <c r="RXZ337" s="42" t="s">
        <v>606</v>
      </c>
      <c r="RYA337" s="42" t="s">
        <v>606</v>
      </c>
      <c r="RYB337" s="42" t="s">
        <v>606</v>
      </c>
      <c r="RYC337" s="42" t="s">
        <v>606</v>
      </c>
      <c r="RYD337" s="42" t="s">
        <v>606</v>
      </c>
      <c r="RYE337" s="42" t="s">
        <v>606</v>
      </c>
      <c r="RYF337" s="42" t="s">
        <v>606</v>
      </c>
      <c r="RYG337" s="42" t="s">
        <v>606</v>
      </c>
      <c r="RYH337" s="42" t="s">
        <v>606</v>
      </c>
      <c r="RYI337" s="42" t="s">
        <v>606</v>
      </c>
      <c r="RYJ337" s="42" t="s">
        <v>606</v>
      </c>
      <c r="RYK337" s="42" t="s">
        <v>606</v>
      </c>
      <c r="RYL337" s="42" t="s">
        <v>606</v>
      </c>
      <c r="RYM337" s="42" t="s">
        <v>606</v>
      </c>
      <c r="RYN337" s="42" t="s">
        <v>606</v>
      </c>
      <c r="RYO337" s="42" t="s">
        <v>606</v>
      </c>
      <c r="RYP337" s="42" t="s">
        <v>606</v>
      </c>
      <c r="RYQ337" s="42" t="s">
        <v>606</v>
      </c>
      <c r="RYR337" s="42" t="s">
        <v>606</v>
      </c>
      <c r="RYS337" s="42" t="s">
        <v>606</v>
      </c>
      <c r="RYT337" s="42" t="s">
        <v>606</v>
      </c>
      <c r="RYU337" s="42" t="s">
        <v>606</v>
      </c>
      <c r="RYV337" s="42" t="s">
        <v>606</v>
      </c>
      <c r="RYW337" s="42" t="s">
        <v>606</v>
      </c>
      <c r="RYX337" s="42" t="s">
        <v>606</v>
      </c>
      <c r="RYY337" s="42" t="s">
        <v>606</v>
      </c>
      <c r="RYZ337" s="42" t="s">
        <v>606</v>
      </c>
      <c r="RZA337" s="42" t="s">
        <v>606</v>
      </c>
      <c r="RZB337" s="42" t="s">
        <v>606</v>
      </c>
      <c r="RZC337" s="42" t="s">
        <v>606</v>
      </c>
      <c r="RZD337" s="42" t="s">
        <v>606</v>
      </c>
      <c r="RZE337" s="42" t="s">
        <v>606</v>
      </c>
      <c r="RZF337" s="42" t="s">
        <v>606</v>
      </c>
      <c r="RZG337" s="42" t="s">
        <v>606</v>
      </c>
      <c r="RZH337" s="42" t="s">
        <v>606</v>
      </c>
      <c r="RZI337" s="42" t="s">
        <v>606</v>
      </c>
      <c r="RZJ337" s="42" t="s">
        <v>606</v>
      </c>
      <c r="RZK337" s="42" t="s">
        <v>606</v>
      </c>
      <c r="RZL337" s="42" t="s">
        <v>606</v>
      </c>
      <c r="RZM337" s="42" t="s">
        <v>606</v>
      </c>
      <c r="RZN337" s="42" t="s">
        <v>606</v>
      </c>
      <c r="RZO337" s="42" t="s">
        <v>606</v>
      </c>
      <c r="RZP337" s="42" t="s">
        <v>606</v>
      </c>
      <c r="RZQ337" s="42" t="s">
        <v>606</v>
      </c>
      <c r="RZR337" s="42" t="s">
        <v>606</v>
      </c>
      <c r="RZS337" s="42" t="s">
        <v>606</v>
      </c>
      <c r="RZT337" s="42" t="s">
        <v>606</v>
      </c>
      <c r="RZU337" s="42" t="s">
        <v>606</v>
      </c>
      <c r="RZV337" s="42" t="s">
        <v>606</v>
      </c>
      <c r="RZW337" s="42" t="s">
        <v>606</v>
      </c>
      <c r="RZX337" s="42" t="s">
        <v>606</v>
      </c>
      <c r="RZY337" s="42" t="s">
        <v>606</v>
      </c>
      <c r="RZZ337" s="42" t="s">
        <v>606</v>
      </c>
      <c r="SAA337" s="42" t="s">
        <v>606</v>
      </c>
      <c r="SAB337" s="42" t="s">
        <v>606</v>
      </c>
      <c r="SAC337" s="42" t="s">
        <v>606</v>
      </c>
      <c r="SAD337" s="42" t="s">
        <v>606</v>
      </c>
      <c r="SAE337" s="42" t="s">
        <v>606</v>
      </c>
      <c r="SAF337" s="42" t="s">
        <v>606</v>
      </c>
      <c r="SAG337" s="42" t="s">
        <v>606</v>
      </c>
      <c r="SAH337" s="42" t="s">
        <v>606</v>
      </c>
      <c r="SAI337" s="42" t="s">
        <v>606</v>
      </c>
      <c r="SAJ337" s="42" t="s">
        <v>606</v>
      </c>
      <c r="SAK337" s="42" t="s">
        <v>606</v>
      </c>
      <c r="SAL337" s="42" t="s">
        <v>606</v>
      </c>
      <c r="SAM337" s="42" t="s">
        <v>606</v>
      </c>
      <c r="SAN337" s="42" t="s">
        <v>606</v>
      </c>
      <c r="SAO337" s="42" t="s">
        <v>606</v>
      </c>
      <c r="SAP337" s="42" t="s">
        <v>606</v>
      </c>
      <c r="SAQ337" s="42" t="s">
        <v>606</v>
      </c>
      <c r="SAR337" s="42" t="s">
        <v>606</v>
      </c>
      <c r="SAS337" s="42" t="s">
        <v>606</v>
      </c>
      <c r="SAT337" s="42" t="s">
        <v>606</v>
      </c>
      <c r="SAU337" s="42" t="s">
        <v>606</v>
      </c>
      <c r="SAV337" s="42" t="s">
        <v>606</v>
      </c>
      <c r="SAW337" s="42" t="s">
        <v>606</v>
      </c>
      <c r="SAX337" s="42" t="s">
        <v>606</v>
      </c>
      <c r="SAY337" s="42" t="s">
        <v>606</v>
      </c>
      <c r="SAZ337" s="42" t="s">
        <v>606</v>
      </c>
      <c r="SBA337" s="42" t="s">
        <v>606</v>
      </c>
      <c r="SBB337" s="42" t="s">
        <v>606</v>
      </c>
      <c r="SBC337" s="42" t="s">
        <v>606</v>
      </c>
      <c r="SBD337" s="42" t="s">
        <v>606</v>
      </c>
      <c r="SBE337" s="42" t="s">
        <v>606</v>
      </c>
      <c r="SBF337" s="42" t="s">
        <v>606</v>
      </c>
      <c r="SBG337" s="42" t="s">
        <v>606</v>
      </c>
      <c r="SBH337" s="42" t="s">
        <v>606</v>
      </c>
      <c r="SBI337" s="42" t="s">
        <v>606</v>
      </c>
      <c r="SBJ337" s="42" t="s">
        <v>606</v>
      </c>
      <c r="SBK337" s="42" t="s">
        <v>606</v>
      </c>
      <c r="SBL337" s="42" t="s">
        <v>606</v>
      </c>
      <c r="SBM337" s="42" t="s">
        <v>606</v>
      </c>
      <c r="SBN337" s="42" t="s">
        <v>606</v>
      </c>
      <c r="SBO337" s="42" t="s">
        <v>606</v>
      </c>
      <c r="SBP337" s="42" t="s">
        <v>606</v>
      </c>
      <c r="SBQ337" s="42" t="s">
        <v>606</v>
      </c>
      <c r="SBR337" s="42" t="s">
        <v>606</v>
      </c>
      <c r="SBS337" s="42" t="s">
        <v>606</v>
      </c>
      <c r="SBT337" s="42" t="s">
        <v>606</v>
      </c>
      <c r="SBU337" s="42" t="s">
        <v>606</v>
      </c>
      <c r="SBV337" s="42" t="s">
        <v>606</v>
      </c>
      <c r="SBW337" s="42" t="s">
        <v>606</v>
      </c>
      <c r="SBX337" s="42" t="s">
        <v>606</v>
      </c>
      <c r="SBY337" s="42" t="s">
        <v>606</v>
      </c>
      <c r="SBZ337" s="42" t="s">
        <v>606</v>
      </c>
      <c r="SCA337" s="42" t="s">
        <v>606</v>
      </c>
      <c r="SCB337" s="42" t="s">
        <v>606</v>
      </c>
      <c r="SCC337" s="42" t="s">
        <v>606</v>
      </c>
      <c r="SCD337" s="42" t="s">
        <v>606</v>
      </c>
      <c r="SCE337" s="42" t="s">
        <v>606</v>
      </c>
      <c r="SCF337" s="42" t="s">
        <v>606</v>
      </c>
      <c r="SCG337" s="42" t="s">
        <v>606</v>
      </c>
      <c r="SCH337" s="42" t="s">
        <v>606</v>
      </c>
      <c r="SCI337" s="42" t="s">
        <v>606</v>
      </c>
      <c r="SCJ337" s="42" t="s">
        <v>606</v>
      </c>
      <c r="SCK337" s="42" t="s">
        <v>606</v>
      </c>
      <c r="SCL337" s="42" t="s">
        <v>606</v>
      </c>
      <c r="SCM337" s="42" t="s">
        <v>606</v>
      </c>
      <c r="SCN337" s="42" t="s">
        <v>606</v>
      </c>
      <c r="SCO337" s="42" t="s">
        <v>606</v>
      </c>
      <c r="SCP337" s="42" t="s">
        <v>606</v>
      </c>
      <c r="SCQ337" s="42" t="s">
        <v>606</v>
      </c>
      <c r="SCR337" s="42" t="s">
        <v>606</v>
      </c>
      <c r="SCS337" s="42" t="s">
        <v>606</v>
      </c>
      <c r="SCT337" s="42" t="s">
        <v>606</v>
      </c>
      <c r="SCU337" s="42" t="s">
        <v>606</v>
      </c>
      <c r="SCV337" s="42" t="s">
        <v>606</v>
      </c>
      <c r="SCW337" s="42" t="s">
        <v>606</v>
      </c>
      <c r="SCX337" s="42" t="s">
        <v>606</v>
      </c>
      <c r="SCY337" s="42" t="s">
        <v>606</v>
      </c>
      <c r="SCZ337" s="42" t="s">
        <v>606</v>
      </c>
      <c r="SDA337" s="42" t="s">
        <v>606</v>
      </c>
      <c r="SDB337" s="42" t="s">
        <v>606</v>
      </c>
      <c r="SDC337" s="42" t="s">
        <v>606</v>
      </c>
      <c r="SDD337" s="42" t="s">
        <v>606</v>
      </c>
      <c r="SDE337" s="42" t="s">
        <v>606</v>
      </c>
      <c r="SDF337" s="42" t="s">
        <v>606</v>
      </c>
      <c r="SDG337" s="42" t="s">
        <v>606</v>
      </c>
      <c r="SDH337" s="42" t="s">
        <v>606</v>
      </c>
      <c r="SDI337" s="42" t="s">
        <v>606</v>
      </c>
      <c r="SDJ337" s="42" t="s">
        <v>606</v>
      </c>
      <c r="SDK337" s="42" t="s">
        <v>606</v>
      </c>
      <c r="SDL337" s="42" t="s">
        <v>606</v>
      </c>
      <c r="SDM337" s="42" t="s">
        <v>606</v>
      </c>
      <c r="SDN337" s="42" t="s">
        <v>606</v>
      </c>
      <c r="SDO337" s="42" t="s">
        <v>606</v>
      </c>
      <c r="SDP337" s="42" t="s">
        <v>606</v>
      </c>
      <c r="SDQ337" s="42" t="s">
        <v>606</v>
      </c>
      <c r="SDR337" s="42" t="s">
        <v>606</v>
      </c>
      <c r="SDS337" s="42" t="s">
        <v>606</v>
      </c>
      <c r="SDT337" s="42" t="s">
        <v>606</v>
      </c>
      <c r="SDU337" s="42" t="s">
        <v>606</v>
      </c>
      <c r="SDV337" s="42" t="s">
        <v>606</v>
      </c>
      <c r="SDW337" s="42" t="s">
        <v>606</v>
      </c>
      <c r="SDX337" s="42" t="s">
        <v>606</v>
      </c>
      <c r="SDY337" s="42" t="s">
        <v>606</v>
      </c>
      <c r="SDZ337" s="42" t="s">
        <v>606</v>
      </c>
      <c r="SEA337" s="42" t="s">
        <v>606</v>
      </c>
      <c r="SEB337" s="42" t="s">
        <v>606</v>
      </c>
      <c r="SEC337" s="42" t="s">
        <v>606</v>
      </c>
      <c r="SED337" s="42" t="s">
        <v>606</v>
      </c>
      <c r="SEE337" s="42" t="s">
        <v>606</v>
      </c>
      <c r="SEF337" s="42" t="s">
        <v>606</v>
      </c>
      <c r="SEG337" s="42" t="s">
        <v>606</v>
      </c>
      <c r="SEH337" s="42" t="s">
        <v>606</v>
      </c>
      <c r="SEI337" s="42" t="s">
        <v>606</v>
      </c>
      <c r="SEJ337" s="42" t="s">
        <v>606</v>
      </c>
      <c r="SEK337" s="42" t="s">
        <v>606</v>
      </c>
      <c r="SEL337" s="42" t="s">
        <v>606</v>
      </c>
      <c r="SEM337" s="42" t="s">
        <v>606</v>
      </c>
      <c r="SEN337" s="42" t="s">
        <v>606</v>
      </c>
      <c r="SEO337" s="42" t="s">
        <v>606</v>
      </c>
      <c r="SEP337" s="42" t="s">
        <v>606</v>
      </c>
      <c r="SEQ337" s="42" t="s">
        <v>606</v>
      </c>
      <c r="SER337" s="42" t="s">
        <v>606</v>
      </c>
      <c r="SES337" s="42" t="s">
        <v>606</v>
      </c>
      <c r="SET337" s="42" t="s">
        <v>606</v>
      </c>
      <c r="SEU337" s="42" t="s">
        <v>606</v>
      </c>
      <c r="SEV337" s="42" t="s">
        <v>606</v>
      </c>
      <c r="SEW337" s="42" t="s">
        <v>606</v>
      </c>
      <c r="SEX337" s="42" t="s">
        <v>606</v>
      </c>
      <c r="SEY337" s="42" t="s">
        <v>606</v>
      </c>
      <c r="SEZ337" s="42" t="s">
        <v>606</v>
      </c>
      <c r="SFA337" s="42" t="s">
        <v>606</v>
      </c>
      <c r="SFB337" s="42" t="s">
        <v>606</v>
      </c>
      <c r="SFC337" s="42" t="s">
        <v>606</v>
      </c>
      <c r="SFD337" s="42" t="s">
        <v>606</v>
      </c>
      <c r="SFE337" s="42" t="s">
        <v>606</v>
      </c>
      <c r="SFF337" s="42" t="s">
        <v>606</v>
      </c>
      <c r="SFG337" s="42" t="s">
        <v>606</v>
      </c>
      <c r="SFH337" s="42" t="s">
        <v>606</v>
      </c>
      <c r="SFI337" s="42" t="s">
        <v>606</v>
      </c>
      <c r="SFJ337" s="42" t="s">
        <v>606</v>
      </c>
      <c r="SFK337" s="42" t="s">
        <v>606</v>
      </c>
      <c r="SFL337" s="42" t="s">
        <v>606</v>
      </c>
      <c r="SFM337" s="42" t="s">
        <v>606</v>
      </c>
      <c r="SFN337" s="42" t="s">
        <v>606</v>
      </c>
      <c r="SFO337" s="42" t="s">
        <v>606</v>
      </c>
      <c r="SFP337" s="42" t="s">
        <v>606</v>
      </c>
      <c r="SFQ337" s="42" t="s">
        <v>606</v>
      </c>
      <c r="SFR337" s="42" t="s">
        <v>606</v>
      </c>
      <c r="SFS337" s="42" t="s">
        <v>606</v>
      </c>
      <c r="SFT337" s="42" t="s">
        <v>606</v>
      </c>
      <c r="SFU337" s="42" t="s">
        <v>606</v>
      </c>
      <c r="SFV337" s="42" t="s">
        <v>606</v>
      </c>
      <c r="SFW337" s="42" t="s">
        <v>606</v>
      </c>
      <c r="SFX337" s="42" t="s">
        <v>606</v>
      </c>
      <c r="SFY337" s="42" t="s">
        <v>606</v>
      </c>
      <c r="SFZ337" s="42" t="s">
        <v>606</v>
      </c>
      <c r="SGA337" s="42" t="s">
        <v>606</v>
      </c>
      <c r="SGB337" s="42" t="s">
        <v>606</v>
      </c>
      <c r="SGC337" s="42" t="s">
        <v>606</v>
      </c>
      <c r="SGD337" s="42" t="s">
        <v>606</v>
      </c>
      <c r="SGE337" s="42" t="s">
        <v>606</v>
      </c>
      <c r="SGF337" s="42" t="s">
        <v>606</v>
      </c>
      <c r="SGG337" s="42" t="s">
        <v>606</v>
      </c>
      <c r="SGH337" s="42" t="s">
        <v>606</v>
      </c>
      <c r="SGI337" s="42" t="s">
        <v>606</v>
      </c>
      <c r="SGJ337" s="42" t="s">
        <v>606</v>
      </c>
      <c r="SGK337" s="42" t="s">
        <v>606</v>
      </c>
      <c r="SGL337" s="42" t="s">
        <v>606</v>
      </c>
      <c r="SGM337" s="42" t="s">
        <v>606</v>
      </c>
      <c r="SGN337" s="42" t="s">
        <v>606</v>
      </c>
      <c r="SGO337" s="42" t="s">
        <v>606</v>
      </c>
      <c r="SGP337" s="42" t="s">
        <v>606</v>
      </c>
      <c r="SGQ337" s="42" t="s">
        <v>606</v>
      </c>
      <c r="SGR337" s="42" t="s">
        <v>606</v>
      </c>
      <c r="SGS337" s="42" t="s">
        <v>606</v>
      </c>
      <c r="SGT337" s="42" t="s">
        <v>606</v>
      </c>
      <c r="SGU337" s="42" t="s">
        <v>606</v>
      </c>
      <c r="SGV337" s="42" t="s">
        <v>606</v>
      </c>
      <c r="SGW337" s="42" t="s">
        <v>606</v>
      </c>
      <c r="SGX337" s="42" t="s">
        <v>606</v>
      </c>
      <c r="SGY337" s="42" t="s">
        <v>606</v>
      </c>
      <c r="SGZ337" s="42" t="s">
        <v>606</v>
      </c>
      <c r="SHA337" s="42" t="s">
        <v>606</v>
      </c>
      <c r="SHB337" s="42" t="s">
        <v>606</v>
      </c>
      <c r="SHC337" s="42" t="s">
        <v>606</v>
      </c>
      <c r="SHD337" s="42" t="s">
        <v>606</v>
      </c>
      <c r="SHE337" s="42" t="s">
        <v>606</v>
      </c>
      <c r="SHF337" s="42" t="s">
        <v>606</v>
      </c>
      <c r="SHG337" s="42" t="s">
        <v>606</v>
      </c>
      <c r="SHH337" s="42" t="s">
        <v>606</v>
      </c>
      <c r="SHI337" s="42" t="s">
        <v>606</v>
      </c>
      <c r="SHJ337" s="42" t="s">
        <v>606</v>
      </c>
      <c r="SHK337" s="42" t="s">
        <v>606</v>
      </c>
      <c r="SHL337" s="42" t="s">
        <v>606</v>
      </c>
      <c r="SHM337" s="42" t="s">
        <v>606</v>
      </c>
      <c r="SHN337" s="42" t="s">
        <v>606</v>
      </c>
      <c r="SHO337" s="42" t="s">
        <v>606</v>
      </c>
      <c r="SHP337" s="42" t="s">
        <v>606</v>
      </c>
      <c r="SHQ337" s="42" t="s">
        <v>606</v>
      </c>
      <c r="SHR337" s="42" t="s">
        <v>606</v>
      </c>
      <c r="SHS337" s="42" t="s">
        <v>606</v>
      </c>
      <c r="SHT337" s="42" t="s">
        <v>606</v>
      </c>
      <c r="SHU337" s="42" t="s">
        <v>606</v>
      </c>
      <c r="SHV337" s="42" t="s">
        <v>606</v>
      </c>
      <c r="SHW337" s="42" t="s">
        <v>606</v>
      </c>
      <c r="SHX337" s="42" t="s">
        <v>606</v>
      </c>
      <c r="SHY337" s="42" t="s">
        <v>606</v>
      </c>
      <c r="SHZ337" s="42" t="s">
        <v>606</v>
      </c>
      <c r="SIA337" s="42" t="s">
        <v>606</v>
      </c>
      <c r="SIB337" s="42" t="s">
        <v>606</v>
      </c>
      <c r="SIC337" s="42" t="s">
        <v>606</v>
      </c>
      <c r="SID337" s="42" t="s">
        <v>606</v>
      </c>
      <c r="SIE337" s="42" t="s">
        <v>606</v>
      </c>
      <c r="SIF337" s="42" t="s">
        <v>606</v>
      </c>
      <c r="SIG337" s="42" t="s">
        <v>606</v>
      </c>
      <c r="SIH337" s="42" t="s">
        <v>606</v>
      </c>
      <c r="SII337" s="42" t="s">
        <v>606</v>
      </c>
      <c r="SIJ337" s="42" t="s">
        <v>606</v>
      </c>
      <c r="SIK337" s="42" t="s">
        <v>606</v>
      </c>
      <c r="SIL337" s="42" t="s">
        <v>606</v>
      </c>
      <c r="SIM337" s="42" t="s">
        <v>606</v>
      </c>
      <c r="SIN337" s="42" t="s">
        <v>606</v>
      </c>
      <c r="SIO337" s="42" t="s">
        <v>606</v>
      </c>
      <c r="SIP337" s="42" t="s">
        <v>606</v>
      </c>
      <c r="SIQ337" s="42" t="s">
        <v>606</v>
      </c>
      <c r="SIR337" s="42" t="s">
        <v>606</v>
      </c>
      <c r="SIS337" s="42" t="s">
        <v>606</v>
      </c>
      <c r="SIT337" s="42" t="s">
        <v>606</v>
      </c>
      <c r="SIU337" s="42" t="s">
        <v>606</v>
      </c>
      <c r="SIV337" s="42" t="s">
        <v>606</v>
      </c>
      <c r="SIW337" s="42" t="s">
        <v>606</v>
      </c>
      <c r="SIX337" s="42" t="s">
        <v>606</v>
      </c>
      <c r="SIY337" s="42" t="s">
        <v>606</v>
      </c>
      <c r="SIZ337" s="42" t="s">
        <v>606</v>
      </c>
      <c r="SJA337" s="42" t="s">
        <v>606</v>
      </c>
      <c r="SJB337" s="42" t="s">
        <v>606</v>
      </c>
      <c r="SJC337" s="42" t="s">
        <v>606</v>
      </c>
      <c r="SJD337" s="42" t="s">
        <v>606</v>
      </c>
      <c r="SJE337" s="42" t="s">
        <v>606</v>
      </c>
      <c r="SJF337" s="42" t="s">
        <v>606</v>
      </c>
      <c r="SJG337" s="42" t="s">
        <v>606</v>
      </c>
      <c r="SJH337" s="42" t="s">
        <v>606</v>
      </c>
      <c r="SJI337" s="42" t="s">
        <v>606</v>
      </c>
      <c r="SJJ337" s="42" t="s">
        <v>606</v>
      </c>
      <c r="SJK337" s="42" t="s">
        <v>606</v>
      </c>
      <c r="SJL337" s="42" t="s">
        <v>606</v>
      </c>
      <c r="SJM337" s="42" t="s">
        <v>606</v>
      </c>
      <c r="SJN337" s="42" t="s">
        <v>606</v>
      </c>
      <c r="SJO337" s="42" t="s">
        <v>606</v>
      </c>
      <c r="SJP337" s="42" t="s">
        <v>606</v>
      </c>
      <c r="SJQ337" s="42" t="s">
        <v>606</v>
      </c>
      <c r="SJR337" s="42" t="s">
        <v>606</v>
      </c>
      <c r="SJS337" s="42" t="s">
        <v>606</v>
      </c>
      <c r="SJT337" s="42" t="s">
        <v>606</v>
      </c>
      <c r="SJU337" s="42" t="s">
        <v>606</v>
      </c>
      <c r="SJV337" s="42" t="s">
        <v>606</v>
      </c>
      <c r="SJW337" s="42" t="s">
        <v>606</v>
      </c>
      <c r="SJX337" s="42" t="s">
        <v>606</v>
      </c>
      <c r="SJY337" s="42" t="s">
        <v>606</v>
      </c>
      <c r="SJZ337" s="42" t="s">
        <v>606</v>
      </c>
      <c r="SKA337" s="42" t="s">
        <v>606</v>
      </c>
      <c r="SKB337" s="42" t="s">
        <v>606</v>
      </c>
      <c r="SKC337" s="42" t="s">
        <v>606</v>
      </c>
      <c r="SKD337" s="42" t="s">
        <v>606</v>
      </c>
      <c r="SKE337" s="42" t="s">
        <v>606</v>
      </c>
      <c r="SKF337" s="42" t="s">
        <v>606</v>
      </c>
      <c r="SKG337" s="42" t="s">
        <v>606</v>
      </c>
      <c r="SKH337" s="42" t="s">
        <v>606</v>
      </c>
      <c r="SKI337" s="42" t="s">
        <v>606</v>
      </c>
      <c r="SKJ337" s="42" t="s">
        <v>606</v>
      </c>
      <c r="SKK337" s="42" t="s">
        <v>606</v>
      </c>
      <c r="SKL337" s="42" t="s">
        <v>606</v>
      </c>
      <c r="SKM337" s="42" t="s">
        <v>606</v>
      </c>
      <c r="SKN337" s="42" t="s">
        <v>606</v>
      </c>
      <c r="SKO337" s="42" t="s">
        <v>606</v>
      </c>
      <c r="SKP337" s="42" t="s">
        <v>606</v>
      </c>
      <c r="SKQ337" s="42" t="s">
        <v>606</v>
      </c>
      <c r="SKR337" s="42" t="s">
        <v>606</v>
      </c>
      <c r="SKS337" s="42" t="s">
        <v>606</v>
      </c>
      <c r="SKT337" s="42" t="s">
        <v>606</v>
      </c>
      <c r="SKU337" s="42" t="s">
        <v>606</v>
      </c>
      <c r="SKV337" s="42" t="s">
        <v>606</v>
      </c>
      <c r="SKW337" s="42" t="s">
        <v>606</v>
      </c>
      <c r="SKX337" s="42" t="s">
        <v>606</v>
      </c>
      <c r="SKY337" s="42" t="s">
        <v>606</v>
      </c>
      <c r="SKZ337" s="42" t="s">
        <v>606</v>
      </c>
      <c r="SLA337" s="42" t="s">
        <v>606</v>
      </c>
      <c r="SLB337" s="42" t="s">
        <v>606</v>
      </c>
      <c r="SLC337" s="42" t="s">
        <v>606</v>
      </c>
      <c r="SLD337" s="42" t="s">
        <v>606</v>
      </c>
      <c r="SLE337" s="42" t="s">
        <v>606</v>
      </c>
      <c r="SLF337" s="42" t="s">
        <v>606</v>
      </c>
      <c r="SLG337" s="42" t="s">
        <v>606</v>
      </c>
      <c r="SLH337" s="42" t="s">
        <v>606</v>
      </c>
      <c r="SLI337" s="42" t="s">
        <v>606</v>
      </c>
      <c r="SLJ337" s="42" t="s">
        <v>606</v>
      </c>
      <c r="SLK337" s="42" t="s">
        <v>606</v>
      </c>
      <c r="SLL337" s="42" t="s">
        <v>606</v>
      </c>
      <c r="SLM337" s="42" t="s">
        <v>606</v>
      </c>
      <c r="SLN337" s="42" t="s">
        <v>606</v>
      </c>
      <c r="SLO337" s="42" t="s">
        <v>606</v>
      </c>
      <c r="SLP337" s="42" t="s">
        <v>606</v>
      </c>
      <c r="SLQ337" s="42" t="s">
        <v>606</v>
      </c>
      <c r="SLR337" s="42" t="s">
        <v>606</v>
      </c>
      <c r="SLS337" s="42" t="s">
        <v>606</v>
      </c>
      <c r="SLT337" s="42" t="s">
        <v>606</v>
      </c>
      <c r="SLU337" s="42" t="s">
        <v>606</v>
      </c>
      <c r="SLV337" s="42" t="s">
        <v>606</v>
      </c>
      <c r="SLW337" s="42" t="s">
        <v>606</v>
      </c>
      <c r="SLX337" s="42" t="s">
        <v>606</v>
      </c>
      <c r="SLY337" s="42" t="s">
        <v>606</v>
      </c>
      <c r="SLZ337" s="42" t="s">
        <v>606</v>
      </c>
      <c r="SMA337" s="42" t="s">
        <v>606</v>
      </c>
      <c r="SMB337" s="42" t="s">
        <v>606</v>
      </c>
      <c r="SMC337" s="42" t="s">
        <v>606</v>
      </c>
      <c r="SMD337" s="42" t="s">
        <v>606</v>
      </c>
      <c r="SME337" s="42" t="s">
        <v>606</v>
      </c>
      <c r="SMF337" s="42" t="s">
        <v>606</v>
      </c>
      <c r="SMG337" s="42" t="s">
        <v>606</v>
      </c>
      <c r="SMH337" s="42" t="s">
        <v>606</v>
      </c>
      <c r="SMI337" s="42" t="s">
        <v>606</v>
      </c>
      <c r="SMJ337" s="42" t="s">
        <v>606</v>
      </c>
      <c r="SMK337" s="42" t="s">
        <v>606</v>
      </c>
      <c r="SML337" s="42" t="s">
        <v>606</v>
      </c>
      <c r="SMM337" s="42" t="s">
        <v>606</v>
      </c>
      <c r="SMN337" s="42" t="s">
        <v>606</v>
      </c>
      <c r="SMO337" s="42" t="s">
        <v>606</v>
      </c>
      <c r="SMP337" s="42" t="s">
        <v>606</v>
      </c>
      <c r="SMQ337" s="42" t="s">
        <v>606</v>
      </c>
      <c r="SMR337" s="42" t="s">
        <v>606</v>
      </c>
      <c r="SMS337" s="42" t="s">
        <v>606</v>
      </c>
      <c r="SMT337" s="42" t="s">
        <v>606</v>
      </c>
      <c r="SMU337" s="42" t="s">
        <v>606</v>
      </c>
      <c r="SMV337" s="42" t="s">
        <v>606</v>
      </c>
      <c r="SMW337" s="42" t="s">
        <v>606</v>
      </c>
      <c r="SMX337" s="42" t="s">
        <v>606</v>
      </c>
      <c r="SMY337" s="42" t="s">
        <v>606</v>
      </c>
      <c r="SMZ337" s="42" t="s">
        <v>606</v>
      </c>
      <c r="SNA337" s="42" t="s">
        <v>606</v>
      </c>
      <c r="SNB337" s="42" t="s">
        <v>606</v>
      </c>
      <c r="SNC337" s="42" t="s">
        <v>606</v>
      </c>
      <c r="SND337" s="42" t="s">
        <v>606</v>
      </c>
      <c r="SNE337" s="42" t="s">
        <v>606</v>
      </c>
      <c r="SNF337" s="42" t="s">
        <v>606</v>
      </c>
      <c r="SNG337" s="42" t="s">
        <v>606</v>
      </c>
      <c r="SNH337" s="42" t="s">
        <v>606</v>
      </c>
      <c r="SNI337" s="42" t="s">
        <v>606</v>
      </c>
      <c r="SNJ337" s="42" t="s">
        <v>606</v>
      </c>
      <c r="SNK337" s="42" t="s">
        <v>606</v>
      </c>
      <c r="SNL337" s="42" t="s">
        <v>606</v>
      </c>
      <c r="SNM337" s="42" t="s">
        <v>606</v>
      </c>
      <c r="SNN337" s="42" t="s">
        <v>606</v>
      </c>
      <c r="SNO337" s="42" t="s">
        <v>606</v>
      </c>
      <c r="SNP337" s="42" t="s">
        <v>606</v>
      </c>
      <c r="SNQ337" s="42" t="s">
        <v>606</v>
      </c>
      <c r="SNR337" s="42" t="s">
        <v>606</v>
      </c>
      <c r="SNS337" s="42" t="s">
        <v>606</v>
      </c>
      <c r="SNT337" s="42" t="s">
        <v>606</v>
      </c>
      <c r="SNU337" s="42" t="s">
        <v>606</v>
      </c>
      <c r="SNV337" s="42" t="s">
        <v>606</v>
      </c>
      <c r="SNW337" s="42" t="s">
        <v>606</v>
      </c>
      <c r="SNX337" s="42" t="s">
        <v>606</v>
      </c>
      <c r="SNY337" s="42" t="s">
        <v>606</v>
      </c>
      <c r="SNZ337" s="42" t="s">
        <v>606</v>
      </c>
      <c r="SOA337" s="42" t="s">
        <v>606</v>
      </c>
      <c r="SOB337" s="42" t="s">
        <v>606</v>
      </c>
      <c r="SOC337" s="42" t="s">
        <v>606</v>
      </c>
      <c r="SOD337" s="42" t="s">
        <v>606</v>
      </c>
      <c r="SOE337" s="42" t="s">
        <v>606</v>
      </c>
      <c r="SOF337" s="42" t="s">
        <v>606</v>
      </c>
      <c r="SOG337" s="42" t="s">
        <v>606</v>
      </c>
      <c r="SOH337" s="42" t="s">
        <v>606</v>
      </c>
      <c r="SOI337" s="42" t="s">
        <v>606</v>
      </c>
      <c r="SOJ337" s="42" t="s">
        <v>606</v>
      </c>
      <c r="SOK337" s="42" t="s">
        <v>606</v>
      </c>
      <c r="SOL337" s="42" t="s">
        <v>606</v>
      </c>
      <c r="SOM337" s="42" t="s">
        <v>606</v>
      </c>
      <c r="SON337" s="42" t="s">
        <v>606</v>
      </c>
      <c r="SOO337" s="42" t="s">
        <v>606</v>
      </c>
      <c r="SOP337" s="42" t="s">
        <v>606</v>
      </c>
      <c r="SOQ337" s="42" t="s">
        <v>606</v>
      </c>
      <c r="SOR337" s="42" t="s">
        <v>606</v>
      </c>
      <c r="SOS337" s="42" t="s">
        <v>606</v>
      </c>
      <c r="SOT337" s="42" t="s">
        <v>606</v>
      </c>
      <c r="SOU337" s="42" t="s">
        <v>606</v>
      </c>
      <c r="SOV337" s="42" t="s">
        <v>606</v>
      </c>
      <c r="SOW337" s="42" t="s">
        <v>606</v>
      </c>
      <c r="SOX337" s="42" t="s">
        <v>606</v>
      </c>
      <c r="SOY337" s="42" t="s">
        <v>606</v>
      </c>
      <c r="SOZ337" s="42" t="s">
        <v>606</v>
      </c>
      <c r="SPA337" s="42" t="s">
        <v>606</v>
      </c>
      <c r="SPB337" s="42" t="s">
        <v>606</v>
      </c>
      <c r="SPC337" s="42" t="s">
        <v>606</v>
      </c>
      <c r="SPD337" s="42" t="s">
        <v>606</v>
      </c>
      <c r="SPE337" s="42" t="s">
        <v>606</v>
      </c>
      <c r="SPF337" s="42" t="s">
        <v>606</v>
      </c>
      <c r="SPG337" s="42" t="s">
        <v>606</v>
      </c>
      <c r="SPH337" s="42" t="s">
        <v>606</v>
      </c>
      <c r="SPI337" s="42" t="s">
        <v>606</v>
      </c>
      <c r="SPJ337" s="42" t="s">
        <v>606</v>
      </c>
      <c r="SPK337" s="42" t="s">
        <v>606</v>
      </c>
      <c r="SPL337" s="42" t="s">
        <v>606</v>
      </c>
      <c r="SPM337" s="42" t="s">
        <v>606</v>
      </c>
      <c r="SPN337" s="42" t="s">
        <v>606</v>
      </c>
      <c r="SPO337" s="42" t="s">
        <v>606</v>
      </c>
      <c r="SPP337" s="42" t="s">
        <v>606</v>
      </c>
      <c r="SPQ337" s="42" t="s">
        <v>606</v>
      </c>
      <c r="SPR337" s="42" t="s">
        <v>606</v>
      </c>
      <c r="SPS337" s="42" t="s">
        <v>606</v>
      </c>
      <c r="SPT337" s="42" t="s">
        <v>606</v>
      </c>
      <c r="SPU337" s="42" t="s">
        <v>606</v>
      </c>
      <c r="SPV337" s="42" t="s">
        <v>606</v>
      </c>
      <c r="SPW337" s="42" t="s">
        <v>606</v>
      </c>
      <c r="SPX337" s="42" t="s">
        <v>606</v>
      </c>
      <c r="SPY337" s="42" t="s">
        <v>606</v>
      </c>
      <c r="SPZ337" s="42" t="s">
        <v>606</v>
      </c>
      <c r="SQA337" s="42" t="s">
        <v>606</v>
      </c>
      <c r="SQB337" s="42" t="s">
        <v>606</v>
      </c>
      <c r="SQC337" s="42" t="s">
        <v>606</v>
      </c>
      <c r="SQD337" s="42" t="s">
        <v>606</v>
      </c>
      <c r="SQE337" s="42" t="s">
        <v>606</v>
      </c>
      <c r="SQF337" s="42" t="s">
        <v>606</v>
      </c>
      <c r="SQG337" s="42" t="s">
        <v>606</v>
      </c>
      <c r="SQH337" s="42" t="s">
        <v>606</v>
      </c>
      <c r="SQI337" s="42" t="s">
        <v>606</v>
      </c>
      <c r="SQJ337" s="42" t="s">
        <v>606</v>
      </c>
      <c r="SQK337" s="42" t="s">
        <v>606</v>
      </c>
      <c r="SQL337" s="42" t="s">
        <v>606</v>
      </c>
      <c r="SQM337" s="42" t="s">
        <v>606</v>
      </c>
      <c r="SQN337" s="42" t="s">
        <v>606</v>
      </c>
      <c r="SQO337" s="42" t="s">
        <v>606</v>
      </c>
      <c r="SQP337" s="42" t="s">
        <v>606</v>
      </c>
      <c r="SQQ337" s="42" t="s">
        <v>606</v>
      </c>
      <c r="SQR337" s="42" t="s">
        <v>606</v>
      </c>
      <c r="SQS337" s="42" t="s">
        <v>606</v>
      </c>
      <c r="SQT337" s="42" t="s">
        <v>606</v>
      </c>
      <c r="SQU337" s="42" t="s">
        <v>606</v>
      </c>
      <c r="SQV337" s="42" t="s">
        <v>606</v>
      </c>
      <c r="SQW337" s="42" t="s">
        <v>606</v>
      </c>
      <c r="SQX337" s="42" t="s">
        <v>606</v>
      </c>
      <c r="SQY337" s="42" t="s">
        <v>606</v>
      </c>
      <c r="SQZ337" s="42" t="s">
        <v>606</v>
      </c>
      <c r="SRA337" s="42" t="s">
        <v>606</v>
      </c>
      <c r="SRB337" s="42" t="s">
        <v>606</v>
      </c>
      <c r="SRC337" s="42" t="s">
        <v>606</v>
      </c>
      <c r="SRD337" s="42" t="s">
        <v>606</v>
      </c>
      <c r="SRE337" s="42" t="s">
        <v>606</v>
      </c>
      <c r="SRF337" s="42" t="s">
        <v>606</v>
      </c>
      <c r="SRG337" s="42" t="s">
        <v>606</v>
      </c>
      <c r="SRH337" s="42" t="s">
        <v>606</v>
      </c>
      <c r="SRI337" s="42" t="s">
        <v>606</v>
      </c>
      <c r="SRJ337" s="42" t="s">
        <v>606</v>
      </c>
      <c r="SRK337" s="42" t="s">
        <v>606</v>
      </c>
      <c r="SRL337" s="42" t="s">
        <v>606</v>
      </c>
      <c r="SRM337" s="42" t="s">
        <v>606</v>
      </c>
      <c r="SRN337" s="42" t="s">
        <v>606</v>
      </c>
      <c r="SRO337" s="42" t="s">
        <v>606</v>
      </c>
      <c r="SRP337" s="42" t="s">
        <v>606</v>
      </c>
      <c r="SRQ337" s="42" t="s">
        <v>606</v>
      </c>
      <c r="SRR337" s="42" t="s">
        <v>606</v>
      </c>
      <c r="SRS337" s="42" t="s">
        <v>606</v>
      </c>
      <c r="SRT337" s="42" t="s">
        <v>606</v>
      </c>
      <c r="SRU337" s="42" t="s">
        <v>606</v>
      </c>
      <c r="SRV337" s="42" t="s">
        <v>606</v>
      </c>
      <c r="SRW337" s="42" t="s">
        <v>606</v>
      </c>
      <c r="SRX337" s="42" t="s">
        <v>606</v>
      </c>
      <c r="SRY337" s="42" t="s">
        <v>606</v>
      </c>
      <c r="SRZ337" s="42" t="s">
        <v>606</v>
      </c>
      <c r="SSA337" s="42" t="s">
        <v>606</v>
      </c>
      <c r="SSB337" s="42" t="s">
        <v>606</v>
      </c>
      <c r="SSC337" s="42" t="s">
        <v>606</v>
      </c>
      <c r="SSD337" s="42" t="s">
        <v>606</v>
      </c>
      <c r="SSE337" s="42" t="s">
        <v>606</v>
      </c>
      <c r="SSF337" s="42" t="s">
        <v>606</v>
      </c>
      <c r="SSG337" s="42" t="s">
        <v>606</v>
      </c>
      <c r="SSH337" s="42" t="s">
        <v>606</v>
      </c>
      <c r="SSI337" s="42" t="s">
        <v>606</v>
      </c>
      <c r="SSJ337" s="42" t="s">
        <v>606</v>
      </c>
      <c r="SSK337" s="42" t="s">
        <v>606</v>
      </c>
      <c r="SSL337" s="42" t="s">
        <v>606</v>
      </c>
      <c r="SSM337" s="42" t="s">
        <v>606</v>
      </c>
      <c r="SSN337" s="42" t="s">
        <v>606</v>
      </c>
      <c r="SSO337" s="42" t="s">
        <v>606</v>
      </c>
      <c r="SSP337" s="42" t="s">
        <v>606</v>
      </c>
      <c r="SSQ337" s="42" t="s">
        <v>606</v>
      </c>
      <c r="SSR337" s="42" t="s">
        <v>606</v>
      </c>
      <c r="SSS337" s="42" t="s">
        <v>606</v>
      </c>
      <c r="SST337" s="42" t="s">
        <v>606</v>
      </c>
      <c r="SSU337" s="42" t="s">
        <v>606</v>
      </c>
      <c r="SSV337" s="42" t="s">
        <v>606</v>
      </c>
      <c r="SSW337" s="42" t="s">
        <v>606</v>
      </c>
      <c r="SSX337" s="42" t="s">
        <v>606</v>
      </c>
      <c r="SSY337" s="42" t="s">
        <v>606</v>
      </c>
      <c r="SSZ337" s="42" t="s">
        <v>606</v>
      </c>
      <c r="STA337" s="42" t="s">
        <v>606</v>
      </c>
      <c r="STB337" s="42" t="s">
        <v>606</v>
      </c>
      <c r="STC337" s="42" t="s">
        <v>606</v>
      </c>
      <c r="STD337" s="42" t="s">
        <v>606</v>
      </c>
      <c r="STE337" s="42" t="s">
        <v>606</v>
      </c>
      <c r="STF337" s="42" t="s">
        <v>606</v>
      </c>
      <c r="STG337" s="42" t="s">
        <v>606</v>
      </c>
      <c r="STH337" s="42" t="s">
        <v>606</v>
      </c>
      <c r="STI337" s="42" t="s">
        <v>606</v>
      </c>
      <c r="STJ337" s="42" t="s">
        <v>606</v>
      </c>
      <c r="STK337" s="42" t="s">
        <v>606</v>
      </c>
      <c r="STL337" s="42" t="s">
        <v>606</v>
      </c>
      <c r="STM337" s="42" t="s">
        <v>606</v>
      </c>
      <c r="STN337" s="42" t="s">
        <v>606</v>
      </c>
      <c r="STO337" s="42" t="s">
        <v>606</v>
      </c>
      <c r="STP337" s="42" t="s">
        <v>606</v>
      </c>
      <c r="STQ337" s="42" t="s">
        <v>606</v>
      </c>
      <c r="STR337" s="42" t="s">
        <v>606</v>
      </c>
      <c r="STS337" s="42" t="s">
        <v>606</v>
      </c>
      <c r="STT337" s="42" t="s">
        <v>606</v>
      </c>
      <c r="STU337" s="42" t="s">
        <v>606</v>
      </c>
      <c r="STV337" s="42" t="s">
        <v>606</v>
      </c>
      <c r="STW337" s="42" t="s">
        <v>606</v>
      </c>
      <c r="STX337" s="42" t="s">
        <v>606</v>
      </c>
      <c r="STY337" s="42" t="s">
        <v>606</v>
      </c>
      <c r="STZ337" s="42" t="s">
        <v>606</v>
      </c>
      <c r="SUA337" s="42" t="s">
        <v>606</v>
      </c>
      <c r="SUB337" s="42" t="s">
        <v>606</v>
      </c>
      <c r="SUC337" s="42" t="s">
        <v>606</v>
      </c>
      <c r="SUD337" s="42" t="s">
        <v>606</v>
      </c>
      <c r="SUE337" s="42" t="s">
        <v>606</v>
      </c>
      <c r="SUF337" s="42" t="s">
        <v>606</v>
      </c>
      <c r="SUG337" s="42" t="s">
        <v>606</v>
      </c>
      <c r="SUH337" s="42" t="s">
        <v>606</v>
      </c>
      <c r="SUI337" s="42" t="s">
        <v>606</v>
      </c>
      <c r="SUJ337" s="42" t="s">
        <v>606</v>
      </c>
      <c r="SUK337" s="42" t="s">
        <v>606</v>
      </c>
      <c r="SUL337" s="42" t="s">
        <v>606</v>
      </c>
      <c r="SUM337" s="42" t="s">
        <v>606</v>
      </c>
      <c r="SUN337" s="42" t="s">
        <v>606</v>
      </c>
      <c r="SUO337" s="42" t="s">
        <v>606</v>
      </c>
      <c r="SUP337" s="42" t="s">
        <v>606</v>
      </c>
      <c r="SUQ337" s="42" t="s">
        <v>606</v>
      </c>
      <c r="SUR337" s="42" t="s">
        <v>606</v>
      </c>
      <c r="SUS337" s="42" t="s">
        <v>606</v>
      </c>
      <c r="SUT337" s="42" t="s">
        <v>606</v>
      </c>
      <c r="SUU337" s="42" t="s">
        <v>606</v>
      </c>
      <c r="SUV337" s="42" t="s">
        <v>606</v>
      </c>
      <c r="SUW337" s="42" t="s">
        <v>606</v>
      </c>
      <c r="SUX337" s="42" t="s">
        <v>606</v>
      </c>
      <c r="SUY337" s="42" t="s">
        <v>606</v>
      </c>
      <c r="SUZ337" s="42" t="s">
        <v>606</v>
      </c>
      <c r="SVA337" s="42" t="s">
        <v>606</v>
      </c>
      <c r="SVB337" s="42" t="s">
        <v>606</v>
      </c>
      <c r="SVC337" s="42" t="s">
        <v>606</v>
      </c>
      <c r="SVD337" s="42" t="s">
        <v>606</v>
      </c>
      <c r="SVE337" s="42" t="s">
        <v>606</v>
      </c>
      <c r="SVF337" s="42" t="s">
        <v>606</v>
      </c>
      <c r="SVG337" s="42" t="s">
        <v>606</v>
      </c>
      <c r="SVH337" s="42" t="s">
        <v>606</v>
      </c>
      <c r="SVI337" s="42" t="s">
        <v>606</v>
      </c>
      <c r="SVJ337" s="42" t="s">
        <v>606</v>
      </c>
      <c r="SVK337" s="42" t="s">
        <v>606</v>
      </c>
      <c r="SVL337" s="42" t="s">
        <v>606</v>
      </c>
      <c r="SVM337" s="42" t="s">
        <v>606</v>
      </c>
      <c r="SVN337" s="42" t="s">
        <v>606</v>
      </c>
      <c r="SVO337" s="42" t="s">
        <v>606</v>
      </c>
      <c r="SVP337" s="42" t="s">
        <v>606</v>
      </c>
      <c r="SVQ337" s="42" t="s">
        <v>606</v>
      </c>
      <c r="SVR337" s="42" t="s">
        <v>606</v>
      </c>
      <c r="SVS337" s="42" t="s">
        <v>606</v>
      </c>
      <c r="SVT337" s="42" t="s">
        <v>606</v>
      </c>
      <c r="SVU337" s="42" t="s">
        <v>606</v>
      </c>
      <c r="SVV337" s="42" t="s">
        <v>606</v>
      </c>
      <c r="SVW337" s="42" t="s">
        <v>606</v>
      </c>
      <c r="SVX337" s="42" t="s">
        <v>606</v>
      </c>
      <c r="SVY337" s="42" t="s">
        <v>606</v>
      </c>
      <c r="SVZ337" s="42" t="s">
        <v>606</v>
      </c>
      <c r="SWA337" s="42" t="s">
        <v>606</v>
      </c>
      <c r="SWB337" s="42" t="s">
        <v>606</v>
      </c>
      <c r="SWC337" s="42" t="s">
        <v>606</v>
      </c>
      <c r="SWD337" s="42" t="s">
        <v>606</v>
      </c>
      <c r="SWE337" s="42" t="s">
        <v>606</v>
      </c>
      <c r="SWF337" s="42" t="s">
        <v>606</v>
      </c>
      <c r="SWG337" s="42" t="s">
        <v>606</v>
      </c>
      <c r="SWH337" s="42" t="s">
        <v>606</v>
      </c>
      <c r="SWI337" s="42" t="s">
        <v>606</v>
      </c>
      <c r="SWJ337" s="42" t="s">
        <v>606</v>
      </c>
      <c r="SWK337" s="42" t="s">
        <v>606</v>
      </c>
      <c r="SWL337" s="42" t="s">
        <v>606</v>
      </c>
      <c r="SWM337" s="42" t="s">
        <v>606</v>
      </c>
      <c r="SWN337" s="42" t="s">
        <v>606</v>
      </c>
      <c r="SWO337" s="42" t="s">
        <v>606</v>
      </c>
      <c r="SWP337" s="42" t="s">
        <v>606</v>
      </c>
      <c r="SWQ337" s="42" t="s">
        <v>606</v>
      </c>
      <c r="SWR337" s="42" t="s">
        <v>606</v>
      </c>
      <c r="SWS337" s="42" t="s">
        <v>606</v>
      </c>
      <c r="SWT337" s="42" t="s">
        <v>606</v>
      </c>
      <c r="SWU337" s="42" t="s">
        <v>606</v>
      </c>
      <c r="SWV337" s="42" t="s">
        <v>606</v>
      </c>
      <c r="SWW337" s="42" t="s">
        <v>606</v>
      </c>
      <c r="SWX337" s="42" t="s">
        <v>606</v>
      </c>
      <c r="SWY337" s="42" t="s">
        <v>606</v>
      </c>
      <c r="SWZ337" s="42" t="s">
        <v>606</v>
      </c>
      <c r="SXA337" s="42" t="s">
        <v>606</v>
      </c>
      <c r="SXB337" s="42" t="s">
        <v>606</v>
      </c>
      <c r="SXC337" s="42" t="s">
        <v>606</v>
      </c>
      <c r="SXD337" s="42" t="s">
        <v>606</v>
      </c>
      <c r="SXE337" s="42" t="s">
        <v>606</v>
      </c>
      <c r="SXF337" s="42" t="s">
        <v>606</v>
      </c>
      <c r="SXG337" s="42" t="s">
        <v>606</v>
      </c>
      <c r="SXH337" s="42" t="s">
        <v>606</v>
      </c>
      <c r="SXI337" s="42" t="s">
        <v>606</v>
      </c>
      <c r="SXJ337" s="42" t="s">
        <v>606</v>
      </c>
      <c r="SXK337" s="42" t="s">
        <v>606</v>
      </c>
      <c r="SXL337" s="42" t="s">
        <v>606</v>
      </c>
      <c r="SXM337" s="42" t="s">
        <v>606</v>
      </c>
      <c r="SXN337" s="42" t="s">
        <v>606</v>
      </c>
      <c r="SXO337" s="42" t="s">
        <v>606</v>
      </c>
      <c r="SXP337" s="42" t="s">
        <v>606</v>
      </c>
      <c r="SXQ337" s="42" t="s">
        <v>606</v>
      </c>
      <c r="SXR337" s="42" t="s">
        <v>606</v>
      </c>
      <c r="SXS337" s="42" t="s">
        <v>606</v>
      </c>
      <c r="SXT337" s="42" t="s">
        <v>606</v>
      </c>
      <c r="SXU337" s="42" t="s">
        <v>606</v>
      </c>
      <c r="SXV337" s="42" t="s">
        <v>606</v>
      </c>
      <c r="SXW337" s="42" t="s">
        <v>606</v>
      </c>
      <c r="SXX337" s="42" t="s">
        <v>606</v>
      </c>
      <c r="SXY337" s="42" t="s">
        <v>606</v>
      </c>
      <c r="SXZ337" s="42" t="s">
        <v>606</v>
      </c>
      <c r="SYA337" s="42" t="s">
        <v>606</v>
      </c>
      <c r="SYB337" s="42" t="s">
        <v>606</v>
      </c>
      <c r="SYC337" s="42" t="s">
        <v>606</v>
      </c>
      <c r="SYD337" s="42" t="s">
        <v>606</v>
      </c>
      <c r="SYE337" s="42" t="s">
        <v>606</v>
      </c>
      <c r="SYF337" s="42" t="s">
        <v>606</v>
      </c>
      <c r="SYG337" s="42" t="s">
        <v>606</v>
      </c>
      <c r="SYH337" s="42" t="s">
        <v>606</v>
      </c>
      <c r="SYI337" s="42" t="s">
        <v>606</v>
      </c>
      <c r="SYJ337" s="42" t="s">
        <v>606</v>
      </c>
      <c r="SYK337" s="42" t="s">
        <v>606</v>
      </c>
      <c r="SYL337" s="42" t="s">
        <v>606</v>
      </c>
      <c r="SYM337" s="42" t="s">
        <v>606</v>
      </c>
      <c r="SYN337" s="42" t="s">
        <v>606</v>
      </c>
      <c r="SYO337" s="42" t="s">
        <v>606</v>
      </c>
      <c r="SYP337" s="42" t="s">
        <v>606</v>
      </c>
      <c r="SYQ337" s="42" t="s">
        <v>606</v>
      </c>
      <c r="SYR337" s="42" t="s">
        <v>606</v>
      </c>
      <c r="SYS337" s="42" t="s">
        <v>606</v>
      </c>
      <c r="SYT337" s="42" t="s">
        <v>606</v>
      </c>
      <c r="SYU337" s="42" t="s">
        <v>606</v>
      </c>
      <c r="SYV337" s="42" t="s">
        <v>606</v>
      </c>
      <c r="SYW337" s="42" t="s">
        <v>606</v>
      </c>
      <c r="SYX337" s="42" t="s">
        <v>606</v>
      </c>
      <c r="SYY337" s="42" t="s">
        <v>606</v>
      </c>
      <c r="SYZ337" s="42" t="s">
        <v>606</v>
      </c>
      <c r="SZA337" s="42" t="s">
        <v>606</v>
      </c>
      <c r="SZB337" s="42" t="s">
        <v>606</v>
      </c>
      <c r="SZC337" s="42" t="s">
        <v>606</v>
      </c>
      <c r="SZD337" s="42" t="s">
        <v>606</v>
      </c>
      <c r="SZE337" s="42" t="s">
        <v>606</v>
      </c>
      <c r="SZF337" s="42" t="s">
        <v>606</v>
      </c>
      <c r="SZG337" s="42" t="s">
        <v>606</v>
      </c>
      <c r="SZH337" s="42" t="s">
        <v>606</v>
      </c>
      <c r="SZI337" s="42" t="s">
        <v>606</v>
      </c>
      <c r="SZJ337" s="42" t="s">
        <v>606</v>
      </c>
      <c r="SZK337" s="42" t="s">
        <v>606</v>
      </c>
      <c r="SZL337" s="42" t="s">
        <v>606</v>
      </c>
      <c r="SZM337" s="42" t="s">
        <v>606</v>
      </c>
      <c r="SZN337" s="42" t="s">
        <v>606</v>
      </c>
      <c r="SZO337" s="42" t="s">
        <v>606</v>
      </c>
      <c r="SZP337" s="42" t="s">
        <v>606</v>
      </c>
      <c r="SZQ337" s="42" t="s">
        <v>606</v>
      </c>
      <c r="SZR337" s="42" t="s">
        <v>606</v>
      </c>
      <c r="SZS337" s="42" t="s">
        <v>606</v>
      </c>
      <c r="SZT337" s="42" t="s">
        <v>606</v>
      </c>
      <c r="SZU337" s="42" t="s">
        <v>606</v>
      </c>
      <c r="SZV337" s="42" t="s">
        <v>606</v>
      </c>
      <c r="SZW337" s="42" t="s">
        <v>606</v>
      </c>
      <c r="SZX337" s="42" t="s">
        <v>606</v>
      </c>
      <c r="SZY337" s="42" t="s">
        <v>606</v>
      </c>
      <c r="SZZ337" s="42" t="s">
        <v>606</v>
      </c>
      <c r="TAA337" s="42" t="s">
        <v>606</v>
      </c>
      <c r="TAB337" s="42" t="s">
        <v>606</v>
      </c>
      <c r="TAC337" s="42" t="s">
        <v>606</v>
      </c>
      <c r="TAD337" s="42" t="s">
        <v>606</v>
      </c>
      <c r="TAE337" s="42" t="s">
        <v>606</v>
      </c>
      <c r="TAF337" s="42" t="s">
        <v>606</v>
      </c>
      <c r="TAG337" s="42" t="s">
        <v>606</v>
      </c>
      <c r="TAH337" s="42" t="s">
        <v>606</v>
      </c>
      <c r="TAI337" s="42" t="s">
        <v>606</v>
      </c>
      <c r="TAJ337" s="42" t="s">
        <v>606</v>
      </c>
      <c r="TAK337" s="42" t="s">
        <v>606</v>
      </c>
      <c r="TAL337" s="42" t="s">
        <v>606</v>
      </c>
      <c r="TAM337" s="42" t="s">
        <v>606</v>
      </c>
      <c r="TAN337" s="42" t="s">
        <v>606</v>
      </c>
      <c r="TAO337" s="42" t="s">
        <v>606</v>
      </c>
      <c r="TAP337" s="42" t="s">
        <v>606</v>
      </c>
      <c r="TAQ337" s="42" t="s">
        <v>606</v>
      </c>
      <c r="TAR337" s="42" t="s">
        <v>606</v>
      </c>
      <c r="TAS337" s="42" t="s">
        <v>606</v>
      </c>
      <c r="TAT337" s="42" t="s">
        <v>606</v>
      </c>
      <c r="TAU337" s="42" t="s">
        <v>606</v>
      </c>
      <c r="TAV337" s="42" t="s">
        <v>606</v>
      </c>
      <c r="TAW337" s="42" t="s">
        <v>606</v>
      </c>
      <c r="TAX337" s="42" t="s">
        <v>606</v>
      </c>
      <c r="TAY337" s="42" t="s">
        <v>606</v>
      </c>
      <c r="TAZ337" s="42" t="s">
        <v>606</v>
      </c>
      <c r="TBA337" s="42" t="s">
        <v>606</v>
      </c>
      <c r="TBB337" s="42" t="s">
        <v>606</v>
      </c>
      <c r="TBC337" s="42" t="s">
        <v>606</v>
      </c>
      <c r="TBD337" s="42" t="s">
        <v>606</v>
      </c>
      <c r="TBE337" s="42" t="s">
        <v>606</v>
      </c>
      <c r="TBF337" s="42" t="s">
        <v>606</v>
      </c>
      <c r="TBG337" s="42" t="s">
        <v>606</v>
      </c>
      <c r="TBH337" s="42" t="s">
        <v>606</v>
      </c>
      <c r="TBI337" s="42" t="s">
        <v>606</v>
      </c>
      <c r="TBJ337" s="42" t="s">
        <v>606</v>
      </c>
      <c r="TBK337" s="42" t="s">
        <v>606</v>
      </c>
      <c r="TBL337" s="42" t="s">
        <v>606</v>
      </c>
      <c r="TBM337" s="42" t="s">
        <v>606</v>
      </c>
      <c r="TBN337" s="42" t="s">
        <v>606</v>
      </c>
      <c r="TBO337" s="42" t="s">
        <v>606</v>
      </c>
      <c r="TBP337" s="42" t="s">
        <v>606</v>
      </c>
      <c r="TBQ337" s="42" t="s">
        <v>606</v>
      </c>
      <c r="TBR337" s="42" t="s">
        <v>606</v>
      </c>
      <c r="TBS337" s="42" t="s">
        <v>606</v>
      </c>
      <c r="TBT337" s="42" t="s">
        <v>606</v>
      </c>
      <c r="TBU337" s="42" t="s">
        <v>606</v>
      </c>
      <c r="TBV337" s="42" t="s">
        <v>606</v>
      </c>
      <c r="TBW337" s="42" t="s">
        <v>606</v>
      </c>
      <c r="TBX337" s="42" t="s">
        <v>606</v>
      </c>
      <c r="TBY337" s="42" t="s">
        <v>606</v>
      </c>
      <c r="TBZ337" s="42" t="s">
        <v>606</v>
      </c>
      <c r="TCA337" s="42" t="s">
        <v>606</v>
      </c>
      <c r="TCB337" s="42" t="s">
        <v>606</v>
      </c>
      <c r="TCC337" s="42" t="s">
        <v>606</v>
      </c>
      <c r="TCD337" s="42" t="s">
        <v>606</v>
      </c>
      <c r="TCE337" s="42" t="s">
        <v>606</v>
      </c>
      <c r="TCF337" s="42" t="s">
        <v>606</v>
      </c>
      <c r="TCG337" s="42" t="s">
        <v>606</v>
      </c>
      <c r="TCH337" s="42" t="s">
        <v>606</v>
      </c>
      <c r="TCI337" s="42" t="s">
        <v>606</v>
      </c>
      <c r="TCJ337" s="42" t="s">
        <v>606</v>
      </c>
      <c r="TCK337" s="42" t="s">
        <v>606</v>
      </c>
      <c r="TCL337" s="42" t="s">
        <v>606</v>
      </c>
      <c r="TCM337" s="42" t="s">
        <v>606</v>
      </c>
      <c r="TCN337" s="42" t="s">
        <v>606</v>
      </c>
      <c r="TCO337" s="42" t="s">
        <v>606</v>
      </c>
      <c r="TCP337" s="42" t="s">
        <v>606</v>
      </c>
      <c r="TCQ337" s="42" t="s">
        <v>606</v>
      </c>
      <c r="TCR337" s="42" t="s">
        <v>606</v>
      </c>
      <c r="TCS337" s="42" t="s">
        <v>606</v>
      </c>
      <c r="TCT337" s="42" t="s">
        <v>606</v>
      </c>
      <c r="TCU337" s="42" t="s">
        <v>606</v>
      </c>
      <c r="TCV337" s="42" t="s">
        <v>606</v>
      </c>
      <c r="TCW337" s="42" t="s">
        <v>606</v>
      </c>
      <c r="TCX337" s="42" t="s">
        <v>606</v>
      </c>
      <c r="TCY337" s="42" t="s">
        <v>606</v>
      </c>
      <c r="TCZ337" s="42" t="s">
        <v>606</v>
      </c>
      <c r="TDA337" s="42" t="s">
        <v>606</v>
      </c>
      <c r="TDB337" s="42" t="s">
        <v>606</v>
      </c>
      <c r="TDC337" s="42" t="s">
        <v>606</v>
      </c>
      <c r="TDD337" s="42" t="s">
        <v>606</v>
      </c>
      <c r="TDE337" s="42" t="s">
        <v>606</v>
      </c>
      <c r="TDF337" s="42" t="s">
        <v>606</v>
      </c>
      <c r="TDG337" s="42" t="s">
        <v>606</v>
      </c>
      <c r="TDH337" s="42" t="s">
        <v>606</v>
      </c>
      <c r="TDI337" s="42" t="s">
        <v>606</v>
      </c>
      <c r="TDJ337" s="42" t="s">
        <v>606</v>
      </c>
      <c r="TDK337" s="42" t="s">
        <v>606</v>
      </c>
      <c r="TDL337" s="42" t="s">
        <v>606</v>
      </c>
      <c r="TDM337" s="42" t="s">
        <v>606</v>
      </c>
      <c r="TDN337" s="42" t="s">
        <v>606</v>
      </c>
      <c r="TDO337" s="42" t="s">
        <v>606</v>
      </c>
      <c r="TDP337" s="42" t="s">
        <v>606</v>
      </c>
      <c r="TDQ337" s="42" t="s">
        <v>606</v>
      </c>
      <c r="TDR337" s="42" t="s">
        <v>606</v>
      </c>
      <c r="TDS337" s="42" t="s">
        <v>606</v>
      </c>
      <c r="TDT337" s="42" t="s">
        <v>606</v>
      </c>
      <c r="TDU337" s="42" t="s">
        <v>606</v>
      </c>
      <c r="TDV337" s="42" t="s">
        <v>606</v>
      </c>
      <c r="TDW337" s="42" t="s">
        <v>606</v>
      </c>
      <c r="TDX337" s="42" t="s">
        <v>606</v>
      </c>
      <c r="TDY337" s="42" t="s">
        <v>606</v>
      </c>
      <c r="TDZ337" s="42" t="s">
        <v>606</v>
      </c>
      <c r="TEA337" s="42" t="s">
        <v>606</v>
      </c>
      <c r="TEB337" s="42" t="s">
        <v>606</v>
      </c>
      <c r="TEC337" s="42" t="s">
        <v>606</v>
      </c>
      <c r="TED337" s="42" t="s">
        <v>606</v>
      </c>
      <c r="TEE337" s="42" t="s">
        <v>606</v>
      </c>
      <c r="TEF337" s="42" t="s">
        <v>606</v>
      </c>
      <c r="TEG337" s="42" t="s">
        <v>606</v>
      </c>
      <c r="TEH337" s="42" t="s">
        <v>606</v>
      </c>
      <c r="TEI337" s="42" t="s">
        <v>606</v>
      </c>
      <c r="TEJ337" s="42" t="s">
        <v>606</v>
      </c>
      <c r="TEK337" s="42" t="s">
        <v>606</v>
      </c>
      <c r="TEL337" s="42" t="s">
        <v>606</v>
      </c>
      <c r="TEM337" s="42" t="s">
        <v>606</v>
      </c>
      <c r="TEN337" s="42" t="s">
        <v>606</v>
      </c>
      <c r="TEO337" s="42" t="s">
        <v>606</v>
      </c>
      <c r="TEP337" s="42" t="s">
        <v>606</v>
      </c>
      <c r="TEQ337" s="42" t="s">
        <v>606</v>
      </c>
      <c r="TER337" s="42" t="s">
        <v>606</v>
      </c>
      <c r="TES337" s="42" t="s">
        <v>606</v>
      </c>
      <c r="TET337" s="42" t="s">
        <v>606</v>
      </c>
      <c r="TEU337" s="42" t="s">
        <v>606</v>
      </c>
      <c r="TEV337" s="42" t="s">
        <v>606</v>
      </c>
      <c r="TEW337" s="42" t="s">
        <v>606</v>
      </c>
      <c r="TEX337" s="42" t="s">
        <v>606</v>
      </c>
      <c r="TEY337" s="42" t="s">
        <v>606</v>
      </c>
      <c r="TEZ337" s="42" t="s">
        <v>606</v>
      </c>
      <c r="TFA337" s="42" t="s">
        <v>606</v>
      </c>
      <c r="TFB337" s="42" t="s">
        <v>606</v>
      </c>
      <c r="TFC337" s="42" t="s">
        <v>606</v>
      </c>
      <c r="TFD337" s="42" t="s">
        <v>606</v>
      </c>
      <c r="TFE337" s="42" t="s">
        <v>606</v>
      </c>
      <c r="TFF337" s="42" t="s">
        <v>606</v>
      </c>
      <c r="TFG337" s="42" t="s">
        <v>606</v>
      </c>
      <c r="TFH337" s="42" t="s">
        <v>606</v>
      </c>
      <c r="TFI337" s="42" t="s">
        <v>606</v>
      </c>
      <c r="TFJ337" s="42" t="s">
        <v>606</v>
      </c>
      <c r="TFK337" s="42" t="s">
        <v>606</v>
      </c>
      <c r="TFL337" s="42" t="s">
        <v>606</v>
      </c>
      <c r="TFM337" s="42" t="s">
        <v>606</v>
      </c>
      <c r="TFN337" s="42" t="s">
        <v>606</v>
      </c>
      <c r="TFO337" s="42" t="s">
        <v>606</v>
      </c>
      <c r="TFP337" s="42" t="s">
        <v>606</v>
      </c>
      <c r="TFQ337" s="42" t="s">
        <v>606</v>
      </c>
      <c r="TFR337" s="42" t="s">
        <v>606</v>
      </c>
      <c r="TFS337" s="42" t="s">
        <v>606</v>
      </c>
      <c r="TFT337" s="42" t="s">
        <v>606</v>
      </c>
      <c r="TFU337" s="42" t="s">
        <v>606</v>
      </c>
      <c r="TFV337" s="42" t="s">
        <v>606</v>
      </c>
      <c r="TFW337" s="42" t="s">
        <v>606</v>
      </c>
      <c r="TFX337" s="42" t="s">
        <v>606</v>
      </c>
      <c r="TFY337" s="42" t="s">
        <v>606</v>
      </c>
      <c r="TFZ337" s="42" t="s">
        <v>606</v>
      </c>
      <c r="TGA337" s="42" t="s">
        <v>606</v>
      </c>
      <c r="TGB337" s="42" t="s">
        <v>606</v>
      </c>
      <c r="TGC337" s="42" t="s">
        <v>606</v>
      </c>
      <c r="TGD337" s="42" t="s">
        <v>606</v>
      </c>
      <c r="TGE337" s="42" t="s">
        <v>606</v>
      </c>
      <c r="TGF337" s="42" t="s">
        <v>606</v>
      </c>
      <c r="TGG337" s="42" t="s">
        <v>606</v>
      </c>
      <c r="TGH337" s="42" t="s">
        <v>606</v>
      </c>
      <c r="TGI337" s="42" t="s">
        <v>606</v>
      </c>
      <c r="TGJ337" s="42" t="s">
        <v>606</v>
      </c>
      <c r="TGK337" s="42" t="s">
        <v>606</v>
      </c>
      <c r="TGL337" s="42" t="s">
        <v>606</v>
      </c>
      <c r="TGM337" s="42" t="s">
        <v>606</v>
      </c>
      <c r="TGN337" s="42" t="s">
        <v>606</v>
      </c>
      <c r="TGO337" s="42" t="s">
        <v>606</v>
      </c>
      <c r="TGP337" s="42" t="s">
        <v>606</v>
      </c>
      <c r="TGQ337" s="42" t="s">
        <v>606</v>
      </c>
      <c r="TGR337" s="42" t="s">
        <v>606</v>
      </c>
      <c r="TGS337" s="42" t="s">
        <v>606</v>
      </c>
      <c r="TGT337" s="42" t="s">
        <v>606</v>
      </c>
      <c r="TGU337" s="42" t="s">
        <v>606</v>
      </c>
      <c r="TGV337" s="42" t="s">
        <v>606</v>
      </c>
      <c r="TGW337" s="42" t="s">
        <v>606</v>
      </c>
      <c r="TGX337" s="42" t="s">
        <v>606</v>
      </c>
      <c r="TGY337" s="42" t="s">
        <v>606</v>
      </c>
      <c r="TGZ337" s="42" t="s">
        <v>606</v>
      </c>
      <c r="THA337" s="42" t="s">
        <v>606</v>
      </c>
      <c r="THB337" s="42" t="s">
        <v>606</v>
      </c>
      <c r="THC337" s="42" t="s">
        <v>606</v>
      </c>
      <c r="THD337" s="42" t="s">
        <v>606</v>
      </c>
      <c r="THE337" s="42" t="s">
        <v>606</v>
      </c>
      <c r="THF337" s="42" t="s">
        <v>606</v>
      </c>
      <c r="THG337" s="42" t="s">
        <v>606</v>
      </c>
      <c r="THH337" s="42" t="s">
        <v>606</v>
      </c>
      <c r="THI337" s="42" t="s">
        <v>606</v>
      </c>
      <c r="THJ337" s="42" t="s">
        <v>606</v>
      </c>
      <c r="THK337" s="42" t="s">
        <v>606</v>
      </c>
      <c r="THL337" s="42" t="s">
        <v>606</v>
      </c>
      <c r="THM337" s="42" t="s">
        <v>606</v>
      </c>
      <c r="THN337" s="42" t="s">
        <v>606</v>
      </c>
      <c r="THO337" s="42" t="s">
        <v>606</v>
      </c>
      <c r="THP337" s="42" t="s">
        <v>606</v>
      </c>
      <c r="THQ337" s="42" t="s">
        <v>606</v>
      </c>
      <c r="THR337" s="42" t="s">
        <v>606</v>
      </c>
      <c r="THS337" s="42" t="s">
        <v>606</v>
      </c>
      <c r="THT337" s="42" t="s">
        <v>606</v>
      </c>
      <c r="THU337" s="42" t="s">
        <v>606</v>
      </c>
      <c r="THV337" s="42" t="s">
        <v>606</v>
      </c>
      <c r="THW337" s="42" t="s">
        <v>606</v>
      </c>
      <c r="THX337" s="42" t="s">
        <v>606</v>
      </c>
      <c r="THY337" s="42" t="s">
        <v>606</v>
      </c>
      <c r="THZ337" s="42" t="s">
        <v>606</v>
      </c>
      <c r="TIA337" s="42" t="s">
        <v>606</v>
      </c>
      <c r="TIB337" s="42" t="s">
        <v>606</v>
      </c>
      <c r="TIC337" s="42" t="s">
        <v>606</v>
      </c>
      <c r="TID337" s="42" t="s">
        <v>606</v>
      </c>
      <c r="TIE337" s="42" t="s">
        <v>606</v>
      </c>
      <c r="TIF337" s="42" t="s">
        <v>606</v>
      </c>
      <c r="TIG337" s="42" t="s">
        <v>606</v>
      </c>
      <c r="TIH337" s="42" t="s">
        <v>606</v>
      </c>
      <c r="TII337" s="42" t="s">
        <v>606</v>
      </c>
      <c r="TIJ337" s="42" t="s">
        <v>606</v>
      </c>
      <c r="TIK337" s="42" t="s">
        <v>606</v>
      </c>
      <c r="TIL337" s="42" t="s">
        <v>606</v>
      </c>
      <c r="TIM337" s="42" t="s">
        <v>606</v>
      </c>
      <c r="TIN337" s="42" t="s">
        <v>606</v>
      </c>
      <c r="TIO337" s="42" t="s">
        <v>606</v>
      </c>
      <c r="TIP337" s="42" t="s">
        <v>606</v>
      </c>
      <c r="TIQ337" s="42" t="s">
        <v>606</v>
      </c>
      <c r="TIR337" s="42" t="s">
        <v>606</v>
      </c>
      <c r="TIS337" s="42" t="s">
        <v>606</v>
      </c>
      <c r="TIT337" s="42" t="s">
        <v>606</v>
      </c>
      <c r="TIU337" s="42" t="s">
        <v>606</v>
      </c>
      <c r="TIV337" s="42" t="s">
        <v>606</v>
      </c>
      <c r="TIW337" s="42" t="s">
        <v>606</v>
      </c>
      <c r="TIX337" s="42" t="s">
        <v>606</v>
      </c>
      <c r="TIY337" s="42" t="s">
        <v>606</v>
      </c>
      <c r="TIZ337" s="42" t="s">
        <v>606</v>
      </c>
      <c r="TJA337" s="42" t="s">
        <v>606</v>
      </c>
      <c r="TJB337" s="42" t="s">
        <v>606</v>
      </c>
      <c r="TJC337" s="42" t="s">
        <v>606</v>
      </c>
      <c r="TJD337" s="42" t="s">
        <v>606</v>
      </c>
      <c r="TJE337" s="42" t="s">
        <v>606</v>
      </c>
      <c r="TJF337" s="42" t="s">
        <v>606</v>
      </c>
      <c r="TJG337" s="42" t="s">
        <v>606</v>
      </c>
      <c r="TJH337" s="42" t="s">
        <v>606</v>
      </c>
      <c r="TJI337" s="42" t="s">
        <v>606</v>
      </c>
      <c r="TJJ337" s="42" t="s">
        <v>606</v>
      </c>
      <c r="TJK337" s="42" t="s">
        <v>606</v>
      </c>
      <c r="TJL337" s="42" t="s">
        <v>606</v>
      </c>
      <c r="TJM337" s="42" t="s">
        <v>606</v>
      </c>
      <c r="TJN337" s="42" t="s">
        <v>606</v>
      </c>
      <c r="TJO337" s="42" t="s">
        <v>606</v>
      </c>
      <c r="TJP337" s="42" t="s">
        <v>606</v>
      </c>
      <c r="TJQ337" s="42" t="s">
        <v>606</v>
      </c>
      <c r="TJR337" s="42" t="s">
        <v>606</v>
      </c>
      <c r="TJS337" s="42" t="s">
        <v>606</v>
      </c>
      <c r="TJT337" s="42" t="s">
        <v>606</v>
      </c>
      <c r="TJU337" s="42" t="s">
        <v>606</v>
      </c>
      <c r="TJV337" s="42" t="s">
        <v>606</v>
      </c>
      <c r="TJW337" s="42" t="s">
        <v>606</v>
      </c>
      <c r="TJX337" s="42" t="s">
        <v>606</v>
      </c>
      <c r="TJY337" s="42" t="s">
        <v>606</v>
      </c>
      <c r="TJZ337" s="42" t="s">
        <v>606</v>
      </c>
      <c r="TKA337" s="42" t="s">
        <v>606</v>
      </c>
      <c r="TKB337" s="42" t="s">
        <v>606</v>
      </c>
      <c r="TKC337" s="42" t="s">
        <v>606</v>
      </c>
      <c r="TKD337" s="42" t="s">
        <v>606</v>
      </c>
      <c r="TKE337" s="42" t="s">
        <v>606</v>
      </c>
      <c r="TKF337" s="42" t="s">
        <v>606</v>
      </c>
      <c r="TKG337" s="42" t="s">
        <v>606</v>
      </c>
      <c r="TKH337" s="42" t="s">
        <v>606</v>
      </c>
      <c r="TKI337" s="42" t="s">
        <v>606</v>
      </c>
      <c r="TKJ337" s="42" t="s">
        <v>606</v>
      </c>
      <c r="TKK337" s="42" t="s">
        <v>606</v>
      </c>
      <c r="TKL337" s="42" t="s">
        <v>606</v>
      </c>
      <c r="TKM337" s="42" t="s">
        <v>606</v>
      </c>
      <c r="TKN337" s="42" t="s">
        <v>606</v>
      </c>
      <c r="TKO337" s="42" t="s">
        <v>606</v>
      </c>
      <c r="TKP337" s="42" t="s">
        <v>606</v>
      </c>
      <c r="TKQ337" s="42" t="s">
        <v>606</v>
      </c>
      <c r="TKR337" s="42" t="s">
        <v>606</v>
      </c>
      <c r="TKS337" s="42" t="s">
        <v>606</v>
      </c>
      <c r="TKT337" s="42" t="s">
        <v>606</v>
      </c>
      <c r="TKU337" s="42" t="s">
        <v>606</v>
      </c>
      <c r="TKV337" s="42" t="s">
        <v>606</v>
      </c>
      <c r="TKW337" s="42" t="s">
        <v>606</v>
      </c>
      <c r="TKX337" s="42" t="s">
        <v>606</v>
      </c>
      <c r="TKY337" s="42" t="s">
        <v>606</v>
      </c>
      <c r="TKZ337" s="42" t="s">
        <v>606</v>
      </c>
      <c r="TLA337" s="42" t="s">
        <v>606</v>
      </c>
      <c r="TLB337" s="42" t="s">
        <v>606</v>
      </c>
      <c r="TLC337" s="42" t="s">
        <v>606</v>
      </c>
      <c r="TLD337" s="42" t="s">
        <v>606</v>
      </c>
      <c r="TLE337" s="42" t="s">
        <v>606</v>
      </c>
      <c r="TLF337" s="42" t="s">
        <v>606</v>
      </c>
      <c r="TLG337" s="42" t="s">
        <v>606</v>
      </c>
      <c r="TLH337" s="42" t="s">
        <v>606</v>
      </c>
      <c r="TLI337" s="42" t="s">
        <v>606</v>
      </c>
      <c r="TLJ337" s="42" t="s">
        <v>606</v>
      </c>
      <c r="TLK337" s="42" t="s">
        <v>606</v>
      </c>
      <c r="TLL337" s="42" t="s">
        <v>606</v>
      </c>
      <c r="TLM337" s="42" t="s">
        <v>606</v>
      </c>
      <c r="TLN337" s="42" t="s">
        <v>606</v>
      </c>
      <c r="TLO337" s="42" t="s">
        <v>606</v>
      </c>
      <c r="TLP337" s="42" t="s">
        <v>606</v>
      </c>
      <c r="TLQ337" s="42" t="s">
        <v>606</v>
      </c>
      <c r="TLR337" s="42" t="s">
        <v>606</v>
      </c>
      <c r="TLS337" s="42" t="s">
        <v>606</v>
      </c>
      <c r="TLT337" s="42" t="s">
        <v>606</v>
      </c>
      <c r="TLU337" s="42" t="s">
        <v>606</v>
      </c>
      <c r="TLV337" s="42" t="s">
        <v>606</v>
      </c>
      <c r="TLW337" s="42" t="s">
        <v>606</v>
      </c>
      <c r="TLX337" s="42" t="s">
        <v>606</v>
      </c>
      <c r="TLY337" s="42" t="s">
        <v>606</v>
      </c>
      <c r="TLZ337" s="42" t="s">
        <v>606</v>
      </c>
      <c r="TMA337" s="42" t="s">
        <v>606</v>
      </c>
      <c r="TMB337" s="42" t="s">
        <v>606</v>
      </c>
      <c r="TMC337" s="42" t="s">
        <v>606</v>
      </c>
      <c r="TMD337" s="42" t="s">
        <v>606</v>
      </c>
      <c r="TME337" s="42" t="s">
        <v>606</v>
      </c>
      <c r="TMF337" s="42" t="s">
        <v>606</v>
      </c>
      <c r="TMG337" s="42" t="s">
        <v>606</v>
      </c>
      <c r="TMH337" s="42" t="s">
        <v>606</v>
      </c>
      <c r="TMI337" s="42" t="s">
        <v>606</v>
      </c>
      <c r="TMJ337" s="42" t="s">
        <v>606</v>
      </c>
      <c r="TMK337" s="42" t="s">
        <v>606</v>
      </c>
      <c r="TML337" s="42" t="s">
        <v>606</v>
      </c>
      <c r="TMM337" s="42" t="s">
        <v>606</v>
      </c>
      <c r="TMN337" s="42" t="s">
        <v>606</v>
      </c>
      <c r="TMO337" s="42" t="s">
        <v>606</v>
      </c>
      <c r="TMP337" s="42" t="s">
        <v>606</v>
      </c>
      <c r="TMQ337" s="42" t="s">
        <v>606</v>
      </c>
      <c r="TMR337" s="42" t="s">
        <v>606</v>
      </c>
      <c r="TMS337" s="42" t="s">
        <v>606</v>
      </c>
      <c r="TMT337" s="42" t="s">
        <v>606</v>
      </c>
      <c r="TMU337" s="42" t="s">
        <v>606</v>
      </c>
      <c r="TMV337" s="42" t="s">
        <v>606</v>
      </c>
      <c r="TMW337" s="42" t="s">
        <v>606</v>
      </c>
      <c r="TMX337" s="42" t="s">
        <v>606</v>
      </c>
      <c r="TMY337" s="42" t="s">
        <v>606</v>
      </c>
      <c r="TMZ337" s="42" t="s">
        <v>606</v>
      </c>
      <c r="TNA337" s="42" t="s">
        <v>606</v>
      </c>
      <c r="TNB337" s="42" t="s">
        <v>606</v>
      </c>
      <c r="TNC337" s="42" t="s">
        <v>606</v>
      </c>
      <c r="TND337" s="42" t="s">
        <v>606</v>
      </c>
      <c r="TNE337" s="42" t="s">
        <v>606</v>
      </c>
      <c r="TNF337" s="42" t="s">
        <v>606</v>
      </c>
      <c r="TNG337" s="42" t="s">
        <v>606</v>
      </c>
      <c r="TNH337" s="42" t="s">
        <v>606</v>
      </c>
      <c r="TNI337" s="42" t="s">
        <v>606</v>
      </c>
      <c r="TNJ337" s="42" t="s">
        <v>606</v>
      </c>
      <c r="TNK337" s="42" t="s">
        <v>606</v>
      </c>
      <c r="TNL337" s="42" t="s">
        <v>606</v>
      </c>
      <c r="TNM337" s="42" t="s">
        <v>606</v>
      </c>
      <c r="TNN337" s="42" t="s">
        <v>606</v>
      </c>
      <c r="TNO337" s="42" t="s">
        <v>606</v>
      </c>
      <c r="TNP337" s="42" t="s">
        <v>606</v>
      </c>
      <c r="TNQ337" s="42" t="s">
        <v>606</v>
      </c>
      <c r="TNR337" s="42" t="s">
        <v>606</v>
      </c>
      <c r="TNS337" s="42" t="s">
        <v>606</v>
      </c>
      <c r="TNT337" s="42" t="s">
        <v>606</v>
      </c>
      <c r="TNU337" s="42" t="s">
        <v>606</v>
      </c>
      <c r="TNV337" s="42" t="s">
        <v>606</v>
      </c>
      <c r="TNW337" s="42" t="s">
        <v>606</v>
      </c>
      <c r="TNX337" s="42" t="s">
        <v>606</v>
      </c>
      <c r="TNY337" s="42" t="s">
        <v>606</v>
      </c>
      <c r="TNZ337" s="42" t="s">
        <v>606</v>
      </c>
      <c r="TOA337" s="42" t="s">
        <v>606</v>
      </c>
      <c r="TOB337" s="42" t="s">
        <v>606</v>
      </c>
      <c r="TOC337" s="42" t="s">
        <v>606</v>
      </c>
      <c r="TOD337" s="42" t="s">
        <v>606</v>
      </c>
      <c r="TOE337" s="42" t="s">
        <v>606</v>
      </c>
      <c r="TOF337" s="42" t="s">
        <v>606</v>
      </c>
      <c r="TOG337" s="42" t="s">
        <v>606</v>
      </c>
      <c r="TOH337" s="42" t="s">
        <v>606</v>
      </c>
      <c r="TOI337" s="42" t="s">
        <v>606</v>
      </c>
      <c r="TOJ337" s="42" t="s">
        <v>606</v>
      </c>
      <c r="TOK337" s="42" t="s">
        <v>606</v>
      </c>
      <c r="TOL337" s="42" t="s">
        <v>606</v>
      </c>
      <c r="TOM337" s="42" t="s">
        <v>606</v>
      </c>
      <c r="TON337" s="42" t="s">
        <v>606</v>
      </c>
      <c r="TOO337" s="42" t="s">
        <v>606</v>
      </c>
      <c r="TOP337" s="42" t="s">
        <v>606</v>
      </c>
      <c r="TOQ337" s="42" t="s">
        <v>606</v>
      </c>
      <c r="TOR337" s="42" t="s">
        <v>606</v>
      </c>
      <c r="TOS337" s="42" t="s">
        <v>606</v>
      </c>
      <c r="TOT337" s="42" t="s">
        <v>606</v>
      </c>
      <c r="TOU337" s="42" t="s">
        <v>606</v>
      </c>
      <c r="TOV337" s="42" t="s">
        <v>606</v>
      </c>
      <c r="TOW337" s="42" t="s">
        <v>606</v>
      </c>
      <c r="TOX337" s="42" t="s">
        <v>606</v>
      </c>
      <c r="TOY337" s="42" t="s">
        <v>606</v>
      </c>
      <c r="TOZ337" s="42" t="s">
        <v>606</v>
      </c>
      <c r="TPA337" s="42" t="s">
        <v>606</v>
      </c>
      <c r="TPB337" s="42" t="s">
        <v>606</v>
      </c>
      <c r="TPC337" s="42" t="s">
        <v>606</v>
      </c>
      <c r="TPD337" s="42" t="s">
        <v>606</v>
      </c>
      <c r="TPE337" s="42" t="s">
        <v>606</v>
      </c>
      <c r="TPF337" s="42" t="s">
        <v>606</v>
      </c>
      <c r="TPG337" s="42" t="s">
        <v>606</v>
      </c>
      <c r="TPH337" s="42" t="s">
        <v>606</v>
      </c>
      <c r="TPI337" s="42" t="s">
        <v>606</v>
      </c>
      <c r="TPJ337" s="42" t="s">
        <v>606</v>
      </c>
      <c r="TPK337" s="42" t="s">
        <v>606</v>
      </c>
      <c r="TPL337" s="42" t="s">
        <v>606</v>
      </c>
      <c r="TPM337" s="42" t="s">
        <v>606</v>
      </c>
      <c r="TPN337" s="42" t="s">
        <v>606</v>
      </c>
      <c r="TPO337" s="42" t="s">
        <v>606</v>
      </c>
      <c r="TPP337" s="42" t="s">
        <v>606</v>
      </c>
      <c r="TPQ337" s="42" t="s">
        <v>606</v>
      </c>
      <c r="TPR337" s="42" t="s">
        <v>606</v>
      </c>
      <c r="TPS337" s="42" t="s">
        <v>606</v>
      </c>
      <c r="TPT337" s="42" t="s">
        <v>606</v>
      </c>
      <c r="TPU337" s="42" t="s">
        <v>606</v>
      </c>
      <c r="TPV337" s="42" t="s">
        <v>606</v>
      </c>
      <c r="TPW337" s="42" t="s">
        <v>606</v>
      </c>
      <c r="TPX337" s="42" t="s">
        <v>606</v>
      </c>
      <c r="TPY337" s="42" t="s">
        <v>606</v>
      </c>
      <c r="TPZ337" s="42" t="s">
        <v>606</v>
      </c>
      <c r="TQA337" s="42" t="s">
        <v>606</v>
      </c>
      <c r="TQB337" s="42" t="s">
        <v>606</v>
      </c>
      <c r="TQC337" s="42" t="s">
        <v>606</v>
      </c>
      <c r="TQD337" s="42" t="s">
        <v>606</v>
      </c>
      <c r="TQE337" s="42" t="s">
        <v>606</v>
      </c>
      <c r="TQF337" s="42" t="s">
        <v>606</v>
      </c>
      <c r="TQG337" s="42" t="s">
        <v>606</v>
      </c>
      <c r="TQH337" s="42" t="s">
        <v>606</v>
      </c>
      <c r="TQI337" s="42" t="s">
        <v>606</v>
      </c>
      <c r="TQJ337" s="42" t="s">
        <v>606</v>
      </c>
      <c r="TQK337" s="42" t="s">
        <v>606</v>
      </c>
      <c r="TQL337" s="42" t="s">
        <v>606</v>
      </c>
      <c r="TQM337" s="42" t="s">
        <v>606</v>
      </c>
      <c r="TQN337" s="42" t="s">
        <v>606</v>
      </c>
      <c r="TQO337" s="42" t="s">
        <v>606</v>
      </c>
      <c r="TQP337" s="42" t="s">
        <v>606</v>
      </c>
      <c r="TQQ337" s="42" t="s">
        <v>606</v>
      </c>
      <c r="TQR337" s="42" t="s">
        <v>606</v>
      </c>
      <c r="TQS337" s="42" t="s">
        <v>606</v>
      </c>
      <c r="TQT337" s="42" t="s">
        <v>606</v>
      </c>
      <c r="TQU337" s="42" t="s">
        <v>606</v>
      </c>
      <c r="TQV337" s="42" t="s">
        <v>606</v>
      </c>
      <c r="TQW337" s="42" t="s">
        <v>606</v>
      </c>
      <c r="TQX337" s="42" t="s">
        <v>606</v>
      </c>
      <c r="TQY337" s="42" t="s">
        <v>606</v>
      </c>
      <c r="TQZ337" s="42" t="s">
        <v>606</v>
      </c>
      <c r="TRA337" s="42" t="s">
        <v>606</v>
      </c>
      <c r="TRB337" s="42" t="s">
        <v>606</v>
      </c>
      <c r="TRC337" s="42" t="s">
        <v>606</v>
      </c>
      <c r="TRD337" s="42" t="s">
        <v>606</v>
      </c>
      <c r="TRE337" s="42" t="s">
        <v>606</v>
      </c>
      <c r="TRF337" s="42" t="s">
        <v>606</v>
      </c>
      <c r="TRG337" s="42" t="s">
        <v>606</v>
      </c>
      <c r="TRH337" s="42" t="s">
        <v>606</v>
      </c>
      <c r="TRI337" s="42" t="s">
        <v>606</v>
      </c>
      <c r="TRJ337" s="42" t="s">
        <v>606</v>
      </c>
      <c r="TRK337" s="42" t="s">
        <v>606</v>
      </c>
      <c r="TRL337" s="42" t="s">
        <v>606</v>
      </c>
      <c r="TRM337" s="42" t="s">
        <v>606</v>
      </c>
      <c r="TRN337" s="42" t="s">
        <v>606</v>
      </c>
      <c r="TRO337" s="42" t="s">
        <v>606</v>
      </c>
      <c r="TRP337" s="42" t="s">
        <v>606</v>
      </c>
      <c r="TRQ337" s="42" t="s">
        <v>606</v>
      </c>
      <c r="TRR337" s="42" t="s">
        <v>606</v>
      </c>
      <c r="TRS337" s="42" t="s">
        <v>606</v>
      </c>
      <c r="TRT337" s="42" t="s">
        <v>606</v>
      </c>
      <c r="TRU337" s="42" t="s">
        <v>606</v>
      </c>
      <c r="TRV337" s="42" t="s">
        <v>606</v>
      </c>
      <c r="TRW337" s="42" t="s">
        <v>606</v>
      </c>
      <c r="TRX337" s="42" t="s">
        <v>606</v>
      </c>
      <c r="TRY337" s="42" t="s">
        <v>606</v>
      </c>
      <c r="TRZ337" s="42" t="s">
        <v>606</v>
      </c>
      <c r="TSA337" s="42" t="s">
        <v>606</v>
      </c>
      <c r="TSB337" s="42" t="s">
        <v>606</v>
      </c>
      <c r="TSC337" s="42" t="s">
        <v>606</v>
      </c>
      <c r="TSD337" s="42" t="s">
        <v>606</v>
      </c>
      <c r="TSE337" s="42" t="s">
        <v>606</v>
      </c>
      <c r="TSF337" s="42" t="s">
        <v>606</v>
      </c>
      <c r="TSG337" s="42" t="s">
        <v>606</v>
      </c>
      <c r="TSH337" s="42" t="s">
        <v>606</v>
      </c>
      <c r="TSI337" s="42" t="s">
        <v>606</v>
      </c>
      <c r="TSJ337" s="42" t="s">
        <v>606</v>
      </c>
      <c r="TSK337" s="42" t="s">
        <v>606</v>
      </c>
      <c r="TSL337" s="42" t="s">
        <v>606</v>
      </c>
      <c r="TSM337" s="42" t="s">
        <v>606</v>
      </c>
      <c r="TSN337" s="42" t="s">
        <v>606</v>
      </c>
      <c r="TSO337" s="42" t="s">
        <v>606</v>
      </c>
      <c r="TSP337" s="42" t="s">
        <v>606</v>
      </c>
      <c r="TSQ337" s="42" t="s">
        <v>606</v>
      </c>
      <c r="TSR337" s="42" t="s">
        <v>606</v>
      </c>
      <c r="TSS337" s="42" t="s">
        <v>606</v>
      </c>
      <c r="TST337" s="42" t="s">
        <v>606</v>
      </c>
      <c r="TSU337" s="42" t="s">
        <v>606</v>
      </c>
      <c r="TSV337" s="42" t="s">
        <v>606</v>
      </c>
      <c r="TSW337" s="42" t="s">
        <v>606</v>
      </c>
      <c r="TSX337" s="42" t="s">
        <v>606</v>
      </c>
      <c r="TSY337" s="42" t="s">
        <v>606</v>
      </c>
      <c r="TSZ337" s="42" t="s">
        <v>606</v>
      </c>
      <c r="TTA337" s="42" t="s">
        <v>606</v>
      </c>
      <c r="TTB337" s="42" t="s">
        <v>606</v>
      </c>
      <c r="TTC337" s="42" t="s">
        <v>606</v>
      </c>
      <c r="TTD337" s="42" t="s">
        <v>606</v>
      </c>
      <c r="TTE337" s="42" t="s">
        <v>606</v>
      </c>
      <c r="TTF337" s="42" t="s">
        <v>606</v>
      </c>
      <c r="TTG337" s="42" t="s">
        <v>606</v>
      </c>
      <c r="TTH337" s="42" t="s">
        <v>606</v>
      </c>
      <c r="TTI337" s="42" t="s">
        <v>606</v>
      </c>
      <c r="TTJ337" s="42" t="s">
        <v>606</v>
      </c>
      <c r="TTK337" s="42" t="s">
        <v>606</v>
      </c>
      <c r="TTL337" s="42" t="s">
        <v>606</v>
      </c>
      <c r="TTM337" s="42" t="s">
        <v>606</v>
      </c>
      <c r="TTN337" s="42" t="s">
        <v>606</v>
      </c>
      <c r="TTO337" s="42" t="s">
        <v>606</v>
      </c>
      <c r="TTP337" s="42" t="s">
        <v>606</v>
      </c>
      <c r="TTQ337" s="42" t="s">
        <v>606</v>
      </c>
      <c r="TTR337" s="42" t="s">
        <v>606</v>
      </c>
      <c r="TTS337" s="42" t="s">
        <v>606</v>
      </c>
      <c r="TTT337" s="42" t="s">
        <v>606</v>
      </c>
      <c r="TTU337" s="42" t="s">
        <v>606</v>
      </c>
      <c r="TTV337" s="42" t="s">
        <v>606</v>
      </c>
      <c r="TTW337" s="42" t="s">
        <v>606</v>
      </c>
      <c r="TTX337" s="42" t="s">
        <v>606</v>
      </c>
      <c r="TTY337" s="42" t="s">
        <v>606</v>
      </c>
      <c r="TTZ337" s="42" t="s">
        <v>606</v>
      </c>
      <c r="TUA337" s="42" t="s">
        <v>606</v>
      </c>
      <c r="TUB337" s="42" t="s">
        <v>606</v>
      </c>
      <c r="TUC337" s="42" t="s">
        <v>606</v>
      </c>
      <c r="TUD337" s="42" t="s">
        <v>606</v>
      </c>
      <c r="TUE337" s="42" t="s">
        <v>606</v>
      </c>
      <c r="TUF337" s="42" t="s">
        <v>606</v>
      </c>
      <c r="TUG337" s="42" t="s">
        <v>606</v>
      </c>
      <c r="TUH337" s="42" t="s">
        <v>606</v>
      </c>
      <c r="TUI337" s="42" t="s">
        <v>606</v>
      </c>
      <c r="TUJ337" s="42" t="s">
        <v>606</v>
      </c>
      <c r="TUK337" s="42" t="s">
        <v>606</v>
      </c>
      <c r="TUL337" s="42" t="s">
        <v>606</v>
      </c>
      <c r="TUM337" s="42" t="s">
        <v>606</v>
      </c>
      <c r="TUN337" s="42" t="s">
        <v>606</v>
      </c>
      <c r="TUO337" s="42" t="s">
        <v>606</v>
      </c>
      <c r="TUP337" s="42" t="s">
        <v>606</v>
      </c>
      <c r="TUQ337" s="42" t="s">
        <v>606</v>
      </c>
      <c r="TUR337" s="42" t="s">
        <v>606</v>
      </c>
      <c r="TUS337" s="42" t="s">
        <v>606</v>
      </c>
      <c r="TUT337" s="42" t="s">
        <v>606</v>
      </c>
      <c r="TUU337" s="42" t="s">
        <v>606</v>
      </c>
      <c r="TUV337" s="42" t="s">
        <v>606</v>
      </c>
      <c r="TUW337" s="42" t="s">
        <v>606</v>
      </c>
      <c r="TUX337" s="42" t="s">
        <v>606</v>
      </c>
      <c r="TUY337" s="42" t="s">
        <v>606</v>
      </c>
      <c r="TUZ337" s="42" t="s">
        <v>606</v>
      </c>
      <c r="TVA337" s="42" t="s">
        <v>606</v>
      </c>
      <c r="TVB337" s="42" t="s">
        <v>606</v>
      </c>
      <c r="TVC337" s="42" t="s">
        <v>606</v>
      </c>
      <c r="TVD337" s="42" t="s">
        <v>606</v>
      </c>
      <c r="TVE337" s="42" t="s">
        <v>606</v>
      </c>
      <c r="TVF337" s="42" t="s">
        <v>606</v>
      </c>
      <c r="TVG337" s="42" t="s">
        <v>606</v>
      </c>
      <c r="TVH337" s="42" t="s">
        <v>606</v>
      </c>
      <c r="TVI337" s="42" t="s">
        <v>606</v>
      </c>
      <c r="TVJ337" s="42" t="s">
        <v>606</v>
      </c>
      <c r="TVK337" s="42" t="s">
        <v>606</v>
      </c>
      <c r="TVL337" s="42" t="s">
        <v>606</v>
      </c>
      <c r="TVM337" s="42" t="s">
        <v>606</v>
      </c>
      <c r="TVN337" s="42" t="s">
        <v>606</v>
      </c>
      <c r="TVO337" s="42" t="s">
        <v>606</v>
      </c>
      <c r="TVP337" s="42" t="s">
        <v>606</v>
      </c>
      <c r="TVQ337" s="42" t="s">
        <v>606</v>
      </c>
      <c r="TVR337" s="42" t="s">
        <v>606</v>
      </c>
      <c r="TVS337" s="42" t="s">
        <v>606</v>
      </c>
      <c r="TVT337" s="42" t="s">
        <v>606</v>
      </c>
      <c r="TVU337" s="42" t="s">
        <v>606</v>
      </c>
      <c r="TVV337" s="42" t="s">
        <v>606</v>
      </c>
      <c r="TVW337" s="42" t="s">
        <v>606</v>
      </c>
      <c r="TVX337" s="42" t="s">
        <v>606</v>
      </c>
      <c r="TVY337" s="42" t="s">
        <v>606</v>
      </c>
      <c r="TVZ337" s="42" t="s">
        <v>606</v>
      </c>
      <c r="TWA337" s="42" t="s">
        <v>606</v>
      </c>
      <c r="TWB337" s="42" t="s">
        <v>606</v>
      </c>
      <c r="TWC337" s="42" t="s">
        <v>606</v>
      </c>
      <c r="TWD337" s="42" t="s">
        <v>606</v>
      </c>
      <c r="TWE337" s="42" t="s">
        <v>606</v>
      </c>
      <c r="TWF337" s="42" t="s">
        <v>606</v>
      </c>
      <c r="TWG337" s="42" t="s">
        <v>606</v>
      </c>
      <c r="TWH337" s="42" t="s">
        <v>606</v>
      </c>
      <c r="TWI337" s="42" t="s">
        <v>606</v>
      </c>
      <c r="TWJ337" s="42" t="s">
        <v>606</v>
      </c>
      <c r="TWK337" s="42" t="s">
        <v>606</v>
      </c>
      <c r="TWL337" s="42" t="s">
        <v>606</v>
      </c>
      <c r="TWM337" s="42" t="s">
        <v>606</v>
      </c>
      <c r="TWN337" s="42" t="s">
        <v>606</v>
      </c>
      <c r="TWO337" s="42" t="s">
        <v>606</v>
      </c>
      <c r="TWP337" s="42" t="s">
        <v>606</v>
      </c>
      <c r="TWQ337" s="42" t="s">
        <v>606</v>
      </c>
      <c r="TWR337" s="42" t="s">
        <v>606</v>
      </c>
      <c r="TWS337" s="42" t="s">
        <v>606</v>
      </c>
      <c r="TWT337" s="42" t="s">
        <v>606</v>
      </c>
      <c r="TWU337" s="42" t="s">
        <v>606</v>
      </c>
      <c r="TWV337" s="42" t="s">
        <v>606</v>
      </c>
      <c r="TWW337" s="42" t="s">
        <v>606</v>
      </c>
      <c r="TWX337" s="42" t="s">
        <v>606</v>
      </c>
      <c r="TWY337" s="42" t="s">
        <v>606</v>
      </c>
      <c r="TWZ337" s="42" t="s">
        <v>606</v>
      </c>
      <c r="TXA337" s="42" t="s">
        <v>606</v>
      </c>
      <c r="TXB337" s="42" t="s">
        <v>606</v>
      </c>
      <c r="TXC337" s="42" t="s">
        <v>606</v>
      </c>
      <c r="TXD337" s="42" t="s">
        <v>606</v>
      </c>
      <c r="TXE337" s="42" t="s">
        <v>606</v>
      </c>
      <c r="TXF337" s="42" t="s">
        <v>606</v>
      </c>
      <c r="TXG337" s="42" t="s">
        <v>606</v>
      </c>
      <c r="TXH337" s="42" t="s">
        <v>606</v>
      </c>
      <c r="TXI337" s="42" t="s">
        <v>606</v>
      </c>
      <c r="TXJ337" s="42" t="s">
        <v>606</v>
      </c>
      <c r="TXK337" s="42" t="s">
        <v>606</v>
      </c>
      <c r="TXL337" s="42" t="s">
        <v>606</v>
      </c>
      <c r="TXM337" s="42" t="s">
        <v>606</v>
      </c>
      <c r="TXN337" s="42" t="s">
        <v>606</v>
      </c>
      <c r="TXO337" s="42" t="s">
        <v>606</v>
      </c>
      <c r="TXP337" s="42" t="s">
        <v>606</v>
      </c>
      <c r="TXQ337" s="42" t="s">
        <v>606</v>
      </c>
      <c r="TXR337" s="42" t="s">
        <v>606</v>
      </c>
      <c r="TXS337" s="42" t="s">
        <v>606</v>
      </c>
      <c r="TXT337" s="42" t="s">
        <v>606</v>
      </c>
      <c r="TXU337" s="42" t="s">
        <v>606</v>
      </c>
      <c r="TXV337" s="42" t="s">
        <v>606</v>
      </c>
      <c r="TXW337" s="42" t="s">
        <v>606</v>
      </c>
      <c r="TXX337" s="42" t="s">
        <v>606</v>
      </c>
      <c r="TXY337" s="42" t="s">
        <v>606</v>
      </c>
      <c r="TXZ337" s="42" t="s">
        <v>606</v>
      </c>
      <c r="TYA337" s="42" t="s">
        <v>606</v>
      </c>
      <c r="TYB337" s="42" t="s">
        <v>606</v>
      </c>
      <c r="TYC337" s="42" t="s">
        <v>606</v>
      </c>
      <c r="TYD337" s="42" t="s">
        <v>606</v>
      </c>
      <c r="TYE337" s="42" t="s">
        <v>606</v>
      </c>
      <c r="TYF337" s="42" t="s">
        <v>606</v>
      </c>
      <c r="TYG337" s="42" t="s">
        <v>606</v>
      </c>
      <c r="TYH337" s="42" t="s">
        <v>606</v>
      </c>
      <c r="TYI337" s="42" t="s">
        <v>606</v>
      </c>
      <c r="TYJ337" s="42" t="s">
        <v>606</v>
      </c>
      <c r="TYK337" s="42" t="s">
        <v>606</v>
      </c>
      <c r="TYL337" s="42" t="s">
        <v>606</v>
      </c>
      <c r="TYM337" s="42" t="s">
        <v>606</v>
      </c>
      <c r="TYN337" s="42" t="s">
        <v>606</v>
      </c>
      <c r="TYO337" s="42" t="s">
        <v>606</v>
      </c>
      <c r="TYP337" s="42" t="s">
        <v>606</v>
      </c>
      <c r="TYQ337" s="42" t="s">
        <v>606</v>
      </c>
      <c r="TYR337" s="42" t="s">
        <v>606</v>
      </c>
      <c r="TYS337" s="42" t="s">
        <v>606</v>
      </c>
      <c r="TYT337" s="42" t="s">
        <v>606</v>
      </c>
      <c r="TYU337" s="42" t="s">
        <v>606</v>
      </c>
      <c r="TYV337" s="42" t="s">
        <v>606</v>
      </c>
      <c r="TYW337" s="42" t="s">
        <v>606</v>
      </c>
      <c r="TYX337" s="42" t="s">
        <v>606</v>
      </c>
      <c r="TYY337" s="42" t="s">
        <v>606</v>
      </c>
      <c r="TYZ337" s="42" t="s">
        <v>606</v>
      </c>
      <c r="TZA337" s="42" t="s">
        <v>606</v>
      </c>
      <c r="TZB337" s="42" t="s">
        <v>606</v>
      </c>
      <c r="TZC337" s="42" t="s">
        <v>606</v>
      </c>
      <c r="TZD337" s="42" t="s">
        <v>606</v>
      </c>
      <c r="TZE337" s="42" t="s">
        <v>606</v>
      </c>
      <c r="TZF337" s="42" t="s">
        <v>606</v>
      </c>
      <c r="TZG337" s="42" t="s">
        <v>606</v>
      </c>
      <c r="TZH337" s="42" t="s">
        <v>606</v>
      </c>
      <c r="TZI337" s="42" t="s">
        <v>606</v>
      </c>
      <c r="TZJ337" s="42" t="s">
        <v>606</v>
      </c>
      <c r="TZK337" s="42" t="s">
        <v>606</v>
      </c>
      <c r="TZL337" s="42" t="s">
        <v>606</v>
      </c>
      <c r="TZM337" s="42" t="s">
        <v>606</v>
      </c>
      <c r="TZN337" s="42" t="s">
        <v>606</v>
      </c>
      <c r="TZO337" s="42" t="s">
        <v>606</v>
      </c>
      <c r="TZP337" s="42" t="s">
        <v>606</v>
      </c>
      <c r="TZQ337" s="42" t="s">
        <v>606</v>
      </c>
      <c r="TZR337" s="42" t="s">
        <v>606</v>
      </c>
      <c r="TZS337" s="42" t="s">
        <v>606</v>
      </c>
      <c r="TZT337" s="42" t="s">
        <v>606</v>
      </c>
      <c r="TZU337" s="42" t="s">
        <v>606</v>
      </c>
      <c r="TZV337" s="42" t="s">
        <v>606</v>
      </c>
      <c r="TZW337" s="42" t="s">
        <v>606</v>
      </c>
      <c r="TZX337" s="42" t="s">
        <v>606</v>
      </c>
      <c r="TZY337" s="42" t="s">
        <v>606</v>
      </c>
      <c r="TZZ337" s="42" t="s">
        <v>606</v>
      </c>
      <c r="UAA337" s="42" t="s">
        <v>606</v>
      </c>
      <c r="UAB337" s="42" t="s">
        <v>606</v>
      </c>
      <c r="UAC337" s="42" t="s">
        <v>606</v>
      </c>
      <c r="UAD337" s="42" t="s">
        <v>606</v>
      </c>
      <c r="UAE337" s="42" t="s">
        <v>606</v>
      </c>
      <c r="UAF337" s="42" t="s">
        <v>606</v>
      </c>
      <c r="UAG337" s="42" t="s">
        <v>606</v>
      </c>
      <c r="UAH337" s="42" t="s">
        <v>606</v>
      </c>
      <c r="UAI337" s="42" t="s">
        <v>606</v>
      </c>
      <c r="UAJ337" s="42" t="s">
        <v>606</v>
      </c>
      <c r="UAK337" s="42" t="s">
        <v>606</v>
      </c>
      <c r="UAL337" s="42" t="s">
        <v>606</v>
      </c>
      <c r="UAM337" s="42" t="s">
        <v>606</v>
      </c>
      <c r="UAN337" s="42" t="s">
        <v>606</v>
      </c>
      <c r="UAO337" s="42" t="s">
        <v>606</v>
      </c>
      <c r="UAP337" s="42" t="s">
        <v>606</v>
      </c>
      <c r="UAQ337" s="42" t="s">
        <v>606</v>
      </c>
      <c r="UAR337" s="42" t="s">
        <v>606</v>
      </c>
      <c r="UAS337" s="42" t="s">
        <v>606</v>
      </c>
      <c r="UAT337" s="42" t="s">
        <v>606</v>
      </c>
      <c r="UAU337" s="42" t="s">
        <v>606</v>
      </c>
      <c r="UAV337" s="42" t="s">
        <v>606</v>
      </c>
      <c r="UAW337" s="42" t="s">
        <v>606</v>
      </c>
      <c r="UAX337" s="42" t="s">
        <v>606</v>
      </c>
      <c r="UAY337" s="42" t="s">
        <v>606</v>
      </c>
      <c r="UAZ337" s="42" t="s">
        <v>606</v>
      </c>
      <c r="UBA337" s="42" t="s">
        <v>606</v>
      </c>
      <c r="UBB337" s="42" t="s">
        <v>606</v>
      </c>
      <c r="UBC337" s="42" t="s">
        <v>606</v>
      </c>
      <c r="UBD337" s="42" t="s">
        <v>606</v>
      </c>
      <c r="UBE337" s="42" t="s">
        <v>606</v>
      </c>
      <c r="UBF337" s="42" t="s">
        <v>606</v>
      </c>
      <c r="UBG337" s="42" t="s">
        <v>606</v>
      </c>
      <c r="UBH337" s="42" t="s">
        <v>606</v>
      </c>
      <c r="UBI337" s="42" t="s">
        <v>606</v>
      </c>
      <c r="UBJ337" s="42" t="s">
        <v>606</v>
      </c>
      <c r="UBK337" s="42" t="s">
        <v>606</v>
      </c>
      <c r="UBL337" s="42" t="s">
        <v>606</v>
      </c>
      <c r="UBM337" s="42" t="s">
        <v>606</v>
      </c>
      <c r="UBN337" s="42" t="s">
        <v>606</v>
      </c>
      <c r="UBO337" s="42" t="s">
        <v>606</v>
      </c>
      <c r="UBP337" s="42" t="s">
        <v>606</v>
      </c>
      <c r="UBQ337" s="42" t="s">
        <v>606</v>
      </c>
      <c r="UBR337" s="42" t="s">
        <v>606</v>
      </c>
      <c r="UBS337" s="42" t="s">
        <v>606</v>
      </c>
      <c r="UBT337" s="42" t="s">
        <v>606</v>
      </c>
      <c r="UBU337" s="42" t="s">
        <v>606</v>
      </c>
      <c r="UBV337" s="42" t="s">
        <v>606</v>
      </c>
      <c r="UBW337" s="42" t="s">
        <v>606</v>
      </c>
      <c r="UBX337" s="42" t="s">
        <v>606</v>
      </c>
      <c r="UBY337" s="42" t="s">
        <v>606</v>
      </c>
      <c r="UBZ337" s="42" t="s">
        <v>606</v>
      </c>
      <c r="UCA337" s="42" t="s">
        <v>606</v>
      </c>
      <c r="UCB337" s="42" t="s">
        <v>606</v>
      </c>
      <c r="UCC337" s="42" t="s">
        <v>606</v>
      </c>
      <c r="UCD337" s="42" t="s">
        <v>606</v>
      </c>
      <c r="UCE337" s="42" t="s">
        <v>606</v>
      </c>
      <c r="UCF337" s="42" t="s">
        <v>606</v>
      </c>
      <c r="UCG337" s="42" t="s">
        <v>606</v>
      </c>
      <c r="UCH337" s="42" t="s">
        <v>606</v>
      </c>
      <c r="UCI337" s="42" t="s">
        <v>606</v>
      </c>
      <c r="UCJ337" s="42" t="s">
        <v>606</v>
      </c>
      <c r="UCK337" s="42" t="s">
        <v>606</v>
      </c>
      <c r="UCL337" s="42" t="s">
        <v>606</v>
      </c>
      <c r="UCM337" s="42" t="s">
        <v>606</v>
      </c>
      <c r="UCN337" s="42" t="s">
        <v>606</v>
      </c>
      <c r="UCO337" s="42" t="s">
        <v>606</v>
      </c>
      <c r="UCP337" s="42" t="s">
        <v>606</v>
      </c>
      <c r="UCQ337" s="42" t="s">
        <v>606</v>
      </c>
      <c r="UCR337" s="42" t="s">
        <v>606</v>
      </c>
      <c r="UCS337" s="42" t="s">
        <v>606</v>
      </c>
      <c r="UCT337" s="42" t="s">
        <v>606</v>
      </c>
      <c r="UCU337" s="42" t="s">
        <v>606</v>
      </c>
      <c r="UCV337" s="42" t="s">
        <v>606</v>
      </c>
      <c r="UCW337" s="42" t="s">
        <v>606</v>
      </c>
      <c r="UCX337" s="42" t="s">
        <v>606</v>
      </c>
      <c r="UCY337" s="42" t="s">
        <v>606</v>
      </c>
      <c r="UCZ337" s="42" t="s">
        <v>606</v>
      </c>
      <c r="UDA337" s="42" t="s">
        <v>606</v>
      </c>
      <c r="UDB337" s="42" t="s">
        <v>606</v>
      </c>
      <c r="UDC337" s="42" t="s">
        <v>606</v>
      </c>
      <c r="UDD337" s="42" t="s">
        <v>606</v>
      </c>
      <c r="UDE337" s="42" t="s">
        <v>606</v>
      </c>
      <c r="UDF337" s="42" t="s">
        <v>606</v>
      </c>
      <c r="UDG337" s="42" t="s">
        <v>606</v>
      </c>
      <c r="UDH337" s="42" t="s">
        <v>606</v>
      </c>
      <c r="UDI337" s="42" t="s">
        <v>606</v>
      </c>
      <c r="UDJ337" s="42" t="s">
        <v>606</v>
      </c>
      <c r="UDK337" s="42" t="s">
        <v>606</v>
      </c>
      <c r="UDL337" s="42" t="s">
        <v>606</v>
      </c>
      <c r="UDM337" s="42" t="s">
        <v>606</v>
      </c>
      <c r="UDN337" s="42" t="s">
        <v>606</v>
      </c>
      <c r="UDO337" s="42" t="s">
        <v>606</v>
      </c>
      <c r="UDP337" s="42" t="s">
        <v>606</v>
      </c>
      <c r="UDQ337" s="42" t="s">
        <v>606</v>
      </c>
      <c r="UDR337" s="42" t="s">
        <v>606</v>
      </c>
      <c r="UDS337" s="42" t="s">
        <v>606</v>
      </c>
      <c r="UDT337" s="42" t="s">
        <v>606</v>
      </c>
      <c r="UDU337" s="42" t="s">
        <v>606</v>
      </c>
      <c r="UDV337" s="42" t="s">
        <v>606</v>
      </c>
      <c r="UDW337" s="42" t="s">
        <v>606</v>
      </c>
      <c r="UDX337" s="42" t="s">
        <v>606</v>
      </c>
      <c r="UDY337" s="42" t="s">
        <v>606</v>
      </c>
      <c r="UDZ337" s="42" t="s">
        <v>606</v>
      </c>
      <c r="UEA337" s="42" t="s">
        <v>606</v>
      </c>
      <c r="UEB337" s="42" t="s">
        <v>606</v>
      </c>
      <c r="UEC337" s="42" t="s">
        <v>606</v>
      </c>
      <c r="UED337" s="42" t="s">
        <v>606</v>
      </c>
      <c r="UEE337" s="42" t="s">
        <v>606</v>
      </c>
      <c r="UEF337" s="42" t="s">
        <v>606</v>
      </c>
      <c r="UEG337" s="42" t="s">
        <v>606</v>
      </c>
      <c r="UEH337" s="42" t="s">
        <v>606</v>
      </c>
      <c r="UEI337" s="42" t="s">
        <v>606</v>
      </c>
      <c r="UEJ337" s="42" t="s">
        <v>606</v>
      </c>
      <c r="UEK337" s="42" t="s">
        <v>606</v>
      </c>
      <c r="UEL337" s="42" t="s">
        <v>606</v>
      </c>
      <c r="UEM337" s="42" t="s">
        <v>606</v>
      </c>
      <c r="UEN337" s="42" t="s">
        <v>606</v>
      </c>
      <c r="UEO337" s="42" t="s">
        <v>606</v>
      </c>
      <c r="UEP337" s="42" t="s">
        <v>606</v>
      </c>
      <c r="UEQ337" s="42" t="s">
        <v>606</v>
      </c>
      <c r="UER337" s="42" t="s">
        <v>606</v>
      </c>
      <c r="UES337" s="42" t="s">
        <v>606</v>
      </c>
      <c r="UET337" s="42" t="s">
        <v>606</v>
      </c>
      <c r="UEU337" s="42" t="s">
        <v>606</v>
      </c>
      <c r="UEV337" s="42" t="s">
        <v>606</v>
      </c>
      <c r="UEW337" s="42" t="s">
        <v>606</v>
      </c>
      <c r="UEX337" s="42" t="s">
        <v>606</v>
      </c>
      <c r="UEY337" s="42" t="s">
        <v>606</v>
      </c>
      <c r="UEZ337" s="42" t="s">
        <v>606</v>
      </c>
      <c r="UFA337" s="42" t="s">
        <v>606</v>
      </c>
      <c r="UFB337" s="42" t="s">
        <v>606</v>
      </c>
      <c r="UFC337" s="42" t="s">
        <v>606</v>
      </c>
      <c r="UFD337" s="42" t="s">
        <v>606</v>
      </c>
      <c r="UFE337" s="42" t="s">
        <v>606</v>
      </c>
      <c r="UFF337" s="42" t="s">
        <v>606</v>
      </c>
      <c r="UFG337" s="42" t="s">
        <v>606</v>
      </c>
      <c r="UFH337" s="42" t="s">
        <v>606</v>
      </c>
      <c r="UFI337" s="42" t="s">
        <v>606</v>
      </c>
      <c r="UFJ337" s="42" t="s">
        <v>606</v>
      </c>
      <c r="UFK337" s="42" t="s">
        <v>606</v>
      </c>
      <c r="UFL337" s="42" t="s">
        <v>606</v>
      </c>
      <c r="UFM337" s="42" t="s">
        <v>606</v>
      </c>
      <c r="UFN337" s="42" t="s">
        <v>606</v>
      </c>
      <c r="UFO337" s="42" t="s">
        <v>606</v>
      </c>
      <c r="UFP337" s="42" t="s">
        <v>606</v>
      </c>
      <c r="UFQ337" s="42" t="s">
        <v>606</v>
      </c>
      <c r="UFR337" s="42" t="s">
        <v>606</v>
      </c>
      <c r="UFS337" s="42" t="s">
        <v>606</v>
      </c>
      <c r="UFT337" s="42" t="s">
        <v>606</v>
      </c>
      <c r="UFU337" s="42" t="s">
        <v>606</v>
      </c>
      <c r="UFV337" s="42" t="s">
        <v>606</v>
      </c>
      <c r="UFW337" s="42" t="s">
        <v>606</v>
      </c>
      <c r="UFX337" s="42" t="s">
        <v>606</v>
      </c>
      <c r="UFY337" s="42" t="s">
        <v>606</v>
      </c>
      <c r="UFZ337" s="42" t="s">
        <v>606</v>
      </c>
      <c r="UGA337" s="42" t="s">
        <v>606</v>
      </c>
      <c r="UGB337" s="42" t="s">
        <v>606</v>
      </c>
      <c r="UGC337" s="42" t="s">
        <v>606</v>
      </c>
      <c r="UGD337" s="42" t="s">
        <v>606</v>
      </c>
      <c r="UGE337" s="42" t="s">
        <v>606</v>
      </c>
      <c r="UGF337" s="42" t="s">
        <v>606</v>
      </c>
      <c r="UGG337" s="42" t="s">
        <v>606</v>
      </c>
      <c r="UGH337" s="42" t="s">
        <v>606</v>
      </c>
      <c r="UGI337" s="42" t="s">
        <v>606</v>
      </c>
      <c r="UGJ337" s="42" t="s">
        <v>606</v>
      </c>
      <c r="UGK337" s="42" t="s">
        <v>606</v>
      </c>
      <c r="UGL337" s="42" t="s">
        <v>606</v>
      </c>
      <c r="UGM337" s="42" t="s">
        <v>606</v>
      </c>
      <c r="UGN337" s="42" t="s">
        <v>606</v>
      </c>
      <c r="UGO337" s="42" t="s">
        <v>606</v>
      </c>
      <c r="UGP337" s="42" t="s">
        <v>606</v>
      </c>
      <c r="UGQ337" s="42" t="s">
        <v>606</v>
      </c>
      <c r="UGR337" s="42" t="s">
        <v>606</v>
      </c>
      <c r="UGS337" s="42" t="s">
        <v>606</v>
      </c>
      <c r="UGT337" s="42" t="s">
        <v>606</v>
      </c>
      <c r="UGU337" s="42" t="s">
        <v>606</v>
      </c>
      <c r="UGV337" s="42" t="s">
        <v>606</v>
      </c>
      <c r="UGW337" s="42" t="s">
        <v>606</v>
      </c>
      <c r="UGX337" s="42" t="s">
        <v>606</v>
      </c>
      <c r="UGY337" s="42" t="s">
        <v>606</v>
      </c>
      <c r="UGZ337" s="42" t="s">
        <v>606</v>
      </c>
      <c r="UHA337" s="42" t="s">
        <v>606</v>
      </c>
      <c r="UHB337" s="42" t="s">
        <v>606</v>
      </c>
      <c r="UHC337" s="42" t="s">
        <v>606</v>
      </c>
      <c r="UHD337" s="42" t="s">
        <v>606</v>
      </c>
      <c r="UHE337" s="42" t="s">
        <v>606</v>
      </c>
      <c r="UHF337" s="42" t="s">
        <v>606</v>
      </c>
      <c r="UHG337" s="42" t="s">
        <v>606</v>
      </c>
      <c r="UHH337" s="42" t="s">
        <v>606</v>
      </c>
      <c r="UHI337" s="42" t="s">
        <v>606</v>
      </c>
      <c r="UHJ337" s="42" t="s">
        <v>606</v>
      </c>
      <c r="UHK337" s="42" t="s">
        <v>606</v>
      </c>
      <c r="UHL337" s="42" t="s">
        <v>606</v>
      </c>
      <c r="UHM337" s="42" t="s">
        <v>606</v>
      </c>
      <c r="UHN337" s="42" t="s">
        <v>606</v>
      </c>
      <c r="UHO337" s="42" t="s">
        <v>606</v>
      </c>
      <c r="UHP337" s="42" t="s">
        <v>606</v>
      </c>
      <c r="UHQ337" s="42" t="s">
        <v>606</v>
      </c>
      <c r="UHR337" s="42" t="s">
        <v>606</v>
      </c>
      <c r="UHS337" s="42" t="s">
        <v>606</v>
      </c>
      <c r="UHT337" s="42" t="s">
        <v>606</v>
      </c>
      <c r="UHU337" s="42" t="s">
        <v>606</v>
      </c>
      <c r="UHV337" s="42" t="s">
        <v>606</v>
      </c>
      <c r="UHW337" s="42" t="s">
        <v>606</v>
      </c>
      <c r="UHX337" s="42" t="s">
        <v>606</v>
      </c>
      <c r="UHY337" s="42" t="s">
        <v>606</v>
      </c>
      <c r="UHZ337" s="42" t="s">
        <v>606</v>
      </c>
      <c r="UIA337" s="42" t="s">
        <v>606</v>
      </c>
      <c r="UIB337" s="42" t="s">
        <v>606</v>
      </c>
      <c r="UIC337" s="42" t="s">
        <v>606</v>
      </c>
      <c r="UID337" s="42" t="s">
        <v>606</v>
      </c>
      <c r="UIE337" s="42" t="s">
        <v>606</v>
      </c>
      <c r="UIF337" s="42" t="s">
        <v>606</v>
      </c>
      <c r="UIG337" s="42" t="s">
        <v>606</v>
      </c>
      <c r="UIH337" s="42" t="s">
        <v>606</v>
      </c>
      <c r="UII337" s="42" t="s">
        <v>606</v>
      </c>
      <c r="UIJ337" s="42" t="s">
        <v>606</v>
      </c>
      <c r="UIK337" s="42" t="s">
        <v>606</v>
      </c>
      <c r="UIL337" s="42" t="s">
        <v>606</v>
      </c>
      <c r="UIM337" s="42" t="s">
        <v>606</v>
      </c>
      <c r="UIN337" s="42" t="s">
        <v>606</v>
      </c>
      <c r="UIO337" s="42" t="s">
        <v>606</v>
      </c>
      <c r="UIP337" s="42" t="s">
        <v>606</v>
      </c>
      <c r="UIQ337" s="42" t="s">
        <v>606</v>
      </c>
      <c r="UIR337" s="42" t="s">
        <v>606</v>
      </c>
      <c r="UIS337" s="42" t="s">
        <v>606</v>
      </c>
      <c r="UIT337" s="42" t="s">
        <v>606</v>
      </c>
      <c r="UIU337" s="42" t="s">
        <v>606</v>
      </c>
      <c r="UIV337" s="42" t="s">
        <v>606</v>
      </c>
      <c r="UIW337" s="42" t="s">
        <v>606</v>
      </c>
      <c r="UIX337" s="42" t="s">
        <v>606</v>
      </c>
      <c r="UIY337" s="42" t="s">
        <v>606</v>
      </c>
      <c r="UIZ337" s="42" t="s">
        <v>606</v>
      </c>
      <c r="UJA337" s="42" t="s">
        <v>606</v>
      </c>
      <c r="UJB337" s="42" t="s">
        <v>606</v>
      </c>
      <c r="UJC337" s="42" t="s">
        <v>606</v>
      </c>
      <c r="UJD337" s="42" t="s">
        <v>606</v>
      </c>
      <c r="UJE337" s="42" t="s">
        <v>606</v>
      </c>
      <c r="UJF337" s="42" t="s">
        <v>606</v>
      </c>
      <c r="UJG337" s="42" t="s">
        <v>606</v>
      </c>
      <c r="UJH337" s="42" t="s">
        <v>606</v>
      </c>
      <c r="UJI337" s="42" t="s">
        <v>606</v>
      </c>
      <c r="UJJ337" s="42" t="s">
        <v>606</v>
      </c>
      <c r="UJK337" s="42" t="s">
        <v>606</v>
      </c>
      <c r="UJL337" s="42" t="s">
        <v>606</v>
      </c>
      <c r="UJM337" s="42" t="s">
        <v>606</v>
      </c>
      <c r="UJN337" s="42" t="s">
        <v>606</v>
      </c>
      <c r="UJO337" s="42" t="s">
        <v>606</v>
      </c>
      <c r="UJP337" s="42" t="s">
        <v>606</v>
      </c>
      <c r="UJQ337" s="42" t="s">
        <v>606</v>
      </c>
      <c r="UJR337" s="42" t="s">
        <v>606</v>
      </c>
      <c r="UJS337" s="42" t="s">
        <v>606</v>
      </c>
      <c r="UJT337" s="42" t="s">
        <v>606</v>
      </c>
      <c r="UJU337" s="42" t="s">
        <v>606</v>
      </c>
      <c r="UJV337" s="42" t="s">
        <v>606</v>
      </c>
      <c r="UJW337" s="42" t="s">
        <v>606</v>
      </c>
      <c r="UJX337" s="42" t="s">
        <v>606</v>
      </c>
      <c r="UJY337" s="42" t="s">
        <v>606</v>
      </c>
      <c r="UJZ337" s="42" t="s">
        <v>606</v>
      </c>
      <c r="UKA337" s="42" t="s">
        <v>606</v>
      </c>
      <c r="UKB337" s="42" t="s">
        <v>606</v>
      </c>
      <c r="UKC337" s="42" t="s">
        <v>606</v>
      </c>
      <c r="UKD337" s="42" t="s">
        <v>606</v>
      </c>
      <c r="UKE337" s="42" t="s">
        <v>606</v>
      </c>
      <c r="UKF337" s="42" t="s">
        <v>606</v>
      </c>
      <c r="UKG337" s="42" t="s">
        <v>606</v>
      </c>
      <c r="UKH337" s="42" t="s">
        <v>606</v>
      </c>
      <c r="UKI337" s="42" t="s">
        <v>606</v>
      </c>
      <c r="UKJ337" s="42" t="s">
        <v>606</v>
      </c>
      <c r="UKK337" s="42" t="s">
        <v>606</v>
      </c>
      <c r="UKL337" s="42" t="s">
        <v>606</v>
      </c>
      <c r="UKM337" s="42" t="s">
        <v>606</v>
      </c>
      <c r="UKN337" s="42" t="s">
        <v>606</v>
      </c>
      <c r="UKO337" s="42" t="s">
        <v>606</v>
      </c>
      <c r="UKP337" s="42" t="s">
        <v>606</v>
      </c>
      <c r="UKQ337" s="42" t="s">
        <v>606</v>
      </c>
      <c r="UKR337" s="42" t="s">
        <v>606</v>
      </c>
      <c r="UKS337" s="42" t="s">
        <v>606</v>
      </c>
      <c r="UKT337" s="42" t="s">
        <v>606</v>
      </c>
      <c r="UKU337" s="42" t="s">
        <v>606</v>
      </c>
      <c r="UKV337" s="42" t="s">
        <v>606</v>
      </c>
      <c r="UKW337" s="42" t="s">
        <v>606</v>
      </c>
      <c r="UKX337" s="42" t="s">
        <v>606</v>
      </c>
      <c r="UKY337" s="42" t="s">
        <v>606</v>
      </c>
      <c r="UKZ337" s="42" t="s">
        <v>606</v>
      </c>
      <c r="ULA337" s="42" t="s">
        <v>606</v>
      </c>
      <c r="ULB337" s="42" t="s">
        <v>606</v>
      </c>
      <c r="ULC337" s="42" t="s">
        <v>606</v>
      </c>
      <c r="ULD337" s="42" t="s">
        <v>606</v>
      </c>
      <c r="ULE337" s="42" t="s">
        <v>606</v>
      </c>
      <c r="ULF337" s="42" t="s">
        <v>606</v>
      </c>
      <c r="ULG337" s="42" t="s">
        <v>606</v>
      </c>
      <c r="ULH337" s="42" t="s">
        <v>606</v>
      </c>
      <c r="ULI337" s="42" t="s">
        <v>606</v>
      </c>
      <c r="ULJ337" s="42" t="s">
        <v>606</v>
      </c>
      <c r="ULK337" s="42" t="s">
        <v>606</v>
      </c>
      <c r="ULL337" s="42" t="s">
        <v>606</v>
      </c>
      <c r="ULM337" s="42" t="s">
        <v>606</v>
      </c>
      <c r="ULN337" s="42" t="s">
        <v>606</v>
      </c>
      <c r="ULO337" s="42" t="s">
        <v>606</v>
      </c>
      <c r="ULP337" s="42" t="s">
        <v>606</v>
      </c>
      <c r="ULQ337" s="42" t="s">
        <v>606</v>
      </c>
      <c r="ULR337" s="42" t="s">
        <v>606</v>
      </c>
      <c r="ULS337" s="42" t="s">
        <v>606</v>
      </c>
      <c r="ULT337" s="42" t="s">
        <v>606</v>
      </c>
      <c r="ULU337" s="42" t="s">
        <v>606</v>
      </c>
      <c r="ULV337" s="42" t="s">
        <v>606</v>
      </c>
      <c r="ULW337" s="42" t="s">
        <v>606</v>
      </c>
      <c r="ULX337" s="42" t="s">
        <v>606</v>
      </c>
      <c r="ULY337" s="42" t="s">
        <v>606</v>
      </c>
      <c r="ULZ337" s="42" t="s">
        <v>606</v>
      </c>
      <c r="UMA337" s="42" t="s">
        <v>606</v>
      </c>
      <c r="UMB337" s="42" t="s">
        <v>606</v>
      </c>
      <c r="UMC337" s="42" t="s">
        <v>606</v>
      </c>
      <c r="UMD337" s="42" t="s">
        <v>606</v>
      </c>
      <c r="UME337" s="42" t="s">
        <v>606</v>
      </c>
      <c r="UMF337" s="42" t="s">
        <v>606</v>
      </c>
      <c r="UMG337" s="42" t="s">
        <v>606</v>
      </c>
      <c r="UMH337" s="42" t="s">
        <v>606</v>
      </c>
      <c r="UMI337" s="42" t="s">
        <v>606</v>
      </c>
      <c r="UMJ337" s="42" t="s">
        <v>606</v>
      </c>
      <c r="UMK337" s="42" t="s">
        <v>606</v>
      </c>
      <c r="UML337" s="42" t="s">
        <v>606</v>
      </c>
      <c r="UMM337" s="42" t="s">
        <v>606</v>
      </c>
      <c r="UMN337" s="42" t="s">
        <v>606</v>
      </c>
      <c r="UMO337" s="42" t="s">
        <v>606</v>
      </c>
      <c r="UMP337" s="42" t="s">
        <v>606</v>
      </c>
      <c r="UMQ337" s="42" t="s">
        <v>606</v>
      </c>
      <c r="UMR337" s="42" t="s">
        <v>606</v>
      </c>
      <c r="UMS337" s="42" t="s">
        <v>606</v>
      </c>
      <c r="UMT337" s="42" t="s">
        <v>606</v>
      </c>
      <c r="UMU337" s="42" t="s">
        <v>606</v>
      </c>
      <c r="UMV337" s="42" t="s">
        <v>606</v>
      </c>
      <c r="UMW337" s="42" t="s">
        <v>606</v>
      </c>
      <c r="UMX337" s="42" t="s">
        <v>606</v>
      </c>
      <c r="UMY337" s="42" t="s">
        <v>606</v>
      </c>
      <c r="UMZ337" s="42" t="s">
        <v>606</v>
      </c>
      <c r="UNA337" s="42" t="s">
        <v>606</v>
      </c>
      <c r="UNB337" s="42" t="s">
        <v>606</v>
      </c>
      <c r="UNC337" s="42" t="s">
        <v>606</v>
      </c>
      <c r="UND337" s="42" t="s">
        <v>606</v>
      </c>
      <c r="UNE337" s="42" t="s">
        <v>606</v>
      </c>
      <c r="UNF337" s="42" t="s">
        <v>606</v>
      </c>
      <c r="UNG337" s="42" t="s">
        <v>606</v>
      </c>
      <c r="UNH337" s="42" t="s">
        <v>606</v>
      </c>
      <c r="UNI337" s="42" t="s">
        <v>606</v>
      </c>
      <c r="UNJ337" s="42" t="s">
        <v>606</v>
      </c>
      <c r="UNK337" s="42" t="s">
        <v>606</v>
      </c>
      <c r="UNL337" s="42" t="s">
        <v>606</v>
      </c>
      <c r="UNM337" s="42" t="s">
        <v>606</v>
      </c>
      <c r="UNN337" s="42" t="s">
        <v>606</v>
      </c>
      <c r="UNO337" s="42" t="s">
        <v>606</v>
      </c>
      <c r="UNP337" s="42" t="s">
        <v>606</v>
      </c>
      <c r="UNQ337" s="42" t="s">
        <v>606</v>
      </c>
      <c r="UNR337" s="42" t="s">
        <v>606</v>
      </c>
      <c r="UNS337" s="42" t="s">
        <v>606</v>
      </c>
      <c r="UNT337" s="42" t="s">
        <v>606</v>
      </c>
      <c r="UNU337" s="42" t="s">
        <v>606</v>
      </c>
      <c r="UNV337" s="42" t="s">
        <v>606</v>
      </c>
      <c r="UNW337" s="42" t="s">
        <v>606</v>
      </c>
      <c r="UNX337" s="42" t="s">
        <v>606</v>
      </c>
      <c r="UNY337" s="42" t="s">
        <v>606</v>
      </c>
      <c r="UNZ337" s="42" t="s">
        <v>606</v>
      </c>
      <c r="UOA337" s="42" t="s">
        <v>606</v>
      </c>
      <c r="UOB337" s="42" t="s">
        <v>606</v>
      </c>
      <c r="UOC337" s="42" t="s">
        <v>606</v>
      </c>
      <c r="UOD337" s="42" t="s">
        <v>606</v>
      </c>
      <c r="UOE337" s="42" t="s">
        <v>606</v>
      </c>
      <c r="UOF337" s="42" t="s">
        <v>606</v>
      </c>
      <c r="UOG337" s="42" t="s">
        <v>606</v>
      </c>
      <c r="UOH337" s="42" t="s">
        <v>606</v>
      </c>
      <c r="UOI337" s="42" t="s">
        <v>606</v>
      </c>
      <c r="UOJ337" s="42" t="s">
        <v>606</v>
      </c>
      <c r="UOK337" s="42" t="s">
        <v>606</v>
      </c>
      <c r="UOL337" s="42" t="s">
        <v>606</v>
      </c>
      <c r="UOM337" s="42" t="s">
        <v>606</v>
      </c>
      <c r="UON337" s="42" t="s">
        <v>606</v>
      </c>
      <c r="UOO337" s="42" t="s">
        <v>606</v>
      </c>
      <c r="UOP337" s="42" t="s">
        <v>606</v>
      </c>
      <c r="UOQ337" s="42" t="s">
        <v>606</v>
      </c>
      <c r="UOR337" s="42" t="s">
        <v>606</v>
      </c>
      <c r="UOS337" s="42" t="s">
        <v>606</v>
      </c>
      <c r="UOT337" s="42" t="s">
        <v>606</v>
      </c>
      <c r="UOU337" s="42" t="s">
        <v>606</v>
      </c>
      <c r="UOV337" s="42" t="s">
        <v>606</v>
      </c>
      <c r="UOW337" s="42" t="s">
        <v>606</v>
      </c>
      <c r="UOX337" s="42" t="s">
        <v>606</v>
      </c>
      <c r="UOY337" s="42" t="s">
        <v>606</v>
      </c>
      <c r="UOZ337" s="42" t="s">
        <v>606</v>
      </c>
      <c r="UPA337" s="42" t="s">
        <v>606</v>
      </c>
      <c r="UPB337" s="42" t="s">
        <v>606</v>
      </c>
      <c r="UPC337" s="42" t="s">
        <v>606</v>
      </c>
      <c r="UPD337" s="42" t="s">
        <v>606</v>
      </c>
      <c r="UPE337" s="42" t="s">
        <v>606</v>
      </c>
      <c r="UPF337" s="42" t="s">
        <v>606</v>
      </c>
      <c r="UPG337" s="42" t="s">
        <v>606</v>
      </c>
      <c r="UPH337" s="42" t="s">
        <v>606</v>
      </c>
      <c r="UPI337" s="42" t="s">
        <v>606</v>
      </c>
      <c r="UPJ337" s="42" t="s">
        <v>606</v>
      </c>
      <c r="UPK337" s="42" t="s">
        <v>606</v>
      </c>
      <c r="UPL337" s="42" t="s">
        <v>606</v>
      </c>
      <c r="UPM337" s="42" t="s">
        <v>606</v>
      </c>
      <c r="UPN337" s="42" t="s">
        <v>606</v>
      </c>
      <c r="UPO337" s="42" t="s">
        <v>606</v>
      </c>
      <c r="UPP337" s="42" t="s">
        <v>606</v>
      </c>
      <c r="UPQ337" s="42" t="s">
        <v>606</v>
      </c>
      <c r="UPR337" s="42" t="s">
        <v>606</v>
      </c>
      <c r="UPS337" s="42" t="s">
        <v>606</v>
      </c>
      <c r="UPT337" s="42" t="s">
        <v>606</v>
      </c>
      <c r="UPU337" s="42" t="s">
        <v>606</v>
      </c>
      <c r="UPV337" s="42" t="s">
        <v>606</v>
      </c>
      <c r="UPW337" s="42" t="s">
        <v>606</v>
      </c>
      <c r="UPX337" s="42" t="s">
        <v>606</v>
      </c>
      <c r="UPY337" s="42" t="s">
        <v>606</v>
      </c>
      <c r="UPZ337" s="42" t="s">
        <v>606</v>
      </c>
      <c r="UQA337" s="42" t="s">
        <v>606</v>
      </c>
      <c r="UQB337" s="42" t="s">
        <v>606</v>
      </c>
      <c r="UQC337" s="42" t="s">
        <v>606</v>
      </c>
      <c r="UQD337" s="42" t="s">
        <v>606</v>
      </c>
      <c r="UQE337" s="42" t="s">
        <v>606</v>
      </c>
      <c r="UQF337" s="42" t="s">
        <v>606</v>
      </c>
      <c r="UQG337" s="42" t="s">
        <v>606</v>
      </c>
      <c r="UQH337" s="42" t="s">
        <v>606</v>
      </c>
      <c r="UQI337" s="42" t="s">
        <v>606</v>
      </c>
      <c r="UQJ337" s="42" t="s">
        <v>606</v>
      </c>
      <c r="UQK337" s="42" t="s">
        <v>606</v>
      </c>
      <c r="UQL337" s="42" t="s">
        <v>606</v>
      </c>
      <c r="UQM337" s="42" t="s">
        <v>606</v>
      </c>
      <c r="UQN337" s="42" t="s">
        <v>606</v>
      </c>
      <c r="UQO337" s="42" t="s">
        <v>606</v>
      </c>
      <c r="UQP337" s="42" t="s">
        <v>606</v>
      </c>
      <c r="UQQ337" s="42" t="s">
        <v>606</v>
      </c>
      <c r="UQR337" s="42" t="s">
        <v>606</v>
      </c>
      <c r="UQS337" s="42" t="s">
        <v>606</v>
      </c>
      <c r="UQT337" s="42" t="s">
        <v>606</v>
      </c>
      <c r="UQU337" s="42" t="s">
        <v>606</v>
      </c>
      <c r="UQV337" s="42" t="s">
        <v>606</v>
      </c>
      <c r="UQW337" s="42" t="s">
        <v>606</v>
      </c>
      <c r="UQX337" s="42" t="s">
        <v>606</v>
      </c>
      <c r="UQY337" s="42" t="s">
        <v>606</v>
      </c>
      <c r="UQZ337" s="42" t="s">
        <v>606</v>
      </c>
      <c r="URA337" s="42" t="s">
        <v>606</v>
      </c>
      <c r="URB337" s="42" t="s">
        <v>606</v>
      </c>
      <c r="URC337" s="42" t="s">
        <v>606</v>
      </c>
      <c r="URD337" s="42" t="s">
        <v>606</v>
      </c>
      <c r="URE337" s="42" t="s">
        <v>606</v>
      </c>
      <c r="URF337" s="42" t="s">
        <v>606</v>
      </c>
      <c r="URG337" s="42" t="s">
        <v>606</v>
      </c>
      <c r="URH337" s="42" t="s">
        <v>606</v>
      </c>
      <c r="URI337" s="42" t="s">
        <v>606</v>
      </c>
      <c r="URJ337" s="42" t="s">
        <v>606</v>
      </c>
      <c r="URK337" s="42" t="s">
        <v>606</v>
      </c>
      <c r="URL337" s="42" t="s">
        <v>606</v>
      </c>
      <c r="URM337" s="42" t="s">
        <v>606</v>
      </c>
      <c r="URN337" s="42" t="s">
        <v>606</v>
      </c>
      <c r="URO337" s="42" t="s">
        <v>606</v>
      </c>
      <c r="URP337" s="42" t="s">
        <v>606</v>
      </c>
      <c r="URQ337" s="42" t="s">
        <v>606</v>
      </c>
      <c r="URR337" s="42" t="s">
        <v>606</v>
      </c>
      <c r="URS337" s="42" t="s">
        <v>606</v>
      </c>
      <c r="URT337" s="42" t="s">
        <v>606</v>
      </c>
      <c r="URU337" s="42" t="s">
        <v>606</v>
      </c>
      <c r="URV337" s="42" t="s">
        <v>606</v>
      </c>
      <c r="URW337" s="42" t="s">
        <v>606</v>
      </c>
      <c r="URX337" s="42" t="s">
        <v>606</v>
      </c>
      <c r="URY337" s="42" t="s">
        <v>606</v>
      </c>
      <c r="URZ337" s="42" t="s">
        <v>606</v>
      </c>
      <c r="USA337" s="42" t="s">
        <v>606</v>
      </c>
      <c r="USB337" s="42" t="s">
        <v>606</v>
      </c>
      <c r="USC337" s="42" t="s">
        <v>606</v>
      </c>
      <c r="USD337" s="42" t="s">
        <v>606</v>
      </c>
      <c r="USE337" s="42" t="s">
        <v>606</v>
      </c>
      <c r="USF337" s="42" t="s">
        <v>606</v>
      </c>
      <c r="USG337" s="42" t="s">
        <v>606</v>
      </c>
      <c r="USH337" s="42" t="s">
        <v>606</v>
      </c>
      <c r="USI337" s="42" t="s">
        <v>606</v>
      </c>
      <c r="USJ337" s="42" t="s">
        <v>606</v>
      </c>
      <c r="USK337" s="42" t="s">
        <v>606</v>
      </c>
      <c r="USL337" s="42" t="s">
        <v>606</v>
      </c>
      <c r="USM337" s="42" t="s">
        <v>606</v>
      </c>
      <c r="USN337" s="42" t="s">
        <v>606</v>
      </c>
      <c r="USO337" s="42" t="s">
        <v>606</v>
      </c>
      <c r="USP337" s="42" t="s">
        <v>606</v>
      </c>
      <c r="USQ337" s="42" t="s">
        <v>606</v>
      </c>
      <c r="USR337" s="42" t="s">
        <v>606</v>
      </c>
      <c r="USS337" s="42" t="s">
        <v>606</v>
      </c>
      <c r="UST337" s="42" t="s">
        <v>606</v>
      </c>
      <c r="USU337" s="42" t="s">
        <v>606</v>
      </c>
      <c r="USV337" s="42" t="s">
        <v>606</v>
      </c>
      <c r="USW337" s="42" t="s">
        <v>606</v>
      </c>
      <c r="USX337" s="42" t="s">
        <v>606</v>
      </c>
      <c r="USY337" s="42" t="s">
        <v>606</v>
      </c>
      <c r="USZ337" s="42" t="s">
        <v>606</v>
      </c>
      <c r="UTA337" s="42" t="s">
        <v>606</v>
      </c>
      <c r="UTB337" s="42" t="s">
        <v>606</v>
      </c>
      <c r="UTC337" s="42" t="s">
        <v>606</v>
      </c>
      <c r="UTD337" s="42" t="s">
        <v>606</v>
      </c>
      <c r="UTE337" s="42" t="s">
        <v>606</v>
      </c>
      <c r="UTF337" s="42" t="s">
        <v>606</v>
      </c>
      <c r="UTG337" s="42" t="s">
        <v>606</v>
      </c>
      <c r="UTH337" s="42" t="s">
        <v>606</v>
      </c>
      <c r="UTI337" s="42" t="s">
        <v>606</v>
      </c>
      <c r="UTJ337" s="42" t="s">
        <v>606</v>
      </c>
      <c r="UTK337" s="42" t="s">
        <v>606</v>
      </c>
      <c r="UTL337" s="42" t="s">
        <v>606</v>
      </c>
      <c r="UTM337" s="42" t="s">
        <v>606</v>
      </c>
      <c r="UTN337" s="42" t="s">
        <v>606</v>
      </c>
      <c r="UTO337" s="42" t="s">
        <v>606</v>
      </c>
      <c r="UTP337" s="42" t="s">
        <v>606</v>
      </c>
      <c r="UTQ337" s="42" t="s">
        <v>606</v>
      </c>
      <c r="UTR337" s="42" t="s">
        <v>606</v>
      </c>
      <c r="UTS337" s="42" t="s">
        <v>606</v>
      </c>
      <c r="UTT337" s="42" t="s">
        <v>606</v>
      </c>
      <c r="UTU337" s="42" t="s">
        <v>606</v>
      </c>
      <c r="UTV337" s="42" t="s">
        <v>606</v>
      </c>
      <c r="UTW337" s="42" t="s">
        <v>606</v>
      </c>
      <c r="UTX337" s="42" t="s">
        <v>606</v>
      </c>
      <c r="UTY337" s="42" t="s">
        <v>606</v>
      </c>
      <c r="UTZ337" s="42" t="s">
        <v>606</v>
      </c>
      <c r="UUA337" s="42" t="s">
        <v>606</v>
      </c>
      <c r="UUB337" s="42" t="s">
        <v>606</v>
      </c>
      <c r="UUC337" s="42" t="s">
        <v>606</v>
      </c>
      <c r="UUD337" s="42" t="s">
        <v>606</v>
      </c>
      <c r="UUE337" s="42" t="s">
        <v>606</v>
      </c>
      <c r="UUF337" s="42" t="s">
        <v>606</v>
      </c>
      <c r="UUG337" s="42" t="s">
        <v>606</v>
      </c>
      <c r="UUH337" s="42" t="s">
        <v>606</v>
      </c>
      <c r="UUI337" s="42" t="s">
        <v>606</v>
      </c>
      <c r="UUJ337" s="42" t="s">
        <v>606</v>
      </c>
      <c r="UUK337" s="42" t="s">
        <v>606</v>
      </c>
      <c r="UUL337" s="42" t="s">
        <v>606</v>
      </c>
      <c r="UUM337" s="42" t="s">
        <v>606</v>
      </c>
      <c r="UUN337" s="42" t="s">
        <v>606</v>
      </c>
      <c r="UUO337" s="42" t="s">
        <v>606</v>
      </c>
      <c r="UUP337" s="42" t="s">
        <v>606</v>
      </c>
      <c r="UUQ337" s="42" t="s">
        <v>606</v>
      </c>
      <c r="UUR337" s="42" t="s">
        <v>606</v>
      </c>
      <c r="UUS337" s="42" t="s">
        <v>606</v>
      </c>
      <c r="UUT337" s="42" t="s">
        <v>606</v>
      </c>
      <c r="UUU337" s="42" t="s">
        <v>606</v>
      </c>
      <c r="UUV337" s="42" t="s">
        <v>606</v>
      </c>
      <c r="UUW337" s="42" t="s">
        <v>606</v>
      </c>
      <c r="UUX337" s="42" t="s">
        <v>606</v>
      </c>
      <c r="UUY337" s="42" t="s">
        <v>606</v>
      </c>
      <c r="UUZ337" s="42" t="s">
        <v>606</v>
      </c>
      <c r="UVA337" s="42" t="s">
        <v>606</v>
      </c>
      <c r="UVB337" s="42" t="s">
        <v>606</v>
      </c>
      <c r="UVC337" s="42" t="s">
        <v>606</v>
      </c>
      <c r="UVD337" s="42" t="s">
        <v>606</v>
      </c>
      <c r="UVE337" s="42" t="s">
        <v>606</v>
      </c>
      <c r="UVF337" s="42" t="s">
        <v>606</v>
      </c>
      <c r="UVG337" s="42" t="s">
        <v>606</v>
      </c>
      <c r="UVH337" s="42" t="s">
        <v>606</v>
      </c>
      <c r="UVI337" s="42" t="s">
        <v>606</v>
      </c>
      <c r="UVJ337" s="42" t="s">
        <v>606</v>
      </c>
      <c r="UVK337" s="42" t="s">
        <v>606</v>
      </c>
      <c r="UVL337" s="42" t="s">
        <v>606</v>
      </c>
      <c r="UVM337" s="42" t="s">
        <v>606</v>
      </c>
      <c r="UVN337" s="42" t="s">
        <v>606</v>
      </c>
      <c r="UVO337" s="42" t="s">
        <v>606</v>
      </c>
      <c r="UVP337" s="42" t="s">
        <v>606</v>
      </c>
      <c r="UVQ337" s="42" t="s">
        <v>606</v>
      </c>
      <c r="UVR337" s="42" t="s">
        <v>606</v>
      </c>
      <c r="UVS337" s="42" t="s">
        <v>606</v>
      </c>
      <c r="UVT337" s="42" t="s">
        <v>606</v>
      </c>
      <c r="UVU337" s="42" t="s">
        <v>606</v>
      </c>
      <c r="UVV337" s="42" t="s">
        <v>606</v>
      </c>
      <c r="UVW337" s="42" t="s">
        <v>606</v>
      </c>
      <c r="UVX337" s="42" t="s">
        <v>606</v>
      </c>
      <c r="UVY337" s="42" t="s">
        <v>606</v>
      </c>
      <c r="UVZ337" s="42" t="s">
        <v>606</v>
      </c>
      <c r="UWA337" s="42" t="s">
        <v>606</v>
      </c>
      <c r="UWB337" s="42" t="s">
        <v>606</v>
      </c>
      <c r="UWC337" s="42" t="s">
        <v>606</v>
      </c>
      <c r="UWD337" s="42" t="s">
        <v>606</v>
      </c>
      <c r="UWE337" s="42" t="s">
        <v>606</v>
      </c>
      <c r="UWF337" s="42" t="s">
        <v>606</v>
      </c>
      <c r="UWG337" s="42" t="s">
        <v>606</v>
      </c>
      <c r="UWH337" s="42" t="s">
        <v>606</v>
      </c>
      <c r="UWI337" s="42" t="s">
        <v>606</v>
      </c>
      <c r="UWJ337" s="42" t="s">
        <v>606</v>
      </c>
      <c r="UWK337" s="42" t="s">
        <v>606</v>
      </c>
      <c r="UWL337" s="42" t="s">
        <v>606</v>
      </c>
      <c r="UWM337" s="42" t="s">
        <v>606</v>
      </c>
      <c r="UWN337" s="42" t="s">
        <v>606</v>
      </c>
      <c r="UWO337" s="42" t="s">
        <v>606</v>
      </c>
      <c r="UWP337" s="42" t="s">
        <v>606</v>
      </c>
      <c r="UWQ337" s="42" t="s">
        <v>606</v>
      </c>
      <c r="UWR337" s="42" t="s">
        <v>606</v>
      </c>
      <c r="UWS337" s="42" t="s">
        <v>606</v>
      </c>
      <c r="UWT337" s="42" t="s">
        <v>606</v>
      </c>
      <c r="UWU337" s="42" t="s">
        <v>606</v>
      </c>
      <c r="UWV337" s="42" t="s">
        <v>606</v>
      </c>
      <c r="UWW337" s="42" t="s">
        <v>606</v>
      </c>
      <c r="UWX337" s="42" t="s">
        <v>606</v>
      </c>
      <c r="UWY337" s="42" t="s">
        <v>606</v>
      </c>
      <c r="UWZ337" s="42" t="s">
        <v>606</v>
      </c>
      <c r="UXA337" s="42" t="s">
        <v>606</v>
      </c>
      <c r="UXB337" s="42" t="s">
        <v>606</v>
      </c>
      <c r="UXC337" s="42" t="s">
        <v>606</v>
      </c>
      <c r="UXD337" s="42" t="s">
        <v>606</v>
      </c>
      <c r="UXE337" s="42" t="s">
        <v>606</v>
      </c>
      <c r="UXF337" s="42" t="s">
        <v>606</v>
      </c>
      <c r="UXG337" s="42" t="s">
        <v>606</v>
      </c>
      <c r="UXH337" s="42" t="s">
        <v>606</v>
      </c>
      <c r="UXI337" s="42" t="s">
        <v>606</v>
      </c>
      <c r="UXJ337" s="42" t="s">
        <v>606</v>
      </c>
      <c r="UXK337" s="42" t="s">
        <v>606</v>
      </c>
      <c r="UXL337" s="42" t="s">
        <v>606</v>
      </c>
      <c r="UXM337" s="42" t="s">
        <v>606</v>
      </c>
      <c r="UXN337" s="42" t="s">
        <v>606</v>
      </c>
      <c r="UXO337" s="42" t="s">
        <v>606</v>
      </c>
      <c r="UXP337" s="42" t="s">
        <v>606</v>
      </c>
      <c r="UXQ337" s="42" t="s">
        <v>606</v>
      </c>
      <c r="UXR337" s="42" t="s">
        <v>606</v>
      </c>
      <c r="UXS337" s="42" t="s">
        <v>606</v>
      </c>
      <c r="UXT337" s="42" t="s">
        <v>606</v>
      </c>
      <c r="UXU337" s="42" t="s">
        <v>606</v>
      </c>
      <c r="UXV337" s="42" t="s">
        <v>606</v>
      </c>
      <c r="UXW337" s="42" t="s">
        <v>606</v>
      </c>
      <c r="UXX337" s="42" t="s">
        <v>606</v>
      </c>
      <c r="UXY337" s="42" t="s">
        <v>606</v>
      </c>
      <c r="UXZ337" s="42" t="s">
        <v>606</v>
      </c>
      <c r="UYA337" s="42" t="s">
        <v>606</v>
      </c>
      <c r="UYB337" s="42" t="s">
        <v>606</v>
      </c>
      <c r="UYC337" s="42" t="s">
        <v>606</v>
      </c>
      <c r="UYD337" s="42" t="s">
        <v>606</v>
      </c>
      <c r="UYE337" s="42" t="s">
        <v>606</v>
      </c>
      <c r="UYF337" s="42" t="s">
        <v>606</v>
      </c>
      <c r="UYG337" s="42" t="s">
        <v>606</v>
      </c>
      <c r="UYH337" s="42" t="s">
        <v>606</v>
      </c>
      <c r="UYI337" s="42" t="s">
        <v>606</v>
      </c>
      <c r="UYJ337" s="42" t="s">
        <v>606</v>
      </c>
      <c r="UYK337" s="42" t="s">
        <v>606</v>
      </c>
      <c r="UYL337" s="42" t="s">
        <v>606</v>
      </c>
      <c r="UYM337" s="42" t="s">
        <v>606</v>
      </c>
      <c r="UYN337" s="42" t="s">
        <v>606</v>
      </c>
      <c r="UYO337" s="42" t="s">
        <v>606</v>
      </c>
      <c r="UYP337" s="42" t="s">
        <v>606</v>
      </c>
      <c r="UYQ337" s="42" t="s">
        <v>606</v>
      </c>
      <c r="UYR337" s="42" t="s">
        <v>606</v>
      </c>
      <c r="UYS337" s="42" t="s">
        <v>606</v>
      </c>
      <c r="UYT337" s="42" t="s">
        <v>606</v>
      </c>
      <c r="UYU337" s="42" t="s">
        <v>606</v>
      </c>
      <c r="UYV337" s="42" t="s">
        <v>606</v>
      </c>
      <c r="UYW337" s="42" t="s">
        <v>606</v>
      </c>
      <c r="UYX337" s="42" t="s">
        <v>606</v>
      </c>
      <c r="UYY337" s="42" t="s">
        <v>606</v>
      </c>
      <c r="UYZ337" s="42" t="s">
        <v>606</v>
      </c>
      <c r="UZA337" s="42" t="s">
        <v>606</v>
      </c>
      <c r="UZB337" s="42" t="s">
        <v>606</v>
      </c>
      <c r="UZC337" s="42" t="s">
        <v>606</v>
      </c>
      <c r="UZD337" s="42" t="s">
        <v>606</v>
      </c>
      <c r="UZE337" s="42" t="s">
        <v>606</v>
      </c>
      <c r="UZF337" s="42" t="s">
        <v>606</v>
      </c>
      <c r="UZG337" s="42" t="s">
        <v>606</v>
      </c>
      <c r="UZH337" s="42" t="s">
        <v>606</v>
      </c>
      <c r="UZI337" s="42" t="s">
        <v>606</v>
      </c>
      <c r="UZJ337" s="42" t="s">
        <v>606</v>
      </c>
      <c r="UZK337" s="42" t="s">
        <v>606</v>
      </c>
      <c r="UZL337" s="42" t="s">
        <v>606</v>
      </c>
      <c r="UZM337" s="42" t="s">
        <v>606</v>
      </c>
      <c r="UZN337" s="42" t="s">
        <v>606</v>
      </c>
      <c r="UZO337" s="42" t="s">
        <v>606</v>
      </c>
      <c r="UZP337" s="42" t="s">
        <v>606</v>
      </c>
      <c r="UZQ337" s="42" t="s">
        <v>606</v>
      </c>
      <c r="UZR337" s="42" t="s">
        <v>606</v>
      </c>
      <c r="UZS337" s="42" t="s">
        <v>606</v>
      </c>
      <c r="UZT337" s="42" t="s">
        <v>606</v>
      </c>
      <c r="UZU337" s="42" t="s">
        <v>606</v>
      </c>
      <c r="UZV337" s="42" t="s">
        <v>606</v>
      </c>
      <c r="UZW337" s="42" t="s">
        <v>606</v>
      </c>
      <c r="UZX337" s="42" t="s">
        <v>606</v>
      </c>
      <c r="UZY337" s="42" t="s">
        <v>606</v>
      </c>
      <c r="UZZ337" s="42" t="s">
        <v>606</v>
      </c>
      <c r="VAA337" s="42" t="s">
        <v>606</v>
      </c>
      <c r="VAB337" s="42" t="s">
        <v>606</v>
      </c>
      <c r="VAC337" s="42" t="s">
        <v>606</v>
      </c>
      <c r="VAD337" s="42" t="s">
        <v>606</v>
      </c>
      <c r="VAE337" s="42" t="s">
        <v>606</v>
      </c>
      <c r="VAF337" s="42" t="s">
        <v>606</v>
      </c>
      <c r="VAG337" s="42" t="s">
        <v>606</v>
      </c>
      <c r="VAH337" s="42" t="s">
        <v>606</v>
      </c>
      <c r="VAI337" s="42" t="s">
        <v>606</v>
      </c>
      <c r="VAJ337" s="42" t="s">
        <v>606</v>
      </c>
      <c r="VAK337" s="42" t="s">
        <v>606</v>
      </c>
      <c r="VAL337" s="42" t="s">
        <v>606</v>
      </c>
      <c r="VAM337" s="42" t="s">
        <v>606</v>
      </c>
      <c r="VAN337" s="42" t="s">
        <v>606</v>
      </c>
      <c r="VAO337" s="42" t="s">
        <v>606</v>
      </c>
      <c r="VAP337" s="42" t="s">
        <v>606</v>
      </c>
      <c r="VAQ337" s="42" t="s">
        <v>606</v>
      </c>
      <c r="VAR337" s="42" t="s">
        <v>606</v>
      </c>
      <c r="VAS337" s="42" t="s">
        <v>606</v>
      </c>
      <c r="VAT337" s="42" t="s">
        <v>606</v>
      </c>
      <c r="VAU337" s="42" t="s">
        <v>606</v>
      </c>
      <c r="VAV337" s="42" t="s">
        <v>606</v>
      </c>
      <c r="VAW337" s="42" t="s">
        <v>606</v>
      </c>
      <c r="VAX337" s="42" t="s">
        <v>606</v>
      </c>
      <c r="VAY337" s="42" t="s">
        <v>606</v>
      </c>
      <c r="VAZ337" s="42" t="s">
        <v>606</v>
      </c>
      <c r="VBA337" s="42" t="s">
        <v>606</v>
      </c>
      <c r="VBB337" s="42" t="s">
        <v>606</v>
      </c>
      <c r="VBC337" s="42" t="s">
        <v>606</v>
      </c>
      <c r="VBD337" s="42" t="s">
        <v>606</v>
      </c>
      <c r="VBE337" s="42" t="s">
        <v>606</v>
      </c>
      <c r="VBF337" s="42" t="s">
        <v>606</v>
      </c>
      <c r="VBG337" s="42" t="s">
        <v>606</v>
      </c>
      <c r="VBH337" s="42" t="s">
        <v>606</v>
      </c>
      <c r="VBI337" s="42" t="s">
        <v>606</v>
      </c>
      <c r="VBJ337" s="42" t="s">
        <v>606</v>
      </c>
      <c r="VBK337" s="42" t="s">
        <v>606</v>
      </c>
      <c r="VBL337" s="42" t="s">
        <v>606</v>
      </c>
      <c r="VBM337" s="42" t="s">
        <v>606</v>
      </c>
      <c r="VBN337" s="42" t="s">
        <v>606</v>
      </c>
      <c r="VBO337" s="42" t="s">
        <v>606</v>
      </c>
      <c r="VBP337" s="42" t="s">
        <v>606</v>
      </c>
      <c r="VBQ337" s="42" t="s">
        <v>606</v>
      </c>
      <c r="VBR337" s="42" t="s">
        <v>606</v>
      </c>
      <c r="VBS337" s="42" t="s">
        <v>606</v>
      </c>
      <c r="VBT337" s="42" t="s">
        <v>606</v>
      </c>
      <c r="VBU337" s="42" t="s">
        <v>606</v>
      </c>
      <c r="VBV337" s="42" t="s">
        <v>606</v>
      </c>
      <c r="VBW337" s="42" t="s">
        <v>606</v>
      </c>
      <c r="VBX337" s="42" t="s">
        <v>606</v>
      </c>
      <c r="VBY337" s="42" t="s">
        <v>606</v>
      </c>
      <c r="VBZ337" s="42" t="s">
        <v>606</v>
      </c>
      <c r="VCA337" s="42" t="s">
        <v>606</v>
      </c>
      <c r="VCB337" s="42" t="s">
        <v>606</v>
      </c>
      <c r="VCC337" s="42" t="s">
        <v>606</v>
      </c>
      <c r="VCD337" s="42" t="s">
        <v>606</v>
      </c>
      <c r="VCE337" s="42" t="s">
        <v>606</v>
      </c>
      <c r="VCF337" s="42" t="s">
        <v>606</v>
      </c>
      <c r="VCG337" s="42" t="s">
        <v>606</v>
      </c>
      <c r="VCH337" s="42" t="s">
        <v>606</v>
      </c>
      <c r="VCI337" s="42" t="s">
        <v>606</v>
      </c>
      <c r="VCJ337" s="42" t="s">
        <v>606</v>
      </c>
      <c r="VCK337" s="42" t="s">
        <v>606</v>
      </c>
      <c r="VCL337" s="42" t="s">
        <v>606</v>
      </c>
      <c r="VCM337" s="42" t="s">
        <v>606</v>
      </c>
      <c r="VCN337" s="42" t="s">
        <v>606</v>
      </c>
      <c r="VCO337" s="42" t="s">
        <v>606</v>
      </c>
      <c r="VCP337" s="42" t="s">
        <v>606</v>
      </c>
      <c r="VCQ337" s="42" t="s">
        <v>606</v>
      </c>
      <c r="VCR337" s="42" t="s">
        <v>606</v>
      </c>
      <c r="VCS337" s="42" t="s">
        <v>606</v>
      </c>
      <c r="VCT337" s="42" t="s">
        <v>606</v>
      </c>
      <c r="VCU337" s="42" t="s">
        <v>606</v>
      </c>
      <c r="VCV337" s="42" t="s">
        <v>606</v>
      </c>
      <c r="VCW337" s="42" t="s">
        <v>606</v>
      </c>
      <c r="VCX337" s="42" t="s">
        <v>606</v>
      </c>
      <c r="VCY337" s="42" t="s">
        <v>606</v>
      </c>
      <c r="VCZ337" s="42" t="s">
        <v>606</v>
      </c>
      <c r="VDA337" s="42" t="s">
        <v>606</v>
      </c>
      <c r="VDB337" s="42" t="s">
        <v>606</v>
      </c>
      <c r="VDC337" s="42" t="s">
        <v>606</v>
      </c>
      <c r="VDD337" s="42" t="s">
        <v>606</v>
      </c>
      <c r="VDE337" s="42" t="s">
        <v>606</v>
      </c>
      <c r="VDF337" s="42" t="s">
        <v>606</v>
      </c>
      <c r="VDG337" s="42" t="s">
        <v>606</v>
      </c>
      <c r="VDH337" s="42" t="s">
        <v>606</v>
      </c>
      <c r="VDI337" s="42" t="s">
        <v>606</v>
      </c>
      <c r="VDJ337" s="42" t="s">
        <v>606</v>
      </c>
      <c r="VDK337" s="42" t="s">
        <v>606</v>
      </c>
      <c r="VDL337" s="42" t="s">
        <v>606</v>
      </c>
      <c r="VDM337" s="42" t="s">
        <v>606</v>
      </c>
      <c r="VDN337" s="42" t="s">
        <v>606</v>
      </c>
      <c r="VDO337" s="42" t="s">
        <v>606</v>
      </c>
      <c r="VDP337" s="42" t="s">
        <v>606</v>
      </c>
      <c r="VDQ337" s="42" t="s">
        <v>606</v>
      </c>
      <c r="VDR337" s="42" t="s">
        <v>606</v>
      </c>
      <c r="VDS337" s="42" t="s">
        <v>606</v>
      </c>
      <c r="VDT337" s="42" t="s">
        <v>606</v>
      </c>
      <c r="VDU337" s="42" t="s">
        <v>606</v>
      </c>
      <c r="VDV337" s="42" t="s">
        <v>606</v>
      </c>
      <c r="VDW337" s="42" t="s">
        <v>606</v>
      </c>
      <c r="VDX337" s="42" t="s">
        <v>606</v>
      </c>
      <c r="VDY337" s="42" t="s">
        <v>606</v>
      </c>
      <c r="VDZ337" s="42" t="s">
        <v>606</v>
      </c>
      <c r="VEA337" s="42" t="s">
        <v>606</v>
      </c>
      <c r="VEB337" s="42" t="s">
        <v>606</v>
      </c>
      <c r="VEC337" s="42" t="s">
        <v>606</v>
      </c>
      <c r="VED337" s="42" t="s">
        <v>606</v>
      </c>
      <c r="VEE337" s="42" t="s">
        <v>606</v>
      </c>
      <c r="VEF337" s="42" t="s">
        <v>606</v>
      </c>
      <c r="VEG337" s="42" t="s">
        <v>606</v>
      </c>
      <c r="VEH337" s="42" t="s">
        <v>606</v>
      </c>
      <c r="VEI337" s="42" t="s">
        <v>606</v>
      </c>
      <c r="VEJ337" s="42" t="s">
        <v>606</v>
      </c>
      <c r="VEK337" s="42" t="s">
        <v>606</v>
      </c>
      <c r="VEL337" s="42" t="s">
        <v>606</v>
      </c>
      <c r="VEM337" s="42" t="s">
        <v>606</v>
      </c>
      <c r="VEN337" s="42" t="s">
        <v>606</v>
      </c>
      <c r="VEO337" s="42" t="s">
        <v>606</v>
      </c>
      <c r="VEP337" s="42" t="s">
        <v>606</v>
      </c>
      <c r="VEQ337" s="42" t="s">
        <v>606</v>
      </c>
      <c r="VER337" s="42" t="s">
        <v>606</v>
      </c>
      <c r="VES337" s="42" t="s">
        <v>606</v>
      </c>
      <c r="VET337" s="42" t="s">
        <v>606</v>
      </c>
      <c r="VEU337" s="42" t="s">
        <v>606</v>
      </c>
      <c r="VEV337" s="42" t="s">
        <v>606</v>
      </c>
      <c r="VEW337" s="42" t="s">
        <v>606</v>
      </c>
      <c r="VEX337" s="42" t="s">
        <v>606</v>
      </c>
      <c r="VEY337" s="42" t="s">
        <v>606</v>
      </c>
      <c r="VEZ337" s="42" t="s">
        <v>606</v>
      </c>
      <c r="VFA337" s="42" t="s">
        <v>606</v>
      </c>
      <c r="VFB337" s="42" t="s">
        <v>606</v>
      </c>
      <c r="VFC337" s="42" t="s">
        <v>606</v>
      </c>
      <c r="VFD337" s="42" t="s">
        <v>606</v>
      </c>
      <c r="VFE337" s="42" t="s">
        <v>606</v>
      </c>
      <c r="VFF337" s="42" t="s">
        <v>606</v>
      </c>
      <c r="VFG337" s="42" t="s">
        <v>606</v>
      </c>
      <c r="VFH337" s="42" t="s">
        <v>606</v>
      </c>
      <c r="VFI337" s="42" t="s">
        <v>606</v>
      </c>
      <c r="VFJ337" s="42" t="s">
        <v>606</v>
      </c>
      <c r="VFK337" s="42" t="s">
        <v>606</v>
      </c>
      <c r="VFL337" s="42" t="s">
        <v>606</v>
      </c>
      <c r="VFM337" s="42" t="s">
        <v>606</v>
      </c>
      <c r="VFN337" s="42" t="s">
        <v>606</v>
      </c>
      <c r="VFO337" s="42" t="s">
        <v>606</v>
      </c>
      <c r="VFP337" s="42" t="s">
        <v>606</v>
      </c>
      <c r="VFQ337" s="42" t="s">
        <v>606</v>
      </c>
      <c r="VFR337" s="42" t="s">
        <v>606</v>
      </c>
      <c r="VFS337" s="42" t="s">
        <v>606</v>
      </c>
      <c r="VFT337" s="42" t="s">
        <v>606</v>
      </c>
      <c r="VFU337" s="42" t="s">
        <v>606</v>
      </c>
      <c r="VFV337" s="42" t="s">
        <v>606</v>
      </c>
      <c r="VFW337" s="42" t="s">
        <v>606</v>
      </c>
      <c r="VFX337" s="42" t="s">
        <v>606</v>
      </c>
      <c r="VFY337" s="42" t="s">
        <v>606</v>
      </c>
      <c r="VFZ337" s="42" t="s">
        <v>606</v>
      </c>
      <c r="VGA337" s="42" t="s">
        <v>606</v>
      </c>
      <c r="VGB337" s="42" t="s">
        <v>606</v>
      </c>
      <c r="VGC337" s="42" t="s">
        <v>606</v>
      </c>
      <c r="VGD337" s="42" t="s">
        <v>606</v>
      </c>
      <c r="VGE337" s="42" t="s">
        <v>606</v>
      </c>
      <c r="VGF337" s="42" t="s">
        <v>606</v>
      </c>
      <c r="VGG337" s="42" t="s">
        <v>606</v>
      </c>
      <c r="VGH337" s="42" t="s">
        <v>606</v>
      </c>
      <c r="VGI337" s="42" t="s">
        <v>606</v>
      </c>
      <c r="VGJ337" s="42" t="s">
        <v>606</v>
      </c>
      <c r="VGK337" s="42" t="s">
        <v>606</v>
      </c>
      <c r="VGL337" s="42" t="s">
        <v>606</v>
      </c>
      <c r="VGM337" s="42" t="s">
        <v>606</v>
      </c>
      <c r="VGN337" s="42" t="s">
        <v>606</v>
      </c>
      <c r="VGO337" s="42" t="s">
        <v>606</v>
      </c>
      <c r="VGP337" s="42" t="s">
        <v>606</v>
      </c>
      <c r="VGQ337" s="42" t="s">
        <v>606</v>
      </c>
      <c r="VGR337" s="42" t="s">
        <v>606</v>
      </c>
      <c r="VGS337" s="42" t="s">
        <v>606</v>
      </c>
      <c r="VGT337" s="42" t="s">
        <v>606</v>
      </c>
      <c r="VGU337" s="42" t="s">
        <v>606</v>
      </c>
      <c r="VGV337" s="42" t="s">
        <v>606</v>
      </c>
      <c r="VGW337" s="42" t="s">
        <v>606</v>
      </c>
      <c r="VGX337" s="42" t="s">
        <v>606</v>
      </c>
      <c r="VGY337" s="42" t="s">
        <v>606</v>
      </c>
      <c r="VGZ337" s="42" t="s">
        <v>606</v>
      </c>
      <c r="VHA337" s="42" t="s">
        <v>606</v>
      </c>
      <c r="VHB337" s="42" t="s">
        <v>606</v>
      </c>
      <c r="VHC337" s="42" t="s">
        <v>606</v>
      </c>
      <c r="VHD337" s="42" t="s">
        <v>606</v>
      </c>
      <c r="VHE337" s="42" t="s">
        <v>606</v>
      </c>
      <c r="VHF337" s="42" t="s">
        <v>606</v>
      </c>
      <c r="VHG337" s="42" t="s">
        <v>606</v>
      </c>
      <c r="VHH337" s="42" t="s">
        <v>606</v>
      </c>
      <c r="VHI337" s="42" t="s">
        <v>606</v>
      </c>
      <c r="VHJ337" s="42" t="s">
        <v>606</v>
      </c>
      <c r="VHK337" s="42" t="s">
        <v>606</v>
      </c>
      <c r="VHL337" s="42" t="s">
        <v>606</v>
      </c>
      <c r="VHM337" s="42" t="s">
        <v>606</v>
      </c>
      <c r="VHN337" s="42" t="s">
        <v>606</v>
      </c>
      <c r="VHO337" s="42" t="s">
        <v>606</v>
      </c>
      <c r="VHP337" s="42" t="s">
        <v>606</v>
      </c>
      <c r="VHQ337" s="42" t="s">
        <v>606</v>
      </c>
      <c r="VHR337" s="42" t="s">
        <v>606</v>
      </c>
      <c r="VHS337" s="42" t="s">
        <v>606</v>
      </c>
      <c r="VHT337" s="42" t="s">
        <v>606</v>
      </c>
      <c r="VHU337" s="42" t="s">
        <v>606</v>
      </c>
      <c r="VHV337" s="42" t="s">
        <v>606</v>
      </c>
      <c r="VHW337" s="42" t="s">
        <v>606</v>
      </c>
      <c r="VHX337" s="42" t="s">
        <v>606</v>
      </c>
      <c r="VHY337" s="42" t="s">
        <v>606</v>
      </c>
      <c r="VHZ337" s="42" t="s">
        <v>606</v>
      </c>
      <c r="VIA337" s="42" t="s">
        <v>606</v>
      </c>
      <c r="VIB337" s="42" t="s">
        <v>606</v>
      </c>
      <c r="VIC337" s="42" t="s">
        <v>606</v>
      </c>
      <c r="VID337" s="42" t="s">
        <v>606</v>
      </c>
      <c r="VIE337" s="42" t="s">
        <v>606</v>
      </c>
      <c r="VIF337" s="42" t="s">
        <v>606</v>
      </c>
      <c r="VIG337" s="42" t="s">
        <v>606</v>
      </c>
      <c r="VIH337" s="42" t="s">
        <v>606</v>
      </c>
      <c r="VII337" s="42" t="s">
        <v>606</v>
      </c>
      <c r="VIJ337" s="42" t="s">
        <v>606</v>
      </c>
      <c r="VIK337" s="42" t="s">
        <v>606</v>
      </c>
      <c r="VIL337" s="42" t="s">
        <v>606</v>
      </c>
      <c r="VIM337" s="42" t="s">
        <v>606</v>
      </c>
      <c r="VIN337" s="42" t="s">
        <v>606</v>
      </c>
      <c r="VIO337" s="42" t="s">
        <v>606</v>
      </c>
      <c r="VIP337" s="42" t="s">
        <v>606</v>
      </c>
      <c r="VIQ337" s="42" t="s">
        <v>606</v>
      </c>
      <c r="VIR337" s="42" t="s">
        <v>606</v>
      </c>
      <c r="VIS337" s="42" t="s">
        <v>606</v>
      </c>
      <c r="VIT337" s="42" t="s">
        <v>606</v>
      </c>
      <c r="VIU337" s="42" t="s">
        <v>606</v>
      </c>
      <c r="VIV337" s="42" t="s">
        <v>606</v>
      </c>
      <c r="VIW337" s="42" t="s">
        <v>606</v>
      </c>
      <c r="VIX337" s="42" t="s">
        <v>606</v>
      </c>
      <c r="VIY337" s="42" t="s">
        <v>606</v>
      </c>
      <c r="VIZ337" s="42" t="s">
        <v>606</v>
      </c>
      <c r="VJA337" s="42" t="s">
        <v>606</v>
      </c>
      <c r="VJB337" s="42" t="s">
        <v>606</v>
      </c>
      <c r="VJC337" s="42" t="s">
        <v>606</v>
      </c>
      <c r="VJD337" s="42" t="s">
        <v>606</v>
      </c>
      <c r="VJE337" s="42" t="s">
        <v>606</v>
      </c>
      <c r="VJF337" s="42" t="s">
        <v>606</v>
      </c>
      <c r="VJG337" s="42" t="s">
        <v>606</v>
      </c>
      <c r="VJH337" s="42" t="s">
        <v>606</v>
      </c>
      <c r="VJI337" s="42" t="s">
        <v>606</v>
      </c>
      <c r="VJJ337" s="42" t="s">
        <v>606</v>
      </c>
      <c r="VJK337" s="42" t="s">
        <v>606</v>
      </c>
      <c r="VJL337" s="42" t="s">
        <v>606</v>
      </c>
      <c r="VJM337" s="42" t="s">
        <v>606</v>
      </c>
      <c r="VJN337" s="42" t="s">
        <v>606</v>
      </c>
      <c r="VJO337" s="42" t="s">
        <v>606</v>
      </c>
      <c r="VJP337" s="42" t="s">
        <v>606</v>
      </c>
      <c r="VJQ337" s="42" t="s">
        <v>606</v>
      </c>
      <c r="VJR337" s="42" t="s">
        <v>606</v>
      </c>
      <c r="VJS337" s="42" t="s">
        <v>606</v>
      </c>
      <c r="VJT337" s="42" t="s">
        <v>606</v>
      </c>
      <c r="VJU337" s="42" t="s">
        <v>606</v>
      </c>
      <c r="VJV337" s="42" t="s">
        <v>606</v>
      </c>
      <c r="VJW337" s="42" t="s">
        <v>606</v>
      </c>
      <c r="VJX337" s="42" t="s">
        <v>606</v>
      </c>
      <c r="VJY337" s="42" t="s">
        <v>606</v>
      </c>
      <c r="VJZ337" s="42" t="s">
        <v>606</v>
      </c>
      <c r="VKA337" s="42" t="s">
        <v>606</v>
      </c>
      <c r="VKB337" s="42" t="s">
        <v>606</v>
      </c>
      <c r="VKC337" s="42" t="s">
        <v>606</v>
      </c>
      <c r="VKD337" s="42" t="s">
        <v>606</v>
      </c>
      <c r="VKE337" s="42" t="s">
        <v>606</v>
      </c>
      <c r="VKF337" s="42" t="s">
        <v>606</v>
      </c>
      <c r="VKG337" s="42" t="s">
        <v>606</v>
      </c>
      <c r="VKH337" s="42" t="s">
        <v>606</v>
      </c>
      <c r="VKI337" s="42" t="s">
        <v>606</v>
      </c>
      <c r="VKJ337" s="42" t="s">
        <v>606</v>
      </c>
      <c r="VKK337" s="42" t="s">
        <v>606</v>
      </c>
      <c r="VKL337" s="42" t="s">
        <v>606</v>
      </c>
      <c r="VKM337" s="42" t="s">
        <v>606</v>
      </c>
      <c r="VKN337" s="42" t="s">
        <v>606</v>
      </c>
      <c r="VKO337" s="42" t="s">
        <v>606</v>
      </c>
      <c r="VKP337" s="42" t="s">
        <v>606</v>
      </c>
      <c r="VKQ337" s="42" t="s">
        <v>606</v>
      </c>
      <c r="VKR337" s="42" t="s">
        <v>606</v>
      </c>
      <c r="VKS337" s="42" t="s">
        <v>606</v>
      </c>
      <c r="VKT337" s="42" t="s">
        <v>606</v>
      </c>
      <c r="VKU337" s="42" t="s">
        <v>606</v>
      </c>
      <c r="VKV337" s="42" t="s">
        <v>606</v>
      </c>
      <c r="VKW337" s="42" t="s">
        <v>606</v>
      </c>
      <c r="VKX337" s="42" t="s">
        <v>606</v>
      </c>
      <c r="VKY337" s="42" t="s">
        <v>606</v>
      </c>
      <c r="VKZ337" s="42" t="s">
        <v>606</v>
      </c>
      <c r="VLA337" s="42" t="s">
        <v>606</v>
      </c>
      <c r="VLB337" s="42" t="s">
        <v>606</v>
      </c>
      <c r="VLC337" s="42" t="s">
        <v>606</v>
      </c>
      <c r="VLD337" s="42" t="s">
        <v>606</v>
      </c>
      <c r="VLE337" s="42" t="s">
        <v>606</v>
      </c>
      <c r="VLF337" s="42" t="s">
        <v>606</v>
      </c>
      <c r="VLG337" s="42" t="s">
        <v>606</v>
      </c>
      <c r="VLH337" s="42" t="s">
        <v>606</v>
      </c>
      <c r="VLI337" s="42" t="s">
        <v>606</v>
      </c>
      <c r="VLJ337" s="42" t="s">
        <v>606</v>
      </c>
      <c r="VLK337" s="42" t="s">
        <v>606</v>
      </c>
      <c r="VLL337" s="42" t="s">
        <v>606</v>
      </c>
      <c r="VLM337" s="42" t="s">
        <v>606</v>
      </c>
      <c r="VLN337" s="42" t="s">
        <v>606</v>
      </c>
      <c r="VLO337" s="42" t="s">
        <v>606</v>
      </c>
      <c r="VLP337" s="42" t="s">
        <v>606</v>
      </c>
      <c r="VLQ337" s="42" t="s">
        <v>606</v>
      </c>
      <c r="VLR337" s="42" t="s">
        <v>606</v>
      </c>
      <c r="VLS337" s="42" t="s">
        <v>606</v>
      </c>
      <c r="VLT337" s="42" t="s">
        <v>606</v>
      </c>
      <c r="VLU337" s="42" t="s">
        <v>606</v>
      </c>
      <c r="VLV337" s="42" t="s">
        <v>606</v>
      </c>
      <c r="VLW337" s="42" t="s">
        <v>606</v>
      </c>
      <c r="VLX337" s="42" t="s">
        <v>606</v>
      </c>
      <c r="VLY337" s="42" t="s">
        <v>606</v>
      </c>
      <c r="VLZ337" s="42" t="s">
        <v>606</v>
      </c>
      <c r="VMA337" s="42" t="s">
        <v>606</v>
      </c>
      <c r="VMB337" s="42" t="s">
        <v>606</v>
      </c>
      <c r="VMC337" s="42" t="s">
        <v>606</v>
      </c>
      <c r="VMD337" s="42" t="s">
        <v>606</v>
      </c>
      <c r="VME337" s="42" t="s">
        <v>606</v>
      </c>
      <c r="VMF337" s="42" t="s">
        <v>606</v>
      </c>
      <c r="VMG337" s="42" t="s">
        <v>606</v>
      </c>
      <c r="VMH337" s="42" t="s">
        <v>606</v>
      </c>
      <c r="VMI337" s="42" t="s">
        <v>606</v>
      </c>
      <c r="VMJ337" s="42" t="s">
        <v>606</v>
      </c>
      <c r="VMK337" s="42" t="s">
        <v>606</v>
      </c>
      <c r="VML337" s="42" t="s">
        <v>606</v>
      </c>
      <c r="VMM337" s="42" t="s">
        <v>606</v>
      </c>
      <c r="VMN337" s="42" t="s">
        <v>606</v>
      </c>
      <c r="VMO337" s="42" t="s">
        <v>606</v>
      </c>
      <c r="VMP337" s="42" t="s">
        <v>606</v>
      </c>
      <c r="VMQ337" s="42" t="s">
        <v>606</v>
      </c>
      <c r="VMR337" s="42" t="s">
        <v>606</v>
      </c>
      <c r="VMS337" s="42" t="s">
        <v>606</v>
      </c>
      <c r="VMT337" s="42" t="s">
        <v>606</v>
      </c>
      <c r="VMU337" s="42" t="s">
        <v>606</v>
      </c>
      <c r="VMV337" s="42" t="s">
        <v>606</v>
      </c>
      <c r="VMW337" s="42" t="s">
        <v>606</v>
      </c>
      <c r="VMX337" s="42" t="s">
        <v>606</v>
      </c>
      <c r="VMY337" s="42" t="s">
        <v>606</v>
      </c>
      <c r="VMZ337" s="42" t="s">
        <v>606</v>
      </c>
      <c r="VNA337" s="42" t="s">
        <v>606</v>
      </c>
      <c r="VNB337" s="42" t="s">
        <v>606</v>
      </c>
      <c r="VNC337" s="42" t="s">
        <v>606</v>
      </c>
      <c r="VND337" s="42" t="s">
        <v>606</v>
      </c>
      <c r="VNE337" s="42" t="s">
        <v>606</v>
      </c>
      <c r="VNF337" s="42" t="s">
        <v>606</v>
      </c>
      <c r="VNG337" s="42" t="s">
        <v>606</v>
      </c>
      <c r="VNH337" s="42" t="s">
        <v>606</v>
      </c>
      <c r="VNI337" s="42" t="s">
        <v>606</v>
      </c>
      <c r="VNJ337" s="42" t="s">
        <v>606</v>
      </c>
      <c r="VNK337" s="42" t="s">
        <v>606</v>
      </c>
      <c r="VNL337" s="42" t="s">
        <v>606</v>
      </c>
      <c r="VNM337" s="42" t="s">
        <v>606</v>
      </c>
      <c r="VNN337" s="42" t="s">
        <v>606</v>
      </c>
      <c r="VNO337" s="42" t="s">
        <v>606</v>
      </c>
      <c r="VNP337" s="42" t="s">
        <v>606</v>
      </c>
      <c r="VNQ337" s="42" t="s">
        <v>606</v>
      </c>
      <c r="VNR337" s="42" t="s">
        <v>606</v>
      </c>
      <c r="VNS337" s="42" t="s">
        <v>606</v>
      </c>
      <c r="VNT337" s="42" t="s">
        <v>606</v>
      </c>
      <c r="VNU337" s="42" t="s">
        <v>606</v>
      </c>
      <c r="VNV337" s="42" t="s">
        <v>606</v>
      </c>
      <c r="VNW337" s="42" t="s">
        <v>606</v>
      </c>
      <c r="VNX337" s="42" t="s">
        <v>606</v>
      </c>
      <c r="VNY337" s="42" t="s">
        <v>606</v>
      </c>
      <c r="VNZ337" s="42" t="s">
        <v>606</v>
      </c>
      <c r="VOA337" s="42" t="s">
        <v>606</v>
      </c>
      <c r="VOB337" s="42" t="s">
        <v>606</v>
      </c>
      <c r="VOC337" s="42" t="s">
        <v>606</v>
      </c>
      <c r="VOD337" s="42" t="s">
        <v>606</v>
      </c>
      <c r="VOE337" s="42" t="s">
        <v>606</v>
      </c>
      <c r="VOF337" s="42" t="s">
        <v>606</v>
      </c>
      <c r="VOG337" s="42" t="s">
        <v>606</v>
      </c>
      <c r="VOH337" s="42" t="s">
        <v>606</v>
      </c>
      <c r="VOI337" s="42" t="s">
        <v>606</v>
      </c>
      <c r="VOJ337" s="42" t="s">
        <v>606</v>
      </c>
      <c r="VOK337" s="42" t="s">
        <v>606</v>
      </c>
      <c r="VOL337" s="42" t="s">
        <v>606</v>
      </c>
      <c r="VOM337" s="42" t="s">
        <v>606</v>
      </c>
      <c r="VON337" s="42" t="s">
        <v>606</v>
      </c>
      <c r="VOO337" s="42" t="s">
        <v>606</v>
      </c>
      <c r="VOP337" s="42" t="s">
        <v>606</v>
      </c>
      <c r="VOQ337" s="42" t="s">
        <v>606</v>
      </c>
      <c r="VOR337" s="42" t="s">
        <v>606</v>
      </c>
      <c r="VOS337" s="42" t="s">
        <v>606</v>
      </c>
      <c r="VOT337" s="42" t="s">
        <v>606</v>
      </c>
      <c r="VOU337" s="42" t="s">
        <v>606</v>
      </c>
      <c r="VOV337" s="42" t="s">
        <v>606</v>
      </c>
      <c r="VOW337" s="42" t="s">
        <v>606</v>
      </c>
      <c r="VOX337" s="42" t="s">
        <v>606</v>
      </c>
      <c r="VOY337" s="42" t="s">
        <v>606</v>
      </c>
      <c r="VOZ337" s="42" t="s">
        <v>606</v>
      </c>
      <c r="VPA337" s="42" t="s">
        <v>606</v>
      </c>
      <c r="VPB337" s="42" t="s">
        <v>606</v>
      </c>
      <c r="VPC337" s="42" t="s">
        <v>606</v>
      </c>
      <c r="VPD337" s="42" t="s">
        <v>606</v>
      </c>
      <c r="VPE337" s="42" t="s">
        <v>606</v>
      </c>
      <c r="VPF337" s="42" t="s">
        <v>606</v>
      </c>
      <c r="VPG337" s="42" t="s">
        <v>606</v>
      </c>
      <c r="VPH337" s="42" t="s">
        <v>606</v>
      </c>
      <c r="VPI337" s="42" t="s">
        <v>606</v>
      </c>
      <c r="VPJ337" s="42" t="s">
        <v>606</v>
      </c>
      <c r="VPK337" s="42" t="s">
        <v>606</v>
      </c>
      <c r="VPL337" s="42" t="s">
        <v>606</v>
      </c>
      <c r="VPM337" s="42" t="s">
        <v>606</v>
      </c>
      <c r="VPN337" s="42" t="s">
        <v>606</v>
      </c>
      <c r="VPO337" s="42" t="s">
        <v>606</v>
      </c>
      <c r="VPP337" s="42" t="s">
        <v>606</v>
      </c>
      <c r="VPQ337" s="42" t="s">
        <v>606</v>
      </c>
      <c r="VPR337" s="42" t="s">
        <v>606</v>
      </c>
      <c r="VPS337" s="42" t="s">
        <v>606</v>
      </c>
      <c r="VPT337" s="42" t="s">
        <v>606</v>
      </c>
      <c r="VPU337" s="42" t="s">
        <v>606</v>
      </c>
      <c r="VPV337" s="42" t="s">
        <v>606</v>
      </c>
      <c r="VPW337" s="42" t="s">
        <v>606</v>
      </c>
      <c r="VPX337" s="42" t="s">
        <v>606</v>
      </c>
      <c r="VPY337" s="42" t="s">
        <v>606</v>
      </c>
      <c r="VPZ337" s="42" t="s">
        <v>606</v>
      </c>
      <c r="VQA337" s="42" t="s">
        <v>606</v>
      </c>
      <c r="VQB337" s="42" t="s">
        <v>606</v>
      </c>
      <c r="VQC337" s="42" t="s">
        <v>606</v>
      </c>
      <c r="VQD337" s="42" t="s">
        <v>606</v>
      </c>
      <c r="VQE337" s="42" t="s">
        <v>606</v>
      </c>
      <c r="VQF337" s="42" t="s">
        <v>606</v>
      </c>
      <c r="VQG337" s="42" t="s">
        <v>606</v>
      </c>
      <c r="VQH337" s="42" t="s">
        <v>606</v>
      </c>
      <c r="VQI337" s="42" t="s">
        <v>606</v>
      </c>
      <c r="VQJ337" s="42" t="s">
        <v>606</v>
      </c>
      <c r="VQK337" s="42" t="s">
        <v>606</v>
      </c>
      <c r="VQL337" s="42" t="s">
        <v>606</v>
      </c>
      <c r="VQM337" s="42" t="s">
        <v>606</v>
      </c>
      <c r="VQN337" s="42" t="s">
        <v>606</v>
      </c>
      <c r="VQO337" s="42" t="s">
        <v>606</v>
      </c>
      <c r="VQP337" s="42" t="s">
        <v>606</v>
      </c>
      <c r="VQQ337" s="42" t="s">
        <v>606</v>
      </c>
      <c r="VQR337" s="42" t="s">
        <v>606</v>
      </c>
      <c r="VQS337" s="42" t="s">
        <v>606</v>
      </c>
      <c r="VQT337" s="42" t="s">
        <v>606</v>
      </c>
      <c r="VQU337" s="42" t="s">
        <v>606</v>
      </c>
      <c r="VQV337" s="42" t="s">
        <v>606</v>
      </c>
      <c r="VQW337" s="42" t="s">
        <v>606</v>
      </c>
      <c r="VQX337" s="42" t="s">
        <v>606</v>
      </c>
      <c r="VQY337" s="42" t="s">
        <v>606</v>
      </c>
      <c r="VQZ337" s="42" t="s">
        <v>606</v>
      </c>
      <c r="VRA337" s="42" t="s">
        <v>606</v>
      </c>
      <c r="VRB337" s="42" t="s">
        <v>606</v>
      </c>
      <c r="VRC337" s="42" t="s">
        <v>606</v>
      </c>
      <c r="VRD337" s="42" t="s">
        <v>606</v>
      </c>
      <c r="VRE337" s="42" t="s">
        <v>606</v>
      </c>
      <c r="VRF337" s="42" t="s">
        <v>606</v>
      </c>
      <c r="VRG337" s="42" t="s">
        <v>606</v>
      </c>
      <c r="VRH337" s="42" t="s">
        <v>606</v>
      </c>
      <c r="VRI337" s="42" t="s">
        <v>606</v>
      </c>
      <c r="VRJ337" s="42" t="s">
        <v>606</v>
      </c>
      <c r="VRK337" s="42" t="s">
        <v>606</v>
      </c>
      <c r="VRL337" s="42" t="s">
        <v>606</v>
      </c>
      <c r="VRM337" s="42" t="s">
        <v>606</v>
      </c>
      <c r="VRN337" s="42" t="s">
        <v>606</v>
      </c>
      <c r="VRO337" s="42" t="s">
        <v>606</v>
      </c>
      <c r="VRP337" s="42" t="s">
        <v>606</v>
      </c>
      <c r="VRQ337" s="42" t="s">
        <v>606</v>
      </c>
      <c r="VRR337" s="42" t="s">
        <v>606</v>
      </c>
      <c r="VRS337" s="42" t="s">
        <v>606</v>
      </c>
      <c r="VRT337" s="42" t="s">
        <v>606</v>
      </c>
      <c r="VRU337" s="42" t="s">
        <v>606</v>
      </c>
      <c r="VRV337" s="42" t="s">
        <v>606</v>
      </c>
      <c r="VRW337" s="42" t="s">
        <v>606</v>
      </c>
      <c r="VRX337" s="42" t="s">
        <v>606</v>
      </c>
      <c r="VRY337" s="42" t="s">
        <v>606</v>
      </c>
      <c r="VRZ337" s="42" t="s">
        <v>606</v>
      </c>
      <c r="VSA337" s="42" t="s">
        <v>606</v>
      </c>
      <c r="VSB337" s="42" t="s">
        <v>606</v>
      </c>
      <c r="VSC337" s="42" t="s">
        <v>606</v>
      </c>
      <c r="VSD337" s="42" t="s">
        <v>606</v>
      </c>
      <c r="VSE337" s="42" t="s">
        <v>606</v>
      </c>
      <c r="VSF337" s="42" t="s">
        <v>606</v>
      </c>
      <c r="VSG337" s="42" t="s">
        <v>606</v>
      </c>
      <c r="VSH337" s="42" t="s">
        <v>606</v>
      </c>
      <c r="VSI337" s="42" t="s">
        <v>606</v>
      </c>
      <c r="VSJ337" s="42" t="s">
        <v>606</v>
      </c>
      <c r="VSK337" s="42" t="s">
        <v>606</v>
      </c>
      <c r="VSL337" s="42" t="s">
        <v>606</v>
      </c>
      <c r="VSM337" s="42" t="s">
        <v>606</v>
      </c>
      <c r="VSN337" s="42" t="s">
        <v>606</v>
      </c>
      <c r="VSO337" s="42" t="s">
        <v>606</v>
      </c>
      <c r="VSP337" s="42" t="s">
        <v>606</v>
      </c>
      <c r="VSQ337" s="42" t="s">
        <v>606</v>
      </c>
      <c r="VSR337" s="42" t="s">
        <v>606</v>
      </c>
      <c r="VSS337" s="42" t="s">
        <v>606</v>
      </c>
      <c r="VST337" s="42" t="s">
        <v>606</v>
      </c>
      <c r="VSU337" s="42" t="s">
        <v>606</v>
      </c>
      <c r="VSV337" s="42" t="s">
        <v>606</v>
      </c>
      <c r="VSW337" s="42" t="s">
        <v>606</v>
      </c>
      <c r="VSX337" s="42" t="s">
        <v>606</v>
      </c>
      <c r="VSY337" s="42" t="s">
        <v>606</v>
      </c>
      <c r="VSZ337" s="42" t="s">
        <v>606</v>
      </c>
      <c r="VTA337" s="42" t="s">
        <v>606</v>
      </c>
      <c r="VTB337" s="42" t="s">
        <v>606</v>
      </c>
      <c r="VTC337" s="42" t="s">
        <v>606</v>
      </c>
      <c r="VTD337" s="42" t="s">
        <v>606</v>
      </c>
      <c r="VTE337" s="42" t="s">
        <v>606</v>
      </c>
      <c r="VTF337" s="42" t="s">
        <v>606</v>
      </c>
      <c r="VTG337" s="42" t="s">
        <v>606</v>
      </c>
      <c r="VTH337" s="42" t="s">
        <v>606</v>
      </c>
      <c r="VTI337" s="42" t="s">
        <v>606</v>
      </c>
      <c r="VTJ337" s="42" t="s">
        <v>606</v>
      </c>
      <c r="VTK337" s="42" t="s">
        <v>606</v>
      </c>
      <c r="VTL337" s="42" t="s">
        <v>606</v>
      </c>
      <c r="VTM337" s="42" t="s">
        <v>606</v>
      </c>
      <c r="VTN337" s="42" t="s">
        <v>606</v>
      </c>
      <c r="VTO337" s="42" t="s">
        <v>606</v>
      </c>
      <c r="VTP337" s="42" t="s">
        <v>606</v>
      </c>
      <c r="VTQ337" s="42" t="s">
        <v>606</v>
      </c>
      <c r="VTR337" s="42" t="s">
        <v>606</v>
      </c>
      <c r="VTS337" s="42" t="s">
        <v>606</v>
      </c>
      <c r="VTT337" s="42" t="s">
        <v>606</v>
      </c>
      <c r="VTU337" s="42" t="s">
        <v>606</v>
      </c>
      <c r="VTV337" s="42" t="s">
        <v>606</v>
      </c>
      <c r="VTW337" s="42" t="s">
        <v>606</v>
      </c>
      <c r="VTX337" s="42" t="s">
        <v>606</v>
      </c>
      <c r="VTY337" s="42" t="s">
        <v>606</v>
      </c>
      <c r="VTZ337" s="42" t="s">
        <v>606</v>
      </c>
      <c r="VUA337" s="42" t="s">
        <v>606</v>
      </c>
      <c r="VUB337" s="42" t="s">
        <v>606</v>
      </c>
      <c r="VUC337" s="42" t="s">
        <v>606</v>
      </c>
      <c r="VUD337" s="42" t="s">
        <v>606</v>
      </c>
      <c r="VUE337" s="42" t="s">
        <v>606</v>
      </c>
      <c r="VUF337" s="42" t="s">
        <v>606</v>
      </c>
      <c r="VUG337" s="42" t="s">
        <v>606</v>
      </c>
      <c r="VUH337" s="42" t="s">
        <v>606</v>
      </c>
      <c r="VUI337" s="42" t="s">
        <v>606</v>
      </c>
      <c r="VUJ337" s="42" t="s">
        <v>606</v>
      </c>
      <c r="VUK337" s="42" t="s">
        <v>606</v>
      </c>
      <c r="VUL337" s="42" t="s">
        <v>606</v>
      </c>
      <c r="VUM337" s="42" t="s">
        <v>606</v>
      </c>
      <c r="VUN337" s="42" t="s">
        <v>606</v>
      </c>
      <c r="VUO337" s="42" t="s">
        <v>606</v>
      </c>
      <c r="VUP337" s="42" t="s">
        <v>606</v>
      </c>
      <c r="VUQ337" s="42" t="s">
        <v>606</v>
      </c>
      <c r="VUR337" s="42" t="s">
        <v>606</v>
      </c>
      <c r="VUS337" s="42" t="s">
        <v>606</v>
      </c>
      <c r="VUT337" s="42" t="s">
        <v>606</v>
      </c>
      <c r="VUU337" s="42" t="s">
        <v>606</v>
      </c>
      <c r="VUV337" s="42" t="s">
        <v>606</v>
      </c>
      <c r="VUW337" s="42" t="s">
        <v>606</v>
      </c>
      <c r="VUX337" s="42" t="s">
        <v>606</v>
      </c>
      <c r="VUY337" s="42" t="s">
        <v>606</v>
      </c>
      <c r="VUZ337" s="42" t="s">
        <v>606</v>
      </c>
      <c r="VVA337" s="42" t="s">
        <v>606</v>
      </c>
      <c r="VVB337" s="42" t="s">
        <v>606</v>
      </c>
      <c r="VVC337" s="42" t="s">
        <v>606</v>
      </c>
      <c r="VVD337" s="42" t="s">
        <v>606</v>
      </c>
      <c r="VVE337" s="42" t="s">
        <v>606</v>
      </c>
      <c r="VVF337" s="42" t="s">
        <v>606</v>
      </c>
      <c r="VVG337" s="42" t="s">
        <v>606</v>
      </c>
      <c r="VVH337" s="42" t="s">
        <v>606</v>
      </c>
      <c r="VVI337" s="42" t="s">
        <v>606</v>
      </c>
      <c r="VVJ337" s="42" t="s">
        <v>606</v>
      </c>
      <c r="VVK337" s="42" t="s">
        <v>606</v>
      </c>
      <c r="VVL337" s="42" t="s">
        <v>606</v>
      </c>
      <c r="VVM337" s="42" t="s">
        <v>606</v>
      </c>
      <c r="VVN337" s="42" t="s">
        <v>606</v>
      </c>
      <c r="VVO337" s="42" t="s">
        <v>606</v>
      </c>
      <c r="VVP337" s="42" t="s">
        <v>606</v>
      </c>
      <c r="VVQ337" s="42" t="s">
        <v>606</v>
      </c>
      <c r="VVR337" s="42" t="s">
        <v>606</v>
      </c>
      <c r="VVS337" s="42" t="s">
        <v>606</v>
      </c>
      <c r="VVT337" s="42" t="s">
        <v>606</v>
      </c>
      <c r="VVU337" s="42" t="s">
        <v>606</v>
      </c>
      <c r="VVV337" s="42" t="s">
        <v>606</v>
      </c>
      <c r="VVW337" s="42" t="s">
        <v>606</v>
      </c>
      <c r="VVX337" s="42" t="s">
        <v>606</v>
      </c>
      <c r="VVY337" s="42" t="s">
        <v>606</v>
      </c>
      <c r="VVZ337" s="42" t="s">
        <v>606</v>
      </c>
      <c r="VWA337" s="42" t="s">
        <v>606</v>
      </c>
      <c r="VWB337" s="42" t="s">
        <v>606</v>
      </c>
      <c r="VWC337" s="42" t="s">
        <v>606</v>
      </c>
      <c r="VWD337" s="42" t="s">
        <v>606</v>
      </c>
      <c r="VWE337" s="42" t="s">
        <v>606</v>
      </c>
      <c r="VWF337" s="42" t="s">
        <v>606</v>
      </c>
      <c r="VWG337" s="42" t="s">
        <v>606</v>
      </c>
      <c r="VWH337" s="42" t="s">
        <v>606</v>
      </c>
      <c r="VWI337" s="42" t="s">
        <v>606</v>
      </c>
      <c r="VWJ337" s="42" t="s">
        <v>606</v>
      </c>
      <c r="VWK337" s="42" t="s">
        <v>606</v>
      </c>
      <c r="VWL337" s="42" t="s">
        <v>606</v>
      </c>
      <c r="VWM337" s="42" t="s">
        <v>606</v>
      </c>
      <c r="VWN337" s="42" t="s">
        <v>606</v>
      </c>
      <c r="VWO337" s="42" t="s">
        <v>606</v>
      </c>
      <c r="VWP337" s="42" t="s">
        <v>606</v>
      </c>
      <c r="VWQ337" s="42" t="s">
        <v>606</v>
      </c>
      <c r="VWR337" s="42" t="s">
        <v>606</v>
      </c>
      <c r="VWS337" s="42" t="s">
        <v>606</v>
      </c>
      <c r="VWT337" s="42" t="s">
        <v>606</v>
      </c>
      <c r="VWU337" s="42" t="s">
        <v>606</v>
      </c>
      <c r="VWV337" s="42" t="s">
        <v>606</v>
      </c>
      <c r="VWW337" s="42" t="s">
        <v>606</v>
      </c>
      <c r="VWX337" s="42" t="s">
        <v>606</v>
      </c>
      <c r="VWY337" s="42" t="s">
        <v>606</v>
      </c>
      <c r="VWZ337" s="42" t="s">
        <v>606</v>
      </c>
      <c r="VXA337" s="42" t="s">
        <v>606</v>
      </c>
      <c r="VXB337" s="42" t="s">
        <v>606</v>
      </c>
      <c r="VXC337" s="42" t="s">
        <v>606</v>
      </c>
      <c r="VXD337" s="42" t="s">
        <v>606</v>
      </c>
      <c r="VXE337" s="42" t="s">
        <v>606</v>
      </c>
      <c r="VXF337" s="42" t="s">
        <v>606</v>
      </c>
      <c r="VXG337" s="42" t="s">
        <v>606</v>
      </c>
      <c r="VXH337" s="42" t="s">
        <v>606</v>
      </c>
      <c r="VXI337" s="42" t="s">
        <v>606</v>
      </c>
      <c r="VXJ337" s="42" t="s">
        <v>606</v>
      </c>
      <c r="VXK337" s="42" t="s">
        <v>606</v>
      </c>
      <c r="VXL337" s="42" t="s">
        <v>606</v>
      </c>
      <c r="VXM337" s="42" t="s">
        <v>606</v>
      </c>
      <c r="VXN337" s="42" t="s">
        <v>606</v>
      </c>
      <c r="VXO337" s="42" t="s">
        <v>606</v>
      </c>
      <c r="VXP337" s="42" t="s">
        <v>606</v>
      </c>
      <c r="VXQ337" s="42" t="s">
        <v>606</v>
      </c>
      <c r="VXR337" s="42" t="s">
        <v>606</v>
      </c>
      <c r="VXS337" s="42" t="s">
        <v>606</v>
      </c>
      <c r="VXT337" s="42" t="s">
        <v>606</v>
      </c>
      <c r="VXU337" s="42" t="s">
        <v>606</v>
      </c>
      <c r="VXV337" s="42" t="s">
        <v>606</v>
      </c>
      <c r="VXW337" s="42" t="s">
        <v>606</v>
      </c>
      <c r="VXX337" s="42" t="s">
        <v>606</v>
      </c>
      <c r="VXY337" s="42" t="s">
        <v>606</v>
      </c>
      <c r="VXZ337" s="42" t="s">
        <v>606</v>
      </c>
      <c r="VYA337" s="42" t="s">
        <v>606</v>
      </c>
      <c r="VYB337" s="42" t="s">
        <v>606</v>
      </c>
      <c r="VYC337" s="42" t="s">
        <v>606</v>
      </c>
      <c r="VYD337" s="42" t="s">
        <v>606</v>
      </c>
      <c r="VYE337" s="42" t="s">
        <v>606</v>
      </c>
      <c r="VYF337" s="42" t="s">
        <v>606</v>
      </c>
      <c r="VYG337" s="42" t="s">
        <v>606</v>
      </c>
      <c r="VYH337" s="42" t="s">
        <v>606</v>
      </c>
      <c r="VYI337" s="42" t="s">
        <v>606</v>
      </c>
      <c r="VYJ337" s="42" t="s">
        <v>606</v>
      </c>
      <c r="VYK337" s="42" t="s">
        <v>606</v>
      </c>
      <c r="VYL337" s="42" t="s">
        <v>606</v>
      </c>
      <c r="VYM337" s="42" t="s">
        <v>606</v>
      </c>
      <c r="VYN337" s="42" t="s">
        <v>606</v>
      </c>
      <c r="VYO337" s="42" t="s">
        <v>606</v>
      </c>
      <c r="VYP337" s="42" t="s">
        <v>606</v>
      </c>
      <c r="VYQ337" s="42" t="s">
        <v>606</v>
      </c>
      <c r="VYR337" s="42" t="s">
        <v>606</v>
      </c>
      <c r="VYS337" s="42" t="s">
        <v>606</v>
      </c>
      <c r="VYT337" s="42" t="s">
        <v>606</v>
      </c>
      <c r="VYU337" s="42" t="s">
        <v>606</v>
      </c>
      <c r="VYV337" s="42" t="s">
        <v>606</v>
      </c>
      <c r="VYW337" s="42" t="s">
        <v>606</v>
      </c>
      <c r="VYX337" s="42" t="s">
        <v>606</v>
      </c>
      <c r="VYY337" s="42" t="s">
        <v>606</v>
      </c>
      <c r="VYZ337" s="42" t="s">
        <v>606</v>
      </c>
      <c r="VZA337" s="42" t="s">
        <v>606</v>
      </c>
      <c r="VZB337" s="42" t="s">
        <v>606</v>
      </c>
      <c r="VZC337" s="42" t="s">
        <v>606</v>
      </c>
      <c r="VZD337" s="42" t="s">
        <v>606</v>
      </c>
      <c r="VZE337" s="42" t="s">
        <v>606</v>
      </c>
      <c r="VZF337" s="42" t="s">
        <v>606</v>
      </c>
      <c r="VZG337" s="42" t="s">
        <v>606</v>
      </c>
      <c r="VZH337" s="42" t="s">
        <v>606</v>
      </c>
      <c r="VZI337" s="42" t="s">
        <v>606</v>
      </c>
      <c r="VZJ337" s="42" t="s">
        <v>606</v>
      </c>
      <c r="VZK337" s="42" t="s">
        <v>606</v>
      </c>
      <c r="VZL337" s="42" t="s">
        <v>606</v>
      </c>
      <c r="VZM337" s="42" t="s">
        <v>606</v>
      </c>
      <c r="VZN337" s="42" t="s">
        <v>606</v>
      </c>
      <c r="VZO337" s="42" t="s">
        <v>606</v>
      </c>
      <c r="VZP337" s="42" t="s">
        <v>606</v>
      </c>
      <c r="VZQ337" s="42" t="s">
        <v>606</v>
      </c>
      <c r="VZR337" s="42" t="s">
        <v>606</v>
      </c>
      <c r="VZS337" s="42" t="s">
        <v>606</v>
      </c>
      <c r="VZT337" s="42" t="s">
        <v>606</v>
      </c>
      <c r="VZU337" s="42" t="s">
        <v>606</v>
      </c>
      <c r="VZV337" s="42" t="s">
        <v>606</v>
      </c>
      <c r="VZW337" s="42" t="s">
        <v>606</v>
      </c>
      <c r="VZX337" s="42" t="s">
        <v>606</v>
      </c>
      <c r="VZY337" s="42" t="s">
        <v>606</v>
      </c>
      <c r="VZZ337" s="42" t="s">
        <v>606</v>
      </c>
      <c r="WAA337" s="42" t="s">
        <v>606</v>
      </c>
      <c r="WAB337" s="42" t="s">
        <v>606</v>
      </c>
      <c r="WAC337" s="42" t="s">
        <v>606</v>
      </c>
      <c r="WAD337" s="42" t="s">
        <v>606</v>
      </c>
      <c r="WAE337" s="42" t="s">
        <v>606</v>
      </c>
      <c r="WAF337" s="42" t="s">
        <v>606</v>
      </c>
      <c r="WAG337" s="42" t="s">
        <v>606</v>
      </c>
      <c r="WAH337" s="42" t="s">
        <v>606</v>
      </c>
      <c r="WAI337" s="42" t="s">
        <v>606</v>
      </c>
      <c r="WAJ337" s="42" t="s">
        <v>606</v>
      </c>
      <c r="WAK337" s="42" t="s">
        <v>606</v>
      </c>
      <c r="WAL337" s="42" t="s">
        <v>606</v>
      </c>
      <c r="WAM337" s="42" t="s">
        <v>606</v>
      </c>
      <c r="WAN337" s="42" t="s">
        <v>606</v>
      </c>
      <c r="WAO337" s="42" t="s">
        <v>606</v>
      </c>
      <c r="WAP337" s="42" t="s">
        <v>606</v>
      </c>
      <c r="WAQ337" s="42" t="s">
        <v>606</v>
      </c>
      <c r="WAR337" s="42" t="s">
        <v>606</v>
      </c>
      <c r="WAS337" s="42" t="s">
        <v>606</v>
      </c>
      <c r="WAT337" s="42" t="s">
        <v>606</v>
      </c>
      <c r="WAU337" s="42" t="s">
        <v>606</v>
      </c>
      <c r="WAV337" s="42" t="s">
        <v>606</v>
      </c>
      <c r="WAW337" s="42" t="s">
        <v>606</v>
      </c>
      <c r="WAX337" s="42" t="s">
        <v>606</v>
      </c>
      <c r="WAY337" s="42" t="s">
        <v>606</v>
      </c>
      <c r="WAZ337" s="42" t="s">
        <v>606</v>
      </c>
      <c r="WBA337" s="42" t="s">
        <v>606</v>
      </c>
      <c r="WBB337" s="42" t="s">
        <v>606</v>
      </c>
      <c r="WBC337" s="42" t="s">
        <v>606</v>
      </c>
      <c r="WBD337" s="42" t="s">
        <v>606</v>
      </c>
      <c r="WBE337" s="42" t="s">
        <v>606</v>
      </c>
      <c r="WBF337" s="42" t="s">
        <v>606</v>
      </c>
      <c r="WBG337" s="42" t="s">
        <v>606</v>
      </c>
      <c r="WBH337" s="42" t="s">
        <v>606</v>
      </c>
      <c r="WBI337" s="42" t="s">
        <v>606</v>
      </c>
      <c r="WBJ337" s="42" t="s">
        <v>606</v>
      </c>
      <c r="WBK337" s="42" t="s">
        <v>606</v>
      </c>
      <c r="WBL337" s="42" t="s">
        <v>606</v>
      </c>
      <c r="WBM337" s="42" t="s">
        <v>606</v>
      </c>
      <c r="WBN337" s="42" t="s">
        <v>606</v>
      </c>
      <c r="WBO337" s="42" t="s">
        <v>606</v>
      </c>
      <c r="WBP337" s="42" t="s">
        <v>606</v>
      </c>
      <c r="WBQ337" s="42" t="s">
        <v>606</v>
      </c>
      <c r="WBR337" s="42" t="s">
        <v>606</v>
      </c>
      <c r="WBS337" s="42" t="s">
        <v>606</v>
      </c>
      <c r="WBT337" s="42" t="s">
        <v>606</v>
      </c>
      <c r="WBU337" s="42" t="s">
        <v>606</v>
      </c>
      <c r="WBV337" s="42" t="s">
        <v>606</v>
      </c>
      <c r="WBW337" s="42" t="s">
        <v>606</v>
      </c>
      <c r="WBX337" s="42" t="s">
        <v>606</v>
      </c>
      <c r="WBY337" s="42" t="s">
        <v>606</v>
      </c>
      <c r="WBZ337" s="42" t="s">
        <v>606</v>
      </c>
      <c r="WCA337" s="42" t="s">
        <v>606</v>
      </c>
      <c r="WCB337" s="42" t="s">
        <v>606</v>
      </c>
      <c r="WCC337" s="42" t="s">
        <v>606</v>
      </c>
      <c r="WCD337" s="42" t="s">
        <v>606</v>
      </c>
      <c r="WCE337" s="42" t="s">
        <v>606</v>
      </c>
      <c r="WCF337" s="42" t="s">
        <v>606</v>
      </c>
      <c r="WCG337" s="42" t="s">
        <v>606</v>
      </c>
      <c r="WCH337" s="42" t="s">
        <v>606</v>
      </c>
      <c r="WCI337" s="42" t="s">
        <v>606</v>
      </c>
      <c r="WCJ337" s="42" t="s">
        <v>606</v>
      </c>
      <c r="WCK337" s="42" t="s">
        <v>606</v>
      </c>
      <c r="WCL337" s="42" t="s">
        <v>606</v>
      </c>
      <c r="WCM337" s="42" t="s">
        <v>606</v>
      </c>
      <c r="WCN337" s="42" t="s">
        <v>606</v>
      </c>
      <c r="WCO337" s="42" t="s">
        <v>606</v>
      </c>
      <c r="WCP337" s="42" t="s">
        <v>606</v>
      </c>
      <c r="WCQ337" s="42" t="s">
        <v>606</v>
      </c>
      <c r="WCR337" s="42" t="s">
        <v>606</v>
      </c>
      <c r="WCS337" s="42" t="s">
        <v>606</v>
      </c>
      <c r="WCT337" s="42" t="s">
        <v>606</v>
      </c>
      <c r="WCU337" s="42" t="s">
        <v>606</v>
      </c>
      <c r="WCV337" s="42" t="s">
        <v>606</v>
      </c>
      <c r="WCW337" s="42" t="s">
        <v>606</v>
      </c>
      <c r="WCX337" s="42" t="s">
        <v>606</v>
      </c>
      <c r="WCY337" s="42" t="s">
        <v>606</v>
      </c>
      <c r="WCZ337" s="42" t="s">
        <v>606</v>
      </c>
      <c r="WDA337" s="42" t="s">
        <v>606</v>
      </c>
      <c r="WDB337" s="42" t="s">
        <v>606</v>
      </c>
      <c r="WDC337" s="42" t="s">
        <v>606</v>
      </c>
      <c r="WDD337" s="42" t="s">
        <v>606</v>
      </c>
      <c r="WDE337" s="42" t="s">
        <v>606</v>
      </c>
      <c r="WDF337" s="42" t="s">
        <v>606</v>
      </c>
      <c r="WDG337" s="42" t="s">
        <v>606</v>
      </c>
      <c r="WDH337" s="42" t="s">
        <v>606</v>
      </c>
      <c r="WDI337" s="42" t="s">
        <v>606</v>
      </c>
      <c r="WDJ337" s="42" t="s">
        <v>606</v>
      </c>
      <c r="WDK337" s="42" t="s">
        <v>606</v>
      </c>
      <c r="WDL337" s="42" t="s">
        <v>606</v>
      </c>
      <c r="WDM337" s="42" t="s">
        <v>606</v>
      </c>
      <c r="WDN337" s="42" t="s">
        <v>606</v>
      </c>
      <c r="WDO337" s="42" t="s">
        <v>606</v>
      </c>
      <c r="WDP337" s="42" t="s">
        <v>606</v>
      </c>
      <c r="WDQ337" s="42" t="s">
        <v>606</v>
      </c>
      <c r="WDR337" s="42" t="s">
        <v>606</v>
      </c>
      <c r="WDS337" s="42" t="s">
        <v>606</v>
      </c>
      <c r="WDT337" s="42" t="s">
        <v>606</v>
      </c>
      <c r="WDU337" s="42" t="s">
        <v>606</v>
      </c>
      <c r="WDV337" s="42" t="s">
        <v>606</v>
      </c>
      <c r="WDW337" s="42" t="s">
        <v>606</v>
      </c>
      <c r="WDX337" s="42" t="s">
        <v>606</v>
      </c>
      <c r="WDY337" s="42" t="s">
        <v>606</v>
      </c>
      <c r="WDZ337" s="42" t="s">
        <v>606</v>
      </c>
      <c r="WEA337" s="42" t="s">
        <v>606</v>
      </c>
      <c r="WEB337" s="42" t="s">
        <v>606</v>
      </c>
      <c r="WEC337" s="42" t="s">
        <v>606</v>
      </c>
      <c r="WED337" s="42" t="s">
        <v>606</v>
      </c>
      <c r="WEE337" s="42" t="s">
        <v>606</v>
      </c>
      <c r="WEF337" s="42" t="s">
        <v>606</v>
      </c>
      <c r="WEG337" s="42" t="s">
        <v>606</v>
      </c>
      <c r="WEH337" s="42" t="s">
        <v>606</v>
      </c>
      <c r="WEI337" s="42" t="s">
        <v>606</v>
      </c>
      <c r="WEJ337" s="42" t="s">
        <v>606</v>
      </c>
      <c r="WEK337" s="42" t="s">
        <v>606</v>
      </c>
      <c r="WEL337" s="42" t="s">
        <v>606</v>
      </c>
      <c r="WEM337" s="42" t="s">
        <v>606</v>
      </c>
      <c r="WEN337" s="42" t="s">
        <v>606</v>
      </c>
      <c r="WEO337" s="42" t="s">
        <v>606</v>
      </c>
      <c r="WEP337" s="42" t="s">
        <v>606</v>
      </c>
      <c r="WEQ337" s="42" t="s">
        <v>606</v>
      </c>
      <c r="WER337" s="42" t="s">
        <v>606</v>
      </c>
      <c r="WES337" s="42" t="s">
        <v>606</v>
      </c>
      <c r="WET337" s="42" t="s">
        <v>606</v>
      </c>
      <c r="WEU337" s="42" t="s">
        <v>606</v>
      </c>
      <c r="WEV337" s="42" t="s">
        <v>606</v>
      </c>
      <c r="WEW337" s="42" t="s">
        <v>606</v>
      </c>
      <c r="WEX337" s="42" t="s">
        <v>606</v>
      </c>
      <c r="WEY337" s="42" t="s">
        <v>606</v>
      </c>
      <c r="WEZ337" s="42" t="s">
        <v>606</v>
      </c>
      <c r="WFA337" s="42" t="s">
        <v>606</v>
      </c>
      <c r="WFB337" s="42" t="s">
        <v>606</v>
      </c>
      <c r="WFC337" s="42" t="s">
        <v>606</v>
      </c>
      <c r="WFD337" s="42" t="s">
        <v>606</v>
      </c>
      <c r="WFE337" s="42" t="s">
        <v>606</v>
      </c>
      <c r="WFF337" s="42" t="s">
        <v>606</v>
      </c>
      <c r="WFG337" s="42" t="s">
        <v>606</v>
      </c>
      <c r="WFH337" s="42" t="s">
        <v>606</v>
      </c>
      <c r="WFI337" s="42" t="s">
        <v>606</v>
      </c>
      <c r="WFJ337" s="42" t="s">
        <v>606</v>
      </c>
      <c r="WFK337" s="42" t="s">
        <v>606</v>
      </c>
      <c r="WFL337" s="42" t="s">
        <v>606</v>
      </c>
      <c r="WFM337" s="42" t="s">
        <v>606</v>
      </c>
      <c r="WFN337" s="42" t="s">
        <v>606</v>
      </c>
      <c r="WFO337" s="42" t="s">
        <v>606</v>
      </c>
      <c r="WFP337" s="42" t="s">
        <v>606</v>
      </c>
      <c r="WFQ337" s="42" t="s">
        <v>606</v>
      </c>
      <c r="WFR337" s="42" t="s">
        <v>606</v>
      </c>
      <c r="WFS337" s="42" t="s">
        <v>606</v>
      </c>
      <c r="WFT337" s="42" t="s">
        <v>606</v>
      </c>
      <c r="WFU337" s="42" t="s">
        <v>606</v>
      </c>
      <c r="WFV337" s="42" t="s">
        <v>606</v>
      </c>
      <c r="WFW337" s="42" t="s">
        <v>606</v>
      </c>
      <c r="WFX337" s="42" t="s">
        <v>606</v>
      </c>
      <c r="WFY337" s="42" t="s">
        <v>606</v>
      </c>
      <c r="WFZ337" s="42" t="s">
        <v>606</v>
      </c>
      <c r="WGA337" s="42" t="s">
        <v>606</v>
      </c>
      <c r="WGB337" s="42" t="s">
        <v>606</v>
      </c>
      <c r="WGC337" s="42" t="s">
        <v>606</v>
      </c>
      <c r="WGD337" s="42" t="s">
        <v>606</v>
      </c>
      <c r="WGE337" s="42" t="s">
        <v>606</v>
      </c>
      <c r="WGF337" s="42" t="s">
        <v>606</v>
      </c>
      <c r="WGG337" s="42" t="s">
        <v>606</v>
      </c>
      <c r="WGH337" s="42" t="s">
        <v>606</v>
      </c>
      <c r="WGI337" s="42" t="s">
        <v>606</v>
      </c>
      <c r="WGJ337" s="42" t="s">
        <v>606</v>
      </c>
      <c r="WGK337" s="42" t="s">
        <v>606</v>
      </c>
      <c r="WGL337" s="42" t="s">
        <v>606</v>
      </c>
      <c r="WGM337" s="42" t="s">
        <v>606</v>
      </c>
      <c r="WGN337" s="42" t="s">
        <v>606</v>
      </c>
      <c r="WGO337" s="42" t="s">
        <v>606</v>
      </c>
      <c r="WGP337" s="42" t="s">
        <v>606</v>
      </c>
      <c r="WGQ337" s="42" t="s">
        <v>606</v>
      </c>
      <c r="WGR337" s="42" t="s">
        <v>606</v>
      </c>
      <c r="WGS337" s="42" t="s">
        <v>606</v>
      </c>
      <c r="WGT337" s="42" t="s">
        <v>606</v>
      </c>
      <c r="WGU337" s="42" t="s">
        <v>606</v>
      </c>
      <c r="WGV337" s="42" t="s">
        <v>606</v>
      </c>
      <c r="WGW337" s="42" t="s">
        <v>606</v>
      </c>
      <c r="WGX337" s="42" t="s">
        <v>606</v>
      </c>
      <c r="WGY337" s="42" t="s">
        <v>606</v>
      </c>
      <c r="WGZ337" s="42" t="s">
        <v>606</v>
      </c>
      <c r="WHA337" s="42" t="s">
        <v>606</v>
      </c>
      <c r="WHB337" s="42" t="s">
        <v>606</v>
      </c>
      <c r="WHC337" s="42" t="s">
        <v>606</v>
      </c>
      <c r="WHD337" s="42" t="s">
        <v>606</v>
      </c>
      <c r="WHE337" s="42" t="s">
        <v>606</v>
      </c>
      <c r="WHF337" s="42" t="s">
        <v>606</v>
      </c>
      <c r="WHG337" s="42" t="s">
        <v>606</v>
      </c>
      <c r="WHH337" s="42" t="s">
        <v>606</v>
      </c>
      <c r="WHI337" s="42" t="s">
        <v>606</v>
      </c>
      <c r="WHJ337" s="42" t="s">
        <v>606</v>
      </c>
      <c r="WHK337" s="42" t="s">
        <v>606</v>
      </c>
      <c r="WHL337" s="42" t="s">
        <v>606</v>
      </c>
      <c r="WHM337" s="42" t="s">
        <v>606</v>
      </c>
      <c r="WHN337" s="42" t="s">
        <v>606</v>
      </c>
      <c r="WHO337" s="42" t="s">
        <v>606</v>
      </c>
      <c r="WHP337" s="42" t="s">
        <v>606</v>
      </c>
      <c r="WHQ337" s="42" t="s">
        <v>606</v>
      </c>
      <c r="WHR337" s="42" t="s">
        <v>606</v>
      </c>
      <c r="WHS337" s="42" t="s">
        <v>606</v>
      </c>
      <c r="WHT337" s="42" t="s">
        <v>606</v>
      </c>
      <c r="WHU337" s="42" t="s">
        <v>606</v>
      </c>
      <c r="WHV337" s="42" t="s">
        <v>606</v>
      </c>
      <c r="WHW337" s="42" t="s">
        <v>606</v>
      </c>
      <c r="WHX337" s="42" t="s">
        <v>606</v>
      </c>
      <c r="WHY337" s="42" t="s">
        <v>606</v>
      </c>
      <c r="WHZ337" s="42" t="s">
        <v>606</v>
      </c>
      <c r="WIA337" s="42" t="s">
        <v>606</v>
      </c>
      <c r="WIB337" s="42" t="s">
        <v>606</v>
      </c>
      <c r="WIC337" s="42" t="s">
        <v>606</v>
      </c>
      <c r="WID337" s="42" t="s">
        <v>606</v>
      </c>
      <c r="WIE337" s="42" t="s">
        <v>606</v>
      </c>
      <c r="WIF337" s="42" t="s">
        <v>606</v>
      </c>
      <c r="WIG337" s="42" t="s">
        <v>606</v>
      </c>
      <c r="WIH337" s="42" t="s">
        <v>606</v>
      </c>
      <c r="WII337" s="42" t="s">
        <v>606</v>
      </c>
      <c r="WIJ337" s="42" t="s">
        <v>606</v>
      </c>
      <c r="WIK337" s="42" t="s">
        <v>606</v>
      </c>
      <c r="WIL337" s="42" t="s">
        <v>606</v>
      </c>
      <c r="WIM337" s="42" t="s">
        <v>606</v>
      </c>
      <c r="WIN337" s="42" t="s">
        <v>606</v>
      </c>
      <c r="WIO337" s="42" t="s">
        <v>606</v>
      </c>
      <c r="WIP337" s="42" t="s">
        <v>606</v>
      </c>
      <c r="WIQ337" s="42" t="s">
        <v>606</v>
      </c>
      <c r="WIR337" s="42" t="s">
        <v>606</v>
      </c>
      <c r="WIS337" s="42" t="s">
        <v>606</v>
      </c>
      <c r="WIT337" s="42" t="s">
        <v>606</v>
      </c>
      <c r="WIU337" s="42" t="s">
        <v>606</v>
      </c>
      <c r="WIV337" s="42" t="s">
        <v>606</v>
      </c>
      <c r="WIW337" s="42" t="s">
        <v>606</v>
      </c>
      <c r="WIX337" s="42" t="s">
        <v>606</v>
      </c>
      <c r="WIY337" s="42" t="s">
        <v>606</v>
      </c>
      <c r="WIZ337" s="42" t="s">
        <v>606</v>
      </c>
      <c r="WJA337" s="42" t="s">
        <v>606</v>
      </c>
      <c r="WJB337" s="42" t="s">
        <v>606</v>
      </c>
      <c r="WJC337" s="42" t="s">
        <v>606</v>
      </c>
      <c r="WJD337" s="42" t="s">
        <v>606</v>
      </c>
      <c r="WJE337" s="42" t="s">
        <v>606</v>
      </c>
      <c r="WJF337" s="42" t="s">
        <v>606</v>
      </c>
      <c r="WJG337" s="42" t="s">
        <v>606</v>
      </c>
      <c r="WJH337" s="42" t="s">
        <v>606</v>
      </c>
      <c r="WJI337" s="42" t="s">
        <v>606</v>
      </c>
      <c r="WJJ337" s="42" t="s">
        <v>606</v>
      </c>
      <c r="WJK337" s="42" t="s">
        <v>606</v>
      </c>
      <c r="WJL337" s="42" t="s">
        <v>606</v>
      </c>
      <c r="WJM337" s="42" t="s">
        <v>606</v>
      </c>
      <c r="WJN337" s="42" t="s">
        <v>606</v>
      </c>
      <c r="WJO337" s="42" t="s">
        <v>606</v>
      </c>
      <c r="WJP337" s="42" t="s">
        <v>606</v>
      </c>
      <c r="WJQ337" s="42" t="s">
        <v>606</v>
      </c>
      <c r="WJR337" s="42" t="s">
        <v>606</v>
      </c>
      <c r="WJS337" s="42" t="s">
        <v>606</v>
      </c>
      <c r="WJT337" s="42" t="s">
        <v>606</v>
      </c>
      <c r="WJU337" s="42" t="s">
        <v>606</v>
      </c>
      <c r="WJV337" s="42" t="s">
        <v>606</v>
      </c>
      <c r="WJW337" s="42" t="s">
        <v>606</v>
      </c>
      <c r="WJX337" s="42" t="s">
        <v>606</v>
      </c>
      <c r="WJY337" s="42" t="s">
        <v>606</v>
      </c>
      <c r="WJZ337" s="42" t="s">
        <v>606</v>
      </c>
      <c r="WKA337" s="42" t="s">
        <v>606</v>
      </c>
      <c r="WKB337" s="42" t="s">
        <v>606</v>
      </c>
      <c r="WKC337" s="42" t="s">
        <v>606</v>
      </c>
      <c r="WKD337" s="42" t="s">
        <v>606</v>
      </c>
      <c r="WKE337" s="42" t="s">
        <v>606</v>
      </c>
      <c r="WKF337" s="42" t="s">
        <v>606</v>
      </c>
      <c r="WKG337" s="42" t="s">
        <v>606</v>
      </c>
      <c r="WKH337" s="42" t="s">
        <v>606</v>
      </c>
      <c r="WKI337" s="42" t="s">
        <v>606</v>
      </c>
      <c r="WKJ337" s="42" t="s">
        <v>606</v>
      </c>
      <c r="WKK337" s="42" t="s">
        <v>606</v>
      </c>
      <c r="WKL337" s="42" t="s">
        <v>606</v>
      </c>
      <c r="WKM337" s="42" t="s">
        <v>606</v>
      </c>
      <c r="WKN337" s="42" t="s">
        <v>606</v>
      </c>
      <c r="WKO337" s="42" t="s">
        <v>606</v>
      </c>
      <c r="WKP337" s="42" t="s">
        <v>606</v>
      </c>
      <c r="WKQ337" s="42" t="s">
        <v>606</v>
      </c>
      <c r="WKR337" s="42" t="s">
        <v>606</v>
      </c>
      <c r="WKS337" s="42" t="s">
        <v>606</v>
      </c>
      <c r="WKT337" s="42" t="s">
        <v>606</v>
      </c>
      <c r="WKU337" s="42" t="s">
        <v>606</v>
      </c>
      <c r="WKV337" s="42" t="s">
        <v>606</v>
      </c>
      <c r="WKW337" s="42" t="s">
        <v>606</v>
      </c>
      <c r="WKX337" s="42" t="s">
        <v>606</v>
      </c>
      <c r="WKY337" s="42" t="s">
        <v>606</v>
      </c>
      <c r="WKZ337" s="42" t="s">
        <v>606</v>
      </c>
      <c r="WLA337" s="42" t="s">
        <v>606</v>
      </c>
      <c r="WLB337" s="42" t="s">
        <v>606</v>
      </c>
      <c r="WLC337" s="42" t="s">
        <v>606</v>
      </c>
      <c r="WLD337" s="42" t="s">
        <v>606</v>
      </c>
      <c r="WLE337" s="42" t="s">
        <v>606</v>
      </c>
      <c r="WLF337" s="42" t="s">
        <v>606</v>
      </c>
      <c r="WLG337" s="42" t="s">
        <v>606</v>
      </c>
      <c r="WLH337" s="42" t="s">
        <v>606</v>
      </c>
      <c r="WLI337" s="42" t="s">
        <v>606</v>
      </c>
      <c r="WLJ337" s="42" t="s">
        <v>606</v>
      </c>
      <c r="WLK337" s="42" t="s">
        <v>606</v>
      </c>
      <c r="WLL337" s="42" t="s">
        <v>606</v>
      </c>
      <c r="WLM337" s="42" t="s">
        <v>606</v>
      </c>
      <c r="WLN337" s="42" t="s">
        <v>606</v>
      </c>
      <c r="WLO337" s="42" t="s">
        <v>606</v>
      </c>
      <c r="WLP337" s="42" t="s">
        <v>606</v>
      </c>
      <c r="WLQ337" s="42" t="s">
        <v>606</v>
      </c>
      <c r="WLR337" s="42" t="s">
        <v>606</v>
      </c>
      <c r="WLS337" s="42" t="s">
        <v>606</v>
      </c>
      <c r="WLT337" s="42" t="s">
        <v>606</v>
      </c>
      <c r="WLU337" s="42" t="s">
        <v>606</v>
      </c>
      <c r="WLV337" s="42" t="s">
        <v>606</v>
      </c>
      <c r="WLW337" s="42" t="s">
        <v>606</v>
      </c>
      <c r="WLX337" s="42" t="s">
        <v>606</v>
      </c>
      <c r="WLY337" s="42" t="s">
        <v>606</v>
      </c>
      <c r="WLZ337" s="42" t="s">
        <v>606</v>
      </c>
      <c r="WMA337" s="42" t="s">
        <v>606</v>
      </c>
      <c r="WMB337" s="42" t="s">
        <v>606</v>
      </c>
      <c r="WMC337" s="42" t="s">
        <v>606</v>
      </c>
      <c r="WMD337" s="42" t="s">
        <v>606</v>
      </c>
      <c r="WME337" s="42" t="s">
        <v>606</v>
      </c>
      <c r="WMF337" s="42" t="s">
        <v>606</v>
      </c>
      <c r="WMG337" s="42" t="s">
        <v>606</v>
      </c>
      <c r="WMH337" s="42" t="s">
        <v>606</v>
      </c>
      <c r="WMI337" s="42" t="s">
        <v>606</v>
      </c>
      <c r="WMJ337" s="42" t="s">
        <v>606</v>
      </c>
      <c r="WMK337" s="42" t="s">
        <v>606</v>
      </c>
      <c r="WML337" s="42" t="s">
        <v>606</v>
      </c>
      <c r="WMM337" s="42" t="s">
        <v>606</v>
      </c>
      <c r="WMN337" s="42" t="s">
        <v>606</v>
      </c>
      <c r="WMO337" s="42" t="s">
        <v>606</v>
      </c>
      <c r="WMP337" s="42" t="s">
        <v>606</v>
      </c>
      <c r="WMQ337" s="42" t="s">
        <v>606</v>
      </c>
      <c r="WMR337" s="42" t="s">
        <v>606</v>
      </c>
      <c r="WMS337" s="42" t="s">
        <v>606</v>
      </c>
      <c r="WMT337" s="42" t="s">
        <v>606</v>
      </c>
      <c r="WMU337" s="42" t="s">
        <v>606</v>
      </c>
      <c r="WMV337" s="42" t="s">
        <v>606</v>
      </c>
      <c r="WMW337" s="42" t="s">
        <v>606</v>
      </c>
      <c r="WMX337" s="42" t="s">
        <v>606</v>
      </c>
      <c r="WMY337" s="42" t="s">
        <v>606</v>
      </c>
      <c r="WMZ337" s="42" t="s">
        <v>606</v>
      </c>
      <c r="WNA337" s="42" t="s">
        <v>606</v>
      </c>
      <c r="WNB337" s="42" t="s">
        <v>606</v>
      </c>
      <c r="WNC337" s="42" t="s">
        <v>606</v>
      </c>
      <c r="WND337" s="42" t="s">
        <v>606</v>
      </c>
      <c r="WNE337" s="42" t="s">
        <v>606</v>
      </c>
      <c r="WNF337" s="42" t="s">
        <v>606</v>
      </c>
      <c r="WNG337" s="42" t="s">
        <v>606</v>
      </c>
      <c r="WNH337" s="42" t="s">
        <v>606</v>
      </c>
      <c r="WNI337" s="42" t="s">
        <v>606</v>
      </c>
      <c r="WNJ337" s="42" t="s">
        <v>606</v>
      </c>
      <c r="WNK337" s="42" t="s">
        <v>606</v>
      </c>
      <c r="WNL337" s="42" t="s">
        <v>606</v>
      </c>
      <c r="WNM337" s="42" t="s">
        <v>606</v>
      </c>
      <c r="WNN337" s="42" t="s">
        <v>606</v>
      </c>
      <c r="WNO337" s="42" t="s">
        <v>606</v>
      </c>
      <c r="WNP337" s="42" t="s">
        <v>606</v>
      </c>
      <c r="WNQ337" s="42" t="s">
        <v>606</v>
      </c>
      <c r="WNR337" s="42" t="s">
        <v>606</v>
      </c>
      <c r="WNS337" s="42" t="s">
        <v>606</v>
      </c>
      <c r="WNT337" s="42" t="s">
        <v>606</v>
      </c>
      <c r="WNU337" s="42" t="s">
        <v>606</v>
      </c>
      <c r="WNV337" s="42" t="s">
        <v>606</v>
      </c>
      <c r="WNW337" s="42" t="s">
        <v>606</v>
      </c>
      <c r="WNX337" s="42" t="s">
        <v>606</v>
      </c>
      <c r="WNY337" s="42" t="s">
        <v>606</v>
      </c>
      <c r="WNZ337" s="42" t="s">
        <v>606</v>
      </c>
      <c r="WOA337" s="42" t="s">
        <v>606</v>
      </c>
      <c r="WOB337" s="42" t="s">
        <v>606</v>
      </c>
      <c r="WOC337" s="42" t="s">
        <v>606</v>
      </c>
      <c r="WOD337" s="42" t="s">
        <v>606</v>
      </c>
      <c r="WOE337" s="42" t="s">
        <v>606</v>
      </c>
      <c r="WOF337" s="42" t="s">
        <v>606</v>
      </c>
      <c r="WOG337" s="42" t="s">
        <v>606</v>
      </c>
      <c r="WOH337" s="42" t="s">
        <v>606</v>
      </c>
      <c r="WOI337" s="42" t="s">
        <v>606</v>
      </c>
      <c r="WOJ337" s="42" t="s">
        <v>606</v>
      </c>
      <c r="WOK337" s="42" t="s">
        <v>606</v>
      </c>
      <c r="WOL337" s="42" t="s">
        <v>606</v>
      </c>
      <c r="WOM337" s="42" t="s">
        <v>606</v>
      </c>
      <c r="WON337" s="42" t="s">
        <v>606</v>
      </c>
      <c r="WOO337" s="42" t="s">
        <v>606</v>
      </c>
      <c r="WOP337" s="42" t="s">
        <v>606</v>
      </c>
      <c r="WOQ337" s="42" t="s">
        <v>606</v>
      </c>
      <c r="WOR337" s="42" t="s">
        <v>606</v>
      </c>
      <c r="WOS337" s="42" t="s">
        <v>606</v>
      </c>
      <c r="WOT337" s="42" t="s">
        <v>606</v>
      </c>
      <c r="WOU337" s="42" t="s">
        <v>606</v>
      </c>
      <c r="WOV337" s="42" t="s">
        <v>606</v>
      </c>
      <c r="WOW337" s="42" t="s">
        <v>606</v>
      </c>
      <c r="WOX337" s="42" t="s">
        <v>606</v>
      </c>
      <c r="WOY337" s="42" t="s">
        <v>606</v>
      </c>
      <c r="WOZ337" s="42" t="s">
        <v>606</v>
      </c>
      <c r="WPA337" s="42" t="s">
        <v>606</v>
      </c>
      <c r="WPB337" s="42" t="s">
        <v>606</v>
      </c>
      <c r="WPC337" s="42" t="s">
        <v>606</v>
      </c>
      <c r="WPD337" s="42" t="s">
        <v>606</v>
      </c>
      <c r="WPE337" s="42" t="s">
        <v>606</v>
      </c>
      <c r="WPF337" s="42" t="s">
        <v>606</v>
      </c>
      <c r="WPG337" s="42" t="s">
        <v>606</v>
      </c>
      <c r="WPH337" s="42" t="s">
        <v>606</v>
      </c>
      <c r="WPI337" s="42" t="s">
        <v>606</v>
      </c>
      <c r="WPJ337" s="42" t="s">
        <v>606</v>
      </c>
      <c r="WPK337" s="42" t="s">
        <v>606</v>
      </c>
      <c r="WPL337" s="42" t="s">
        <v>606</v>
      </c>
      <c r="WPM337" s="42" t="s">
        <v>606</v>
      </c>
      <c r="WPN337" s="42" t="s">
        <v>606</v>
      </c>
      <c r="WPO337" s="42" t="s">
        <v>606</v>
      </c>
      <c r="WPP337" s="42" t="s">
        <v>606</v>
      </c>
      <c r="WPQ337" s="42" t="s">
        <v>606</v>
      </c>
      <c r="WPR337" s="42" t="s">
        <v>606</v>
      </c>
      <c r="WPS337" s="42" t="s">
        <v>606</v>
      </c>
      <c r="WPT337" s="42" t="s">
        <v>606</v>
      </c>
      <c r="WPU337" s="42" t="s">
        <v>606</v>
      </c>
      <c r="WPV337" s="42" t="s">
        <v>606</v>
      </c>
      <c r="WPW337" s="42" t="s">
        <v>606</v>
      </c>
      <c r="WPX337" s="42" t="s">
        <v>606</v>
      </c>
      <c r="WPY337" s="42" t="s">
        <v>606</v>
      </c>
      <c r="WPZ337" s="42" t="s">
        <v>606</v>
      </c>
      <c r="WQA337" s="42" t="s">
        <v>606</v>
      </c>
      <c r="WQB337" s="42" t="s">
        <v>606</v>
      </c>
      <c r="WQC337" s="42" t="s">
        <v>606</v>
      </c>
      <c r="WQD337" s="42" t="s">
        <v>606</v>
      </c>
      <c r="WQE337" s="42" t="s">
        <v>606</v>
      </c>
      <c r="WQF337" s="42" t="s">
        <v>606</v>
      </c>
      <c r="WQG337" s="42" t="s">
        <v>606</v>
      </c>
      <c r="WQH337" s="42" t="s">
        <v>606</v>
      </c>
      <c r="WQI337" s="42" t="s">
        <v>606</v>
      </c>
      <c r="WQJ337" s="42" t="s">
        <v>606</v>
      </c>
      <c r="WQK337" s="42" t="s">
        <v>606</v>
      </c>
      <c r="WQL337" s="42" t="s">
        <v>606</v>
      </c>
      <c r="WQM337" s="42" t="s">
        <v>606</v>
      </c>
      <c r="WQN337" s="42" t="s">
        <v>606</v>
      </c>
      <c r="WQO337" s="42" t="s">
        <v>606</v>
      </c>
      <c r="WQP337" s="42" t="s">
        <v>606</v>
      </c>
      <c r="WQQ337" s="42" t="s">
        <v>606</v>
      </c>
      <c r="WQR337" s="42" t="s">
        <v>606</v>
      </c>
      <c r="WQS337" s="42" t="s">
        <v>606</v>
      </c>
      <c r="WQT337" s="42" t="s">
        <v>606</v>
      </c>
      <c r="WQU337" s="42" t="s">
        <v>606</v>
      </c>
      <c r="WQV337" s="42" t="s">
        <v>606</v>
      </c>
      <c r="WQW337" s="42" t="s">
        <v>606</v>
      </c>
      <c r="WQX337" s="42" t="s">
        <v>606</v>
      </c>
      <c r="WQY337" s="42" t="s">
        <v>606</v>
      </c>
      <c r="WQZ337" s="42" t="s">
        <v>606</v>
      </c>
      <c r="WRA337" s="42" t="s">
        <v>606</v>
      </c>
      <c r="WRB337" s="42" t="s">
        <v>606</v>
      </c>
      <c r="WRC337" s="42" t="s">
        <v>606</v>
      </c>
      <c r="WRD337" s="42" t="s">
        <v>606</v>
      </c>
      <c r="WRE337" s="42" t="s">
        <v>606</v>
      </c>
      <c r="WRF337" s="42" t="s">
        <v>606</v>
      </c>
      <c r="WRG337" s="42" t="s">
        <v>606</v>
      </c>
      <c r="WRH337" s="42" t="s">
        <v>606</v>
      </c>
      <c r="WRI337" s="42" t="s">
        <v>606</v>
      </c>
      <c r="WRJ337" s="42" t="s">
        <v>606</v>
      </c>
      <c r="WRK337" s="42" t="s">
        <v>606</v>
      </c>
      <c r="WRL337" s="42" t="s">
        <v>606</v>
      </c>
      <c r="WRM337" s="42" t="s">
        <v>606</v>
      </c>
      <c r="WRN337" s="42" t="s">
        <v>606</v>
      </c>
      <c r="WRO337" s="42" t="s">
        <v>606</v>
      </c>
      <c r="WRP337" s="42" t="s">
        <v>606</v>
      </c>
      <c r="WRQ337" s="42" t="s">
        <v>606</v>
      </c>
      <c r="WRR337" s="42" t="s">
        <v>606</v>
      </c>
      <c r="WRS337" s="42" t="s">
        <v>606</v>
      </c>
      <c r="WRT337" s="42" t="s">
        <v>606</v>
      </c>
      <c r="WRU337" s="42" t="s">
        <v>606</v>
      </c>
      <c r="WRV337" s="42" t="s">
        <v>606</v>
      </c>
      <c r="WRW337" s="42" t="s">
        <v>606</v>
      </c>
      <c r="WRX337" s="42" t="s">
        <v>606</v>
      </c>
      <c r="WRY337" s="42" t="s">
        <v>606</v>
      </c>
      <c r="WRZ337" s="42" t="s">
        <v>606</v>
      </c>
      <c r="WSA337" s="42" t="s">
        <v>606</v>
      </c>
      <c r="WSB337" s="42" t="s">
        <v>606</v>
      </c>
      <c r="WSC337" s="42" t="s">
        <v>606</v>
      </c>
      <c r="WSD337" s="42" t="s">
        <v>606</v>
      </c>
      <c r="WSE337" s="42" t="s">
        <v>606</v>
      </c>
      <c r="WSF337" s="42" t="s">
        <v>606</v>
      </c>
      <c r="WSG337" s="42" t="s">
        <v>606</v>
      </c>
      <c r="WSH337" s="42" t="s">
        <v>606</v>
      </c>
      <c r="WSI337" s="42" t="s">
        <v>606</v>
      </c>
      <c r="WSJ337" s="42" t="s">
        <v>606</v>
      </c>
      <c r="WSK337" s="42" t="s">
        <v>606</v>
      </c>
      <c r="WSL337" s="42" t="s">
        <v>606</v>
      </c>
      <c r="WSM337" s="42" t="s">
        <v>606</v>
      </c>
      <c r="WSN337" s="42" t="s">
        <v>606</v>
      </c>
      <c r="WSO337" s="42" t="s">
        <v>606</v>
      </c>
      <c r="WSP337" s="42" t="s">
        <v>606</v>
      </c>
      <c r="WSQ337" s="42" t="s">
        <v>606</v>
      </c>
      <c r="WSR337" s="42" t="s">
        <v>606</v>
      </c>
      <c r="WSS337" s="42" t="s">
        <v>606</v>
      </c>
      <c r="WST337" s="42" t="s">
        <v>606</v>
      </c>
      <c r="WSU337" s="42" t="s">
        <v>606</v>
      </c>
      <c r="WSV337" s="42" t="s">
        <v>606</v>
      </c>
      <c r="WSW337" s="42" t="s">
        <v>606</v>
      </c>
      <c r="WSX337" s="42" t="s">
        <v>606</v>
      </c>
      <c r="WSY337" s="42" t="s">
        <v>606</v>
      </c>
      <c r="WSZ337" s="42" t="s">
        <v>606</v>
      </c>
      <c r="WTA337" s="42" t="s">
        <v>606</v>
      </c>
      <c r="WTB337" s="42" t="s">
        <v>606</v>
      </c>
      <c r="WTC337" s="42" t="s">
        <v>606</v>
      </c>
      <c r="WTD337" s="42" t="s">
        <v>606</v>
      </c>
      <c r="WTE337" s="42" t="s">
        <v>606</v>
      </c>
      <c r="WTF337" s="42" t="s">
        <v>606</v>
      </c>
      <c r="WTG337" s="42" t="s">
        <v>606</v>
      </c>
      <c r="WTH337" s="42" t="s">
        <v>606</v>
      </c>
      <c r="WTI337" s="42" t="s">
        <v>606</v>
      </c>
      <c r="WTJ337" s="42" t="s">
        <v>606</v>
      </c>
      <c r="WTK337" s="42" t="s">
        <v>606</v>
      </c>
      <c r="WTL337" s="42" t="s">
        <v>606</v>
      </c>
      <c r="WTM337" s="42" t="s">
        <v>606</v>
      </c>
      <c r="WTN337" s="42" t="s">
        <v>606</v>
      </c>
      <c r="WTO337" s="42" t="s">
        <v>606</v>
      </c>
      <c r="WTP337" s="42" t="s">
        <v>606</v>
      </c>
      <c r="WTQ337" s="42" t="s">
        <v>606</v>
      </c>
      <c r="WTR337" s="42" t="s">
        <v>606</v>
      </c>
      <c r="WTS337" s="42" t="s">
        <v>606</v>
      </c>
      <c r="WTT337" s="42" t="s">
        <v>606</v>
      </c>
      <c r="WTU337" s="42" t="s">
        <v>606</v>
      </c>
      <c r="WTV337" s="42" t="s">
        <v>606</v>
      </c>
      <c r="WTW337" s="42" t="s">
        <v>606</v>
      </c>
      <c r="WTX337" s="42" t="s">
        <v>606</v>
      </c>
      <c r="WTY337" s="42" t="s">
        <v>606</v>
      </c>
      <c r="WTZ337" s="42" t="s">
        <v>606</v>
      </c>
      <c r="WUA337" s="42" t="s">
        <v>606</v>
      </c>
      <c r="WUB337" s="42" t="s">
        <v>606</v>
      </c>
      <c r="WUC337" s="42" t="s">
        <v>606</v>
      </c>
      <c r="WUD337" s="42" t="s">
        <v>606</v>
      </c>
      <c r="WUE337" s="42" t="s">
        <v>606</v>
      </c>
      <c r="WUF337" s="42" t="s">
        <v>606</v>
      </c>
      <c r="WUG337" s="42" t="s">
        <v>606</v>
      </c>
      <c r="WUH337" s="42" t="s">
        <v>606</v>
      </c>
      <c r="WUI337" s="42" t="s">
        <v>606</v>
      </c>
      <c r="WUJ337" s="42" t="s">
        <v>606</v>
      </c>
      <c r="WUK337" s="42" t="s">
        <v>606</v>
      </c>
      <c r="WUL337" s="42" t="s">
        <v>606</v>
      </c>
      <c r="WUM337" s="42" t="s">
        <v>606</v>
      </c>
      <c r="WUN337" s="42" t="s">
        <v>606</v>
      </c>
      <c r="WUO337" s="42" t="s">
        <v>606</v>
      </c>
      <c r="WUP337" s="42" t="s">
        <v>606</v>
      </c>
      <c r="WUQ337" s="42" t="s">
        <v>606</v>
      </c>
      <c r="WUR337" s="42" t="s">
        <v>606</v>
      </c>
      <c r="WUS337" s="42" t="s">
        <v>606</v>
      </c>
      <c r="WUT337" s="42" t="s">
        <v>606</v>
      </c>
      <c r="WUU337" s="42" t="s">
        <v>606</v>
      </c>
      <c r="WUV337" s="42" t="s">
        <v>606</v>
      </c>
      <c r="WUW337" s="42" t="s">
        <v>606</v>
      </c>
      <c r="WUX337" s="42" t="s">
        <v>606</v>
      </c>
      <c r="WUY337" s="42" t="s">
        <v>606</v>
      </c>
      <c r="WUZ337" s="42" t="s">
        <v>606</v>
      </c>
      <c r="WVA337" s="42" t="s">
        <v>606</v>
      </c>
      <c r="WVB337" s="42" t="s">
        <v>606</v>
      </c>
      <c r="WVC337" s="42" t="s">
        <v>606</v>
      </c>
      <c r="WVD337" s="42" t="s">
        <v>606</v>
      </c>
      <c r="WVE337" s="42" t="s">
        <v>606</v>
      </c>
      <c r="WVF337" s="42" t="s">
        <v>606</v>
      </c>
      <c r="WVG337" s="42" t="s">
        <v>606</v>
      </c>
      <c r="WVH337" s="42" t="s">
        <v>606</v>
      </c>
      <c r="WVI337" s="42" t="s">
        <v>606</v>
      </c>
      <c r="WVJ337" s="42" t="s">
        <v>606</v>
      </c>
      <c r="WVK337" s="42" t="s">
        <v>606</v>
      </c>
      <c r="WVL337" s="42" t="s">
        <v>606</v>
      </c>
      <c r="WVM337" s="42" t="s">
        <v>606</v>
      </c>
      <c r="WVN337" s="42" t="s">
        <v>606</v>
      </c>
      <c r="WVO337" s="42" t="s">
        <v>606</v>
      </c>
      <c r="WVP337" s="42" t="s">
        <v>606</v>
      </c>
      <c r="WVQ337" s="42" t="s">
        <v>606</v>
      </c>
      <c r="WVR337" s="42" t="s">
        <v>606</v>
      </c>
      <c r="WVS337" s="42" t="s">
        <v>606</v>
      </c>
      <c r="WVT337" s="42" t="s">
        <v>606</v>
      </c>
      <c r="WVU337" s="42" t="s">
        <v>606</v>
      </c>
      <c r="WVV337" s="42" t="s">
        <v>606</v>
      </c>
      <c r="WVW337" s="42" t="s">
        <v>606</v>
      </c>
      <c r="WVX337" s="42" t="s">
        <v>606</v>
      </c>
      <c r="WVY337" s="42" t="s">
        <v>606</v>
      </c>
      <c r="WVZ337" s="42" t="s">
        <v>606</v>
      </c>
      <c r="WWA337" s="42" t="s">
        <v>606</v>
      </c>
      <c r="WWB337" s="42" t="s">
        <v>606</v>
      </c>
      <c r="WWC337" s="42" t="s">
        <v>606</v>
      </c>
      <c r="WWD337" s="42" t="s">
        <v>606</v>
      </c>
      <c r="WWE337" s="42" t="s">
        <v>606</v>
      </c>
      <c r="WWF337" s="42" t="s">
        <v>606</v>
      </c>
      <c r="WWG337" s="42" t="s">
        <v>606</v>
      </c>
      <c r="WWH337" s="42" t="s">
        <v>606</v>
      </c>
      <c r="WWI337" s="42" t="s">
        <v>606</v>
      </c>
      <c r="WWJ337" s="42" t="s">
        <v>606</v>
      </c>
      <c r="WWK337" s="42" t="s">
        <v>606</v>
      </c>
      <c r="WWL337" s="42" t="s">
        <v>606</v>
      </c>
      <c r="WWM337" s="42" t="s">
        <v>606</v>
      </c>
      <c r="WWN337" s="42" t="s">
        <v>606</v>
      </c>
      <c r="WWO337" s="42" t="s">
        <v>606</v>
      </c>
      <c r="WWP337" s="42" t="s">
        <v>606</v>
      </c>
      <c r="WWQ337" s="42" t="s">
        <v>606</v>
      </c>
      <c r="WWR337" s="42" t="s">
        <v>606</v>
      </c>
      <c r="WWS337" s="42" t="s">
        <v>606</v>
      </c>
      <c r="WWT337" s="42" t="s">
        <v>606</v>
      </c>
      <c r="WWU337" s="42" t="s">
        <v>606</v>
      </c>
      <c r="WWV337" s="42" t="s">
        <v>606</v>
      </c>
      <c r="WWW337" s="42" t="s">
        <v>606</v>
      </c>
      <c r="WWX337" s="42" t="s">
        <v>606</v>
      </c>
      <c r="WWY337" s="42" t="s">
        <v>606</v>
      </c>
      <c r="WWZ337" s="42" t="s">
        <v>606</v>
      </c>
      <c r="WXA337" s="42" t="s">
        <v>606</v>
      </c>
      <c r="WXB337" s="42" t="s">
        <v>606</v>
      </c>
      <c r="WXC337" s="42" t="s">
        <v>606</v>
      </c>
      <c r="WXD337" s="42" t="s">
        <v>606</v>
      </c>
      <c r="WXE337" s="42" t="s">
        <v>606</v>
      </c>
      <c r="WXF337" s="42" t="s">
        <v>606</v>
      </c>
      <c r="WXG337" s="42" t="s">
        <v>606</v>
      </c>
      <c r="WXH337" s="42" t="s">
        <v>606</v>
      </c>
      <c r="WXI337" s="42" t="s">
        <v>606</v>
      </c>
      <c r="WXJ337" s="42" t="s">
        <v>606</v>
      </c>
      <c r="WXK337" s="42" t="s">
        <v>606</v>
      </c>
      <c r="WXL337" s="42" t="s">
        <v>606</v>
      </c>
      <c r="WXM337" s="42" t="s">
        <v>606</v>
      </c>
      <c r="WXN337" s="42" t="s">
        <v>606</v>
      </c>
      <c r="WXO337" s="42" t="s">
        <v>606</v>
      </c>
    </row>
    <row r="338" spans="1:16187" s="42" customFormat="1" x14ac:dyDescent="0.25">
      <c r="A338" s="135">
        <f t="shared" si="78"/>
        <v>321</v>
      </c>
      <c r="B338" s="134">
        <f t="shared" si="79"/>
        <v>133</v>
      </c>
      <c r="C338" s="150" t="s">
        <v>607</v>
      </c>
      <c r="D338" s="77" t="s">
        <v>689</v>
      </c>
      <c r="E338" s="129">
        <f t="shared" si="76"/>
        <v>71696112.560389429</v>
      </c>
      <c r="F338" s="44">
        <v>8624090.4981803056</v>
      </c>
      <c r="G338" s="44">
        <v>5036444.3060622429</v>
      </c>
      <c r="H338" s="44">
        <v>5439076.9790404048</v>
      </c>
      <c r="I338" s="44">
        <v>4190749.9292622432</v>
      </c>
      <c r="J338" s="44">
        <v>1964229.2361069501</v>
      </c>
      <c r="K338" s="44"/>
      <c r="L338" s="44">
        <v>408501.9990271061</v>
      </c>
      <c r="M338" s="44"/>
      <c r="N338" s="44"/>
      <c r="O338" s="44"/>
      <c r="P338" s="44">
        <v>30921783.364401255</v>
      </c>
      <c r="Q338" s="44">
        <v>12054826.904510155</v>
      </c>
      <c r="R338" s="44">
        <v>1506877.3285040956</v>
      </c>
      <c r="S338" s="44">
        <v>48520.724843999997</v>
      </c>
      <c r="T338" s="151">
        <v>1501011.2904506847</v>
      </c>
      <c r="U338" s="24">
        <f t="shared" si="77"/>
        <v>8</v>
      </c>
      <c r="CW338" s="42" t="s">
        <v>607</v>
      </c>
      <c r="CX338" s="42" t="s">
        <v>607</v>
      </c>
      <c r="CY338" s="42" t="s">
        <v>607</v>
      </c>
      <c r="CZ338" s="42" t="s">
        <v>607</v>
      </c>
      <c r="DA338" s="42" t="s">
        <v>607</v>
      </c>
      <c r="DB338" s="42" t="s">
        <v>607</v>
      </c>
      <c r="DC338" s="42" t="s">
        <v>607</v>
      </c>
      <c r="DD338" s="42" t="s">
        <v>607</v>
      </c>
      <c r="DE338" s="42" t="s">
        <v>607</v>
      </c>
      <c r="DF338" s="42" t="s">
        <v>607</v>
      </c>
      <c r="DG338" s="42" t="s">
        <v>607</v>
      </c>
      <c r="DH338" s="42" t="s">
        <v>607</v>
      </c>
      <c r="DI338" s="42" t="s">
        <v>607</v>
      </c>
      <c r="DJ338" s="42" t="s">
        <v>607</v>
      </c>
      <c r="DK338" s="42" t="s">
        <v>607</v>
      </c>
      <c r="DL338" s="42" t="s">
        <v>607</v>
      </c>
      <c r="DM338" s="42" t="s">
        <v>607</v>
      </c>
      <c r="DN338" s="42" t="s">
        <v>607</v>
      </c>
      <c r="DO338" s="42" t="s">
        <v>607</v>
      </c>
      <c r="DP338" s="42" t="s">
        <v>607</v>
      </c>
      <c r="DQ338" s="42" t="s">
        <v>607</v>
      </c>
      <c r="DR338" s="42" t="s">
        <v>607</v>
      </c>
      <c r="DS338" s="42" t="s">
        <v>607</v>
      </c>
      <c r="DT338" s="42" t="s">
        <v>607</v>
      </c>
      <c r="DU338" s="42" t="s">
        <v>607</v>
      </c>
      <c r="DV338" s="42" t="s">
        <v>607</v>
      </c>
      <c r="DW338" s="42" t="s">
        <v>607</v>
      </c>
      <c r="DX338" s="42" t="s">
        <v>607</v>
      </c>
      <c r="DY338" s="42" t="s">
        <v>607</v>
      </c>
      <c r="DZ338" s="42" t="s">
        <v>607</v>
      </c>
      <c r="EA338" s="42" t="s">
        <v>607</v>
      </c>
      <c r="EB338" s="42" t="s">
        <v>607</v>
      </c>
      <c r="EC338" s="42" t="s">
        <v>607</v>
      </c>
      <c r="ED338" s="42" t="s">
        <v>607</v>
      </c>
      <c r="EE338" s="42" t="s">
        <v>607</v>
      </c>
      <c r="EF338" s="42" t="s">
        <v>607</v>
      </c>
      <c r="EG338" s="42" t="s">
        <v>607</v>
      </c>
      <c r="EH338" s="42" t="s">
        <v>607</v>
      </c>
      <c r="EI338" s="42" t="s">
        <v>607</v>
      </c>
      <c r="EJ338" s="42" t="s">
        <v>607</v>
      </c>
      <c r="EK338" s="42" t="s">
        <v>607</v>
      </c>
      <c r="EL338" s="42" t="s">
        <v>607</v>
      </c>
      <c r="EM338" s="42" t="s">
        <v>607</v>
      </c>
      <c r="EN338" s="42" t="s">
        <v>607</v>
      </c>
      <c r="EO338" s="42" t="s">
        <v>607</v>
      </c>
      <c r="EP338" s="42" t="s">
        <v>607</v>
      </c>
      <c r="EQ338" s="42" t="s">
        <v>607</v>
      </c>
      <c r="ER338" s="42" t="s">
        <v>607</v>
      </c>
      <c r="ES338" s="42" t="s">
        <v>607</v>
      </c>
      <c r="ET338" s="42" t="s">
        <v>607</v>
      </c>
      <c r="EU338" s="42" t="s">
        <v>607</v>
      </c>
      <c r="EV338" s="42" t="s">
        <v>607</v>
      </c>
      <c r="EW338" s="42" t="s">
        <v>607</v>
      </c>
      <c r="EX338" s="42" t="s">
        <v>607</v>
      </c>
      <c r="EY338" s="42" t="s">
        <v>607</v>
      </c>
      <c r="EZ338" s="42" t="s">
        <v>607</v>
      </c>
      <c r="FA338" s="42" t="s">
        <v>607</v>
      </c>
      <c r="FB338" s="42" t="s">
        <v>607</v>
      </c>
      <c r="FC338" s="42" t="s">
        <v>607</v>
      </c>
      <c r="FD338" s="42" t="s">
        <v>607</v>
      </c>
      <c r="FE338" s="42" t="s">
        <v>607</v>
      </c>
      <c r="FF338" s="42" t="s">
        <v>607</v>
      </c>
      <c r="FG338" s="42" t="s">
        <v>607</v>
      </c>
      <c r="FH338" s="42" t="s">
        <v>607</v>
      </c>
      <c r="FI338" s="42" t="s">
        <v>607</v>
      </c>
      <c r="FJ338" s="42" t="s">
        <v>607</v>
      </c>
      <c r="FK338" s="42" t="s">
        <v>607</v>
      </c>
      <c r="FL338" s="42" t="s">
        <v>607</v>
      </c>
      <c r="FM338" s="42" t="s">
        <v>607</v>
      </c>
      <c r="FN338" s="42" t="s">
        <v>607</v>
      </c>
      <c r="FO338" s="42" t="s">
        <v>607</v>
      </c>
      <c r="FP338" s="42" t="s">
        <v>607</v>
      </c>
      <c r="FQ338" s="42" t="s">
        <v>607</v>
      </c>
      <c r="FR338" s="42" t="s">
        <v>607</v>
      </c>
      <c r="FS338" s="42" t="s">
        <v>607</v>
      </c>
      <c r="FT338" s="42" t="s">
        <v>607</v>
      </c>
      <c r="FU338" s="42" t="s">
        <v>607</v>
      </c>
      <c r="FV338" s="42" t="s">
        <v>607</v>
      </c>
      <c r="FW338" s="42" t="s">
        <v>607</v>
      </c>
      <c r="FX338" s="42" t="s">
        <v>607</v>
      </c>
      <c r="FY338" s="42" t="s">
        <v>607</v>
      </c>
      <c r="FZ338" s="42" t="s">
        <v>607</v>
      </c>
      <c r="GA338" s="42" t="s">
        <v>607</v>
      </c>
      <c r="GB338" s="42" t="s">
        <v>607</v>
      </c>
      <c r="GC338" s="42" t="s">
        <v>607</v>
      </c>
      <c r="GD338" s="42" t="s">
        <v>607</v>
      </c>
      <c r="GE338" s="42" t="s">
        <v>607</v>
      </c>
      <c r="GF338" s="42" t="s">
        <v>607</v>
      </c>
      <c r="GG338" s="42" t="s">
        <v>607</v>
      </c>
      <c r="GH338" s="42" t="s">
        <v>607</v>
      </c>
      <c r="GI338" s="42" t="s">
        <v>607</v>
      </c>
      <c r="GJ338" s="42" t="s">
        <v>607</v>
      </c>
      <c r="GK338" s="42" t="s">
        <v>607</v>
      </c>
      <c r="GL338" s="42" t="s">
        <v>607</v>
      </c>
      <c r="GM338" s="42" t="s">
        <v>607</v>
      </c>
      <c r="GN338" s="42" t="s">
        <v>607</v>
      </c>
      <c r="GO338" s="42" t="s">
        <v>607</v>
      </c>
      <c r="GP338" s="42" t="s">
        <v>607</v>
      </c>
      <c r="GQ338" s="42" t="s">
        <v>607</v>
      </c>
      <c r="GR338" s="42" t="s">
        <v>607</v>
      </c>
      <c r="GS338" s="42" t="s">
        <v>607</v>
      </c>
      <c r="GT338" s="42" t="s">
        <v>607</v>
      </c>
      <c r="GU338" s="42" t="s">
        <v>607</v>
      </c>
      <c r="GV338" s="42" t="s">
        <v>607</v>
      </c>
      <c r="GW338" s="42" t="s">
        <v>607</v>
      </c>
      <c r="GX338" s="42" t="s">
        <v>607</v>
      </c>
      <c r="GY338" s="42" t="s">
        <v>607</v>
      </c>
      <c r="GZ338" s="42" t="s">
        <v>607</v>
      </c>
      <c r="HA338" s="42" t="s">
        <v>607</v>
      </c>
      <c r="HB338" s="42" t="s">
        <v>607</v>
      </c>
      <c r="HC338" s="42" t="s">
        <v>607</v>
      </c>
      <c r="HD338" s="42" t="s">
        <v>607</v>
      </c>
      <c r="HE338" s="42" t="s">
        <v>607</v>
      </c>
      <c r="HF338" s="42" t="s">
        <v>607</v>
      </c>
      <c r="HG338" s="42" t="s">
        <v>607</v>
      </c>
      <c r="HH338" s="42" t="s">
        <v>607</v>
      </c>
      <c r="HI338" s="42" t="s">
        <v>607</v>
      </c>
      <c r="HJ338" s="42" t="s">
        <v>607</v>
      </c>
      <c r="HK338" s="42" t="s">
        <v>607</v>
      </c>
      <c r="HL338" s="42" t="s">
        <v>607</v>
      </c>
      <c r="HM338" s="42" t="s">
        <v>607</v>
      </c>
      <c r="HN338" s="42" t="s">
        <v>607</v>
      </c>
      <c r="HO338" s="42" t="s">
        <v>607</v>
      </c>
      <c r="HP338" s="42" t="s">
        <v>607</v>
      </c>
      <c r="HQ338" s="42" t="s">
        <v>607</v>
      </c>
      <c r="HR338" s="42" t="s">
        <v>607</v>
      </c>
      <c r="HS338" s="42" t="s">
        <v>607</v>
      </c>
      <c r="HT338" s="42" t="s">
        <v>607</v>
      </c>
      <c r="HU338" s="42" t="s">
        <v>607</v>
      </c>
      <c r="HV338" s="42" t="s">
        <v>607</v>
      </c>
      <c r="HW338" s="42" t="s">
        <v>607</v>
      </c>
      <c r="HX338" s="42" t="s">
        <v>607</v>
      </c>
      <c r="HY338" s="42" t="s">
        <v>607</v>
      </c>
      <c r="HZ338" s="42" t="s">
        <v>607</v>
      </c>
      <c r="IA338" s="42" t="s">
        <v>607</v>
      </c>
      <c r="IB338" s="42" t="s">
        <v>607</v>
      </c>
      <c r="IC338" s="42" t="s">
        <v>607</v>
      </c>
      <c r="ID338" s="42" t="s">
        <v>607</v>
      </c>
      <c r="IE338" s="42" t="s">
        <v>607</v>
      </c>
      <c r="IF338" s="42" t="s">
        <v>607</v>
      </c>
      <c r="IG338" s="42" t="s">
        <v>607</v>
      </c>
      <c r="IH338" s="42" t="s">
        <v>607</v>
      </c>
      <c r="II338" s="42" t="s">
        <v>607</v>
      </c>
      <c r="IJ338" s="42" t="s">
        <v>607</v>
      </c>
      <c r="IK338" s="42" t="s">
        <v>607</v>
      </c>
      <c r="IL338" s="42" t="s">
        <v>607</v>
      </c>
      <c r="IM338" s="42" t="s">
        <v>607</v>
      </c>
      <c r="IN338" s="42" t="s">
        <v>607</v>
      </c>
      <c r="IO338" s="42" t="s">
        <v>607</v>
      </c>
      <c r="IP338" s="42" t="s">
        <v>607</v>
      </c>
      <c r="IQ338" s="42" t="s">
        <v>607</v>
      </c>
      <c r="IR338" s="42" t="s">
        <v>607</v>
      </c>
      <c r="IS338" s="42" t="s">
        <v>607</v>
      </c>
      <c r="IT338" s="42" t="s">
        <v>607</v>
      </c>
      <c r="IU338" s="42" t="s">
        <v>607</v>
      </c>
      <c r="IV338" s="42" t="s">
        <v>607</v>
      </c>
      <c r="IW338" s="42" t="s">
        <v>607</v>
      </c>
      <c r="IX338" s="42" t="s">
        <v>607</v>
      </c>
      <c r="IY338" s="42" t="s">
        <v>607</v>
      </c>
      <c r="IZ338" s="42" t="s">
        <v>607</v>
      </c>
      <c r="JA338" s="42" t="s">
        <v>607</v>
      </c>
      <c r="JB338" s="42" t="s">
        <v>607</v>
      </c>
      <c r="JC338" s="42" t="s">
        <v>607</v>
      </c>
      <c r="JD338" s="42" t="s">
        <v>607</v>
      </c>
      <c r="JE338" s="42" t="s">
        <v>607</v>
      </c>
      <c r="JF338" s="42" t="s">
        <v>607</v>
      </c>
      <c r="JG338" s="42" t="s">
        <v>607</v>
      </c>
      <c r="JH338" s="42" t="s">
        <v>607</v>
      </c>
      <c r="JI338" s="42" t="s">
        <v>607</v>
      </c>
      <c r="JJ338" s="42" t="s">
        <v>607</v>
      </c>
      <c r="JK338" s="42" t="s">
        <v>607</v>
      </c>
      <c r="JL338" s="42" t="s">
        <v>607</v>
      </c>
      <c r="JM338" s="42" t="s">
        <v>607</v>
      </c>
      <c r="JN338" s="42" t="s">
        <v>607</v>
      </c>
      <c r="JO338" s="42" t="s">
        <v>607</v>
      </c>
      <c r="JP338" s="42" t="s">
        <v>607</v>
      </c>
      <c r="JQ338" s="42" t="s">
        <v>607</v>
      </c>
      <c r="JR338" s="42" t="s">
        <v>607</v>
      </c>
      <c r="JS338" s="42" t="s">
        <v>607</v>
      </c>
      <c r="JT338" s="42" t="s">
        <v>607</v>
      </c>
      <c r="JU338" s="42" t="s">
        <v>607</v>
      </c>
      <c r="JV338" s="42" t="s">
        <v>607</v>
      </c>
      <c r="JW338" s="42" t="s">
        <v>607</v>
      </c>
      <c r="JX338" s="42" t="s">
        <v>607</v>
      </c>
      <c r="JY338" s="42" t="s">
        <v>607</v>
      </c>
      <c r="JZ338" s="42" t="s">
        <v>607</v>
      </c>
      <c r="KA338" s="42" t="s">
        <v>607</v>
      </c>
      <c r="KB338" s="42" t="s">
        <v>607</v>
      </c>
      <c r="KC338" s="42" t="s">
        <v>607</v>
      </c>
      <c r="KD338" s="42" t="s">
        <v>607</v>
      </c>
      <c r="KE338" s="42" t="s">
        <v>607</v>
      </c>
      <c r="KF338" s="42" t="s">
        <v>607</v>
      </c>
      <c r="KG338" s="42" t="s">
        <v>607</v>
      </c>
      <c r="KH338" s="42" t="s">
        <v>607</v>
      </c>
      <c r="KI338" s="42" t="s">
        <v>607</v>
      </c>
      <c r="KJ338" s="42" t="s">
        <v>607</v>
      </c>
      <c r="KK338" s="42" t="s">
        <v>607</v>
      </c>
      <c r="KL338" s="42" t="s">
        <v>607</v>
      </c>
      <c r="KM338" s="42" t="s">
        <v>607</v>
      </c>
      <c r="KN338" s="42" t="s">
        <v>607</v>
      </c>
      <c r="KO338" s="42" t="s">
        <v>607</v>
      </c>
      <c r="KP338" s="42" t="s">
        <v>607</v>
      </c>
      <c r="KQ338" s="42" t="s">
        <v>607</v>
      </c>
      <c r="KR338" s="42" t="s">
        <v>607</v>
      </c>
      <c r="KS338" s="42" t="s">
        <v>607</v>
      </c>
      <c r="KT338" s="42" t="s">
        <v>607</v>
      </c>
      <c r="KU338" s="42" t="s">
        <v>607</v>
      </c>
      <c r="KV338" s="42" t="s">
        <v>607</v>
      </c>
      <c r="KW338" s="42" t="s">
        <v>607</v>
      </c>
      <c r="KX338" s="42" t="s">
        <v>607</v>
      </c>
      <c r="KY338" s="42" t="s">
        <v>607</v>
      </c>
      <c r="KZ338" s="42" t="s">
        <v>607</v>
      </c>
      <c r="LA338" s="42" t="s">
        <v>607</v>
      </c>
      <c r="LB338" s="42" t="s">
        <v>607</v>
      </c>
      <c r="LC338" s="42" t="s">
        <v>607</v>
      </c>
      <c r="LD338" s="42" t="s">
        <v>607</v>
      </c>
      <c r="LE338" s="42" t="s">
        <v>607</v>
      </c>
      <c r="LF338" s="42" t="s">
        <v>607</v>
      </c>
      <c r="LG338" s="42" t="s">
        <v>607</v>
      </c>
      <c r="LH338" s="42" t="s">
        <v>607</v>
      </c>
      <c r="LI338" s="42" t="s">
        <v>607</v>
      </c>
      <c r="LJ338" s="42" t="s">
        <v>607</v>
      </c>
      <c r="LK338" s="42" t="s">
        <v>607</v>
      </c>
      <c r="LL338" s="42" t="s">
        <v>607</v>
      </c>
      <c r="LM338" s="42" t="s">
        <v>607</v>
      </c>
      <c r="LN338" s="42" t="s">
        <v>607</v>
      </c>
      <c r="LO338" s="42" t="s">
        <v>607</v>
      </c>
      <c r="LP338" s="42" t="s">
        <v>607</v>
      </c>
      <c r="LQ338" s="42" t="s">
        <v>607</v>
      </c>
      <c r="LR338" s="42" t="s">
        <v>607</v>
      </c>
      <c r="LS338" s="42" t="s">
        <v>607</v>
      </c>
      <c r="LT338" s="42" t="s">
        <v>607</v>
      </c>
      <c r="LU338" s="42" t="s">
        <v>607</v>
      </c>
      <c r="LV338" s="42" t="s">
        <v>607</v>
      </c>
      <c r="LW338" s="42" t="s">
        <v>607</v>
      </c>
      <c r="LX338" s="42" t="s">
        <v>607</v>
      </c>
      <c r="LY338" s="42" t="s">
        <v>607</v>
      </c>
      <c r="LZ338" s="42" t="s">
        <v>607</v>
      </c>
      <c r="MA338" s="42" t="s">
        <v>607</v>
      </c>
      <c r="MB338" s="42" t="s">
        <v>607</v>
      </c>
      <c r="MC338" s="42" t="s">
        <v>607</v>
      </c>
      <c r="MD338" s="42" t="s">
        <v>607</v>
      </c>
      <c r="ME338" s="42" t="s">
        <v>607</v>
      </c>
      <c r="MF338" s="42" t="s">
        <v>607</v>
      </c>
      <c r="MG338" s="42" t="s">
        <v>607</v>
      </c>
      <c r="MH338" s="42" t="s">
        <v>607</v>
      </c>
      <c r="MI338" s="42" t="s">
        <v>607</v>
      </c>
      <c r="MJ338" s="42" t="s">
        <v>607</v>
      </c>
      <c r="MK338" s="42" t="s">
        <v>607</v>
      </c>
      <c r="ML338" s="42" t="s">
        <v>607</v>
      </c>
      <c r="MM338" s="42" t="s">
        <v>607</v>
      </c>
      <c r="MN338" s="42" t="s">
        <v>607</v>
      </c>
      <c r="MO338" s="42" t="s">
        <v>607</v>
      </c>
      <c r="MP338" s="42" t="s">
        <v>607</v>
      </c>
      <c r="MQ338" s="42" t="s">
        <v>607</v>
      </c>
      <c r="MR338" s="42" t="s">
        <v>607</v>
      </c>
      <c r="MS338" s="42" t="s">
        <v>607</v>
      </c>
      <c r="MT338" s="42" t="s">
        <v>607</v>
      </c>
      <c r="MU338" s="42" t="s">
        <v>607</v>
      </c>
      <c r="MV338" s="42" t="s">
        <v>607</v>
      </c>
      <c r="MW338" s="42" t="s">
        <v>607</v>
      </c>
      <c r="MX338" s="42" t="s">
        <v>607</v>
      </c>
      <c r="MY338" s="42" t="s">
        <v>607</v>
      </c>
      <c r="MZ338" s="42" t="s">
        <v>607</v>
      </c>
      <c r="NA338" s="42" t="s">
        <v>607</v>
      </c>
      <c r="NB338" s="42" t="s">
        <v>607</v>
      </c>
      <c r="NC338" s="42" t="s">
        <v>607</v>
      </c>
      <c r="ND338" s="42" t="s">
        <v>607</v>
      </c>
      <c r="NE338" s="42" t="s">
        <v>607</v>
      </c>
      <c r="NF338" s="42" t="s">
        <v>607</v>
      </c>
      <c r="NG338" s="42" t="s">
        <v>607</v>
      </c>
      <c r="NH338" s="42" t="s">
        <v>607</v>
      </c>
      <c r="NI338" s="42" t="s">
        <v>607</v>
      </c>
      <c r="NJ338" s="42" t="s">
        <v>607</v>
      </c>
      <c r="NK338" s="42" t="s">
        <v>607</v>
      </c>
      <c r="NL338" s="42" t="s">
        <v>607</v>
      </c>
      <c r="NM338" s="42" t="s">
        <v>607</v>
      </c>
      <c r="NN338" s="42" t="s">
        <v>607</v>
      </c>
      <c r="NO338" s="42" t="s">
        <v>607</v>
      </c>
      <c r="NP338" s="42" t="s">
        <v>607</v>
      </c>
      <c r="NQ338" s="42" t="s">
        <v>607</v>
      </c>
      <c r="NR338" s="42" t="s">
        <v>607</v>
      </c>
      <c r="NS338" s="42" t="s">
        <v>607</v>
      </c>
      <c r="NT338" s="42" t="s">
        <v>607</v>
      </c>
      <c r="NU338" s="42" t="s">
        <v>607</v>
      </c>
      <c r="NV338" s="42" t="s">
        <v>607</v>
      </c>
      <c r="NW338" s="42" t="s">
        <v>607</v>
      </c>
      <c r="NX338" s="42" t="s">
        <v>607</v>
      </c>
      <c r="NY338" s="42" t="s">
        <v>607</v>
      </c>
      <c r="NZ338" s="42" t="s">
        <v>607</v>
      </c>
      <c r="OA338" s="42" t="s">
        <v>607</v>
      </c>
      <c r="OB338" s="42" t="s">
        <v>607</v>
      </c>
      <c r="OC338" s="42" t="s">
        <v>607</v>
      </c>
      <c r="OD338" s="42" t="s">
        <v>607</v>
      </c>
      <c r="OE338" s="42" t="s">
        <v>607</v>
      </c>
      <c r="OF338" s="42" t="s">
        <v>607</v>
      </c>
      <c r="OG338" s="42" t="s">
        <v>607</v>
      </c>
      <c r="OH338" s="42" t="s">
        <v>607</v>
      </c>
      <c r="OI338" s="42" t="s">
        <v>607</v>
      </c>
      <c r="OJ338" s="42" t="s">
        <v>607</v>
      </c>
      <c r="OK338" s="42" t="s">
        <v>607</v>
      </c>
      <c r="OL338" s="42" t="s">
        <v>607</v>
      </c>
      <c r="OM338" s="42" t="s">
        <v>607</v>
      </c>
      <c r="ON338" s="42" t="s">
        <v>607</v>
      </c>
      <c r="OO338" s="42" t="s">
        <v>607</v>
      </c>
      <c r="OP338" s="42" t="s">
        <v>607</v>
      </c>
      <c r="OQ338" s="42" t="s">
        <v>607</v>
      </c>
      <c r="OR338" s="42" t="s">
        <v>607</v>
      </c>
      <c r="OS338" s="42" t="s">
        <v>607</v>
      </c>
      <c r="OT338" s="42" t="s">
        <v>607</v>
      </c>
      <c r="OU338" s="42" t="s">
        <v>607</v>
      </c>
      <c r="OV338" s="42" t="s">
        <v>607</v>
      </c>
      <c r="OW338" s="42" t="s">
        <v>607</v>
      </c>
      <c r="OX338" s="42" t="s">
        <v>607</v>
      </c>
      <c r="OY338" s="42" t="s">
        <v>607</v>
      </c>
      <c r="OZ338" s="42" t="s">
        <v>607</v>
      </c>
      <c r="PA338" s="42" t="s">
        <v>607</v>
      </c>
      <c r="PB338" s="42" t="s">
        <v>607</v>
      </c>
      <c r="PC338" s="42" t="s">
        <v>607</v>
      </c>
      <c r="PD338" s="42" t="s">
        <v>607</v>
      </c>
      <c r="PE338" s="42" t="s">
        <v>607</v>
      </c>
      <c r="PF338" s="42" t="s">
        <v>607</v>
      </c>
      <c r="PG338" s="42" t="s">
        <v>607</v>
      </c>
      <c r="PH338" s="42" t="s">
        <v>607</v>
      </c>
      <c r="PI338" s="42" t="s">
        <v>607</v>
      </c>
      <c r="PJ338" s="42" t="s">
        <v>607</v>
      </c>
      <c r="PK338" s="42" t="s">
        <v>607</v>
      </c>
      <c r="PL338" s="42" t="s">
        <v>607</v>
      </c>
      <c r="PM338" s="42" t="s">
        <v>607</v>
      </c>
      <c r="PN338" s="42" t="s">
        <v>607</v>
      </c>
      <c r="PO338" s="42" t="s">
        <v>607</v>
      </c>
      <c r="PP338" s="42" t="s">
        <v>607</v>
      </c>
      <c r="PQ338" s="42" t="s">
        <v>607</v>
      </c>
      <c r="PR338" s="42" t="s">
        <v>607</v>
      </c>
      <c r="PS338" s="42" t="s">
        <v>607</v>
      </c>
      <c r="PT338" s="42" t="s">
        <v>607</v>
      </c>
      <c r="PU338" s="42" t="s">
        <v>607</v>
      </c>
      <c r="PV338" s="42" t="s">
        <v>607</v>
      </c>
      <c r="PW338" s="42" t="s">
        <v>607</v>
      </c>
      <c r="PX338" s="42" t="s">
        <v>607</v>
      </c>
      <c r="PY338" s="42" t="s">
        <v>607</v>
      </c>
      <c r="PZ338" s="42" t="s">
        <v>607</v>
      </c>
      <c r="QA338" s="42" t="s">
        <v>607</v>
      </c>
      <c r="QB338" s="42" t="s">
        <v>607</v>
      </c>
      <c r="QC338" s="42" t="s">
        <v>607</v>
      </c>
      <c r="QD338" s="42" t="s">
        <v>607</v>
      </c>
      <c r="QE338" s="42" t="s">
        <v>607</v>
      </c>
      <c r="QF338" s="42" t="s">
        <v>607</v>
      </c>
      <c r="QG338" s="42" t="s">
        <v>607</v>
      </c>
      <c r="QH338" s="42" t="s">
        <v>607</v>
      </c>
      <c r="QI338" s="42" t="s">
        <v>607</v>
      </c>
      <c r="QJ338" s="42" t="s">
        <v>607</v>
      </c>
      <c r="QK338" s="42" t="s">
        <v>607</v>
      </c>
      <c r="QL338" s="42" t="s">
        <v>607</v>
      </c>
      <c r="QM338" s="42" t="s">
        <v>607</v>
      </c>
      <c r="QN338" s="42" t="s">
        <v>607</v>
      </c>
      <c r="QO338" s="42" t="s">
        <v>607</v>
      </c>
      <c r="QP338" s="42" t="s">
        <v>607</v>
      </c>
      <c r="QQ338" s="42" t="s">
        <v>607</v>
      </c>
      <c r="QR338" s="42" t="s">
        <v>607</v>
      </c>
      <c r="QS338" s="42" t="s">
        <v>607</v>
      </c>
      <c r="QT338" s="42" t="s">
        <v>607</v>
      </c>
      <c r="QU338" s="42" t="s">
        <v>607</v>
      </c>
      <c r="QV338" s="42" t="s">
        <v>607</v>
      </c>
      <c r="QW338" s="42" t="s">
        <v>607</v>
      </c>
      <c r="QX338" s="42" t="s">
        <v>607</v>
      </c>
      <c r="QY338" s="42" t="s">
        <v>607</v>
      </c>
      <c r="QZ338" s="42" t="s">
        <v>607</v>
      </c>
      <c r="RA338" s="42" t="s">
        <v>607</v>
      </c>
      <c r="RB338" s="42" t="s">
        <v>607</v>
      </c>
      <c r="RC338" s="42" t="s">
        <v>607</v>
      </c>
      <c r="RD338" s="42" t="s">
        <v>607</v>
      </c>
      <c r="RE338" s="42" t="s">
        <v>607</v>
      </c>
      <c r="RF338" s="42" t="s">
        <v>607</v>
      </c>
      <c r="RG338" s="42" t="s">
        <v>607</v>
      </c>
      <c r="RH338" s="42" t="s">
        <v>607</v>
      </c>
      <c r="RI338" s="42" t="s">
        <v>607</v>
      </c>
      <c r="RJ338" s="42" t="s">
        <v>607</v>
      </c>
      <c r="RK338" s="42" t="s">
        <v>607</v>
      </c>
      <c r="RL338" s="42" t="s">
        <v>607</v>
      </c>
      <c r="RM338" s="42" t="s">
        <v>607</v>
      </c>
      <c r="RN338" s="42" t="s">
        <v>607</v>
      </c>
      <c r="RO338" s="42" t="s">
        <v>607</v>
      </c>
      <c r="RP338" s="42" t="s">
        <v>607</v>
      </c>
      <c r="RQ338" s="42" t="s">
        <v>607</v>
      </c>
      <c r="RR338" s="42" t="s">
        <v>607</v>
      </c>
      <c r="RS338" s="42" t="s">
        <v>607</v>
      </c>
      <c r="RT338" s="42" t="s">
        <v>607</v>
      </c>
      <c r="RU338" s="42" t="s">
        <v>607</v>
      </c>
      <c r="RV338" s="42" t="s">
        <v>607</v>
      </c>
      <c r="RW338" s="42" t="s">
        <v>607</v>
      </c>
      <c r="RX338" s="42" t="s">
        <v>607</v>
      </c>
      <c r="RY338" s="42" t="s">
        <v>607</v>
      </c>
      <c r="RZ338" s="42" t="s">
        <v>607</v>
      </c>
      <c r="SA338" s="42" t="s">
        <v>607</v>
      </c>
      <c r="SB338" s="42" t="s">
        <v>607</v>
      </c>
      <c r="SC338" s="42" t="s">
        <v>607</v>
      </c>
      <c r="SD338" s="42" t="s">
        <v>607</v>
      </c>
      <c r="SE338" s="42" t="s">
        <v>607</v>
      </c>
      <c r="SF338" s="42" t="s">
        <v>607</v>
      </c>
      <c r="SG338" s="42" t="s">
        <v>607</v>
      </c>
      <c r="SH338" s="42" t="s">
        <v>607</v>
      </c>
      <c r="SI338" s="42" t="s">
        <v>607</v>
      </c>
      <c r="SJ338" s="42" t="s">
        <v>607</v>
      </c>
      <c r="SK338" s="42" t="s">
        <v>607</v>
      </c>
      <c r="SL338" s="42" t="s">
        <v>607</v>
      </c>
      <c r="SM338" s="42" t="s">
        <v>607</v>
      </c>
      <c r="SN338" s="42" t="s">
        <v>607</v>
      </c>
      <c r="SO338" s="42" t="s">
        <v>607</v>
      </c>
      <c r="SP338" s="42" t="s">
        <v>607</v>
      </c>
      <c r="SQ338" s="42" t="s">
        <v>607</v>
      </c>
      <c r="SR338" s="42" t="s">
        <v>607</v>
      </c>
      <c r="SS338" s="42" t="s">
        <v>607</v>
      </c>
      <c r="ST338" s="42" t="s">
        <v>607</v>
      </c>
      <c r="SU338" s="42" t="s">
        <v>607</v>
      </c>
      <c r="SV338" s="42" t="s">
        <v>607</v>
      </c>
      <c r="SW338" s="42" t="s">
        <v>607</v>
      </c>
      <c r="SX338" s="42" t="s">
        <v>607</v>
      </c>
      <c r="SY338" s="42" t="s">
        <v>607</v>
      </c>
      <c r="SZ338" s="42" t="s">
        <v>607</v>
      </c>
      <c r="TA338" s="42" t="s">
        <v>607</v>
      </c>
      <c r="TB338" s="42" t="s">
        <v>607</v>
      </c>
      <c r="TC338" s="42" t="s">
        <v>607</v>
      </c>
      <c r="TD338" s="42" t="s">
        <v>607</v>
      </c>
      <c r="TE338" s="42" t="s">
        <v>607</v>
      </c>
      <c r="TF338" s="42" t="s">
        <v>607</v>
      </c>
      <c r="TG338" s="42" t="s">
        <v>607</v>
      </c>
      <c r="TH338" s="42" t="s">
        <v>607</v>
      </c>
      <c r="TI338" s="42" t="s">
        <v>607</v>
      </c>
      <c r="TJ338" s="42" t="s">
        <v>607</v>
      </c>
      <c r="TK338" s="42" t="s">
        <v>607</v>
      </c>
      <c r="TL338" s="42" t="s">
        <v>607</v>
      </c>
      <c r="TM338" s="42" t="s">
        <v>607</v>
      </c>
      <c r="TN338" s="42" t="s">
        <v>607</v>
      </c>
      <c r="TO338" s="42" t="s">
        <v>607</v>
      </c>
      <c r="TP338" s="42" t="s">
        <v>607</v>
      </c>
      <c r="TQ338" s="42" t="s">
        <v>607</v>
      </c>
      <c r="TR338" s="42" t="s">
        <v>607</v>
      </c>
      <c r="TS338" s="42" t="s">
        <v>607</v>
      </c>
      <c r="TT338" s="42" t="s">
        <v>607</v>
      </c>
      <c r="TU338" s="42" t="s">
        <v>607</v>
      </c>
      <c r="TV338" s="42" t="s">
        <v>607</v>
      </c>
      <c r="TW338" s="42" t="s">
        <v>607</v>
      </c>
      <c r="TX338" s="42" t="s">
        <v>607</v>
      </c>
      <c r="TY338" s="42" t="s">
        <v>607</v>
      </c>
      <c r="TZ338" s="42" t="s">
        <v>607</v>
      </c>
      <c r="UA338" s="42" t="s">
        <v>607</v>
      </c>
      <c r="UB338" s="42" t="s">
        <v>607</v>
      </c>
      <c r="UC338" s="42" t="s">
        <v>607</v>
      </c>
      <c r="UD338" s="42" t="s">
        <v>607</v>
      </c>
      <c r="UE338" s="42" t="s">
        <v>607</v>
      </c>
      <c r="UF338" s="42" t="s">
        <v>607</v>
      </c>
      <c r="UG338" s="42" t="s">
        <v>607</v>
      </c>
      <c r="UH338" s="42" t="s">
        <v>607</v>
      </c>
      <c r="UI338" s="42" t="s">
        <v>607</v>
      </c>
      <c r="UJ338" s="42" t="s">
        <v>607</v>
      </c>
      <c r="UK338" s="42" t="s">
        <v>607</v>
      </c>
      <c r="UL338" s="42" t="s">
        <v>607</v>
      </c>
      <c r="UM338" s="42" t="s">
        <v>607</v>
      </c>
      <c r="UN338" s="42" t="s">
        <v>607</v>
      </c>
      <c r="UO338" s="42" t="s">
        <v>607</v>
      </c>
      <c r="UP338" s="42" t="s">
        <v>607</v>
      </c>
      <c r="UQ338" s="42" t="s">
        <v>607</v>
      </c>
      <c r="UR338" s="42" t="s">
        <v>607</v>
      </c>
      <c r="US338" s="42" t="s">
        <v>607</v>
      </c>
      <c r="UT338" s="42" t="s">
        <v>607</v>
      </c>
      <c r="UU338" s="42" t="s">
        <v>607</v>
      </c>
      <c r="UV338" s="42" t="s">
        <v>607</v>
      </c>
      <c r="UW338" s="42" t="s">
        <v>607</v>
      </c>
      <c r="UX338" s="42" t="s">
        <v>607</v>
      </c>
      <c r="UY338" s="42" t="s">
        <v>607</v>
      </c>
      <c r="UZ338" s="42" t="s">
        <v>607</v>
      </c>
      <c r="VA338" s="42" t="s">
        <v>607</v>
      </c>
      <c r="VB338" s="42" t="s">
        <v>607</v>
      </c>
      <c r="VC338" s="42" t="s">
        <v>607</v>
      </c>
      <c r="VD338" s="42" t="s">
        <v>607</v>
      </c>
      <c r="VE338" s="42" t="s">
        <v>607</v>
      </c>
      <c r="VF338" s="42" t="s">
        <v>607</v>
      </c>
      <c r="VG338" s="42" t="s">
        <v>607</v>
      </c>
      <c r="VH338" s="42" t="s">
        <v>607</v>
      </c>
      <c r="VI338" s="42" t="s">
        <v>607</v>
      </c>
      <c r="VJ338" s="42" t="s">
        <v>607</v>
      </c>
      <c r="VK338" s="42" t="s">
        <v>607</v>
      </c>
      <c r="VL338" s="42" t="s">
        <v>607</v>
      </c>
      <c r="VM338" s="42" t="s">
        <v>607</v>
      </c>
      <c r="VN338" s="42" t="s">
        <v>607</v>
      </c>
      <c r="VO338" s="42" t="s">
        <v>607</v>
      </c>
      <c r="VP338" s="42" t="s">
        <v>607</v>
      </c>
      <c r="VQ338" s="42" t="s">
        <v>607</v>
      </c>
      <c r="VR338" s="42" t="s">
        <v>607</v>
      </c>
      <c r="VS338" s="42" t="s">
        <v>607</v>
      </c>
      <c r="VT338" s="42" t="s">
        <v>607</v>
      </c>
      <c r="VU338" s="42" t="s">
        <v>607</v>
      </c>
      <c r="VV338" s="42" t="s">
        <v>607</v>
      </c>
      <c r="VW338" s="42" t="s">
        <v>607</v>
      </c>
      <c r="VX338" s="42" t="s">
        <v>607</v>
      </c>
      <c r="VY338" s="42" t="s">
        <v>607</v>
      </c>
      <c r="VZ338" s="42" t="s">
        <v>607</v>
      </c>
      <c r="WA338" s="42" t="s">
        <v>607</v>
      </c>
      <c r="WB338" s="42" t="s">
        <v>607</v>
      </c>
      <c r="WC338" s="42" t="s">
        <v>607</v>
      </c>
      <c r="WD338" s="42" t="s">
        <v>607</v>
      </c>
      <c r="WE338" s="42" t="s">
        <v>607</v>
      </c>
      <c r="WF338" s="42" t="s">
        <v>607</v>
      </c>
      <c r="WG338" s="42" t="s">
        <v>607</v>
      </c>
      <c r="WH338" s="42" t="s">
        <v>607</v>
      </c>
      <c r="WI338" s="42" t="s">
        <v>607</v>
      </c>
      <c r="WJ338" s="42" t="s">
        <v>607</v>
      </c>
      <c r="WK338" s="42" t="s">
        <v>607</v>
      </c>
      <c r="WL338" s="42" t="s">
        <v>607</v>
      </c>
      <c r="WM338" s="42" t="s">
        <v>607</v>
      </c>
      <c r="WN338" s="42" t="s">
        <v>607</v>
      </c>
      <c r="WO338" s="42" t="s">
        <v>607</v>
      </c>
      <c r="WP338" s="42" t="s">
        <v>607</v>
      </c>
      <c r="WQ338" s="42" t="s">
        <v>607</v>
      </c>
      <c r="WR338" s="42" t="s">
        <v>607</v>
      </c>
      <c r="WS338" s="42" t="s">
        <v>607</v>
      </c>
      <c r="WT338" s="42" t="s">
        <v>607</v>
      </c>
      <c r="WU338" s="42" t="s">
        <v>607</v>
      </c>
      <c r="WV338" s="42" t="s">
        <v>607</v>
      </c>
      <c r="WW338" s="42" t="s">
        <v>607</v>
      </c>
      <c r="WX338" s="42" t="s">
        <v>607</v>
      </c>
      <c r="WY338" s="42" t="s">
        <v>607</v>
      </c>
      <c r="WZ338" s="42" t="s">
        <v>607</v>
      </c>
      <c r="XA338" s="42" t="s">
        <v>607</v>
      </c>
      <c r="XB338" s="42" t="s">
        <v>607</v>
      </c>
      <c r="XC338" s="42" t="s">
        <v>607</v>
      </c>
      <c r="XD338" s="42" t="s">
        <v>607</v>
      </c>
      <c r="XE338" s="42" t="s">
        <v>607</v>
      </c>
      <c r="XF338" s="42" t="s">
        <v>607</v>
      </c>
      <c r="XG338" s="42" t="s">
        <v>607</v>
      </c>
      <c r="XH338" s="42" t="s">
        <v>607</v>
      </c>
      <c r="XI338" s="42" t="s">
        <v>607</v>
      </c>
      <c r="XJ338" s="42" t="s">
        <v>607</v>
      </c>
      <c r="XK338" s="42" t="s">
        <v>607</v>
      </c>
      <c r="XL338" s="42" t="s">
        <v>607</v>
      </c>
      <c r="XM338" s="42" t="s">
        <v>607</v>
      </c>
      <c r="XN338" s="42" t="s">
        <v>607</v>
      </c>
      <c r="XO338" s="42" t="s">
        <v>607</v>
      </c>
      <c r="XP338" s="42" t="s">
        <v>607</v>
      </c>
      <c r="XQ338" s="42" t="s">
        <v>607</v>
      </c>
      <c r="XR338" s="42" t="s">
        <v>607</v>
      </c>
      <c r="XS338" s="42" t="s">
        <v>607</v>
      </c>
      <c r="XT338" s="42" t="s">
        <v>607</v>
      </c>
      <c r="XU338" s="42" t="s">
        <v>607</v>
      </c>
      <c r="XV338" s="42" t="s">
        <v>607</v>
      </c>
      <c r="XW338" s="42" t="s">
        <v>607</v>
      </c>
      <c r="XX338" s="42" t="s">
        <v>607</v>
      </c>
      <c r="XY338" s="42" t="s">
        <v>607</v>
      </c>
      <c r="XZ338" s="42" t="s">
        <v>607</v>
      </c>
      <c r="YA338" s="42" t="s">
        <v>607</v>
      </c>
      <c r="YB338" s="42" t="s">
        <v>607</v>
      </c>
      <c r="YC338" s="42" t="s">
        <v>607</v>
      </c>
      <c r="YD338" s="42" t="s">
        <v>607</v>
      </c>
      <c r="YE338" s="42" t="s">
        <v>607</v>
      </c>
      <c r="YF338" s="42" t="s">
        <v>607</v>
      </c>
      <c r="YG338" s="42" t="s">
        <v>607</v>
      </c>
      <c r="YH338" s="42" t="s">
        <v>607</v>
      </c>
      <c r="YI338" s="42" t="s">
        <v>607</v>
      </c>
      <c r="YJ338" s="42" t="s">
        <v>607</v>
      </c>
      <c r="YK338" s="42" t="s">
        <v>607</v>
      </c>
      <c r="YL338" s="42" t="s">
        <v>607</v>
      </c>
      <c r="YM338" s="42" t="s">
        <v>607</v>
      </c>
      <c r="YN338" s="42" t="s">
        <v>607</v>
      </c>
      <c r="YO338" s="42" t="s">
        <v>607</v>
      </c>
      <c r="YP338" s="42" t="s">
        <v>607</v>
      </c>
      <c r="YQ338" s="42" t="s">
        <v>607</v>
      </c>
      <c r="YR338" s="42" t="s">
        <v>607</v>
      </c>
      <c r="YS338" s="42" t="s">
        <v>607</v>
      </c>
      <c r="YT338" s="42" t="s">
        <v>607</v>
      </c>
      <c r="YU338" s="42" t="s">
        <v>607</v>
      </c>
      <c r="YV338" s="42" t="s">
        <v>607</v>
      </c>
      <c r="YW338" s="42" t="s">
        <v>607</v>
      </c>
      <c r="YX338" s="42" t="s">
        <v>607</v>
      </c>
      <c r="YY338" s="42" t="s">
        <v>607</v>
      </c>
      <c r="YZ338" s="42" t="s">
        <v>607</v>
      </c>
      <c r="ZA338" s="42" t="s">
        <v>607</v>
      </c>
      <c r="ZB338" s="42" t="s">
        <v>607</v>
      </c>
      <c r="ZC338" s="42" t="s">
        <v>607</v>
      </c>
      <c r="ZD338" s="42" t="s">
        <v>607</v>
      </c>
      <c r="ZE338" s="42" t="s">
        <v>607</v>
      </c>
      <c r="ZF338" s="42" t="s">
        <v>607</v>
      </c>
      <c r="ZG338" s="42" t="s">
        <v>607</v>
      </c>
      <c r="ZH338" s="42" t="s">
        <v>607</v>
      </c>
      <c r="ZI338" s="42" t="s">
        <v>607</v>
      </c>
      <c r="ZJ338" s="42" t="s">
        <v>607</v>
      </c>
      <c r="ZK338" s="42" t="s">
        <v>607</v>
      </c>
      <c r="ZL338" s="42" t="s">
        <v>607</v>
      </c>
      <c r="ZM338" s="42" t="s">
        <v>607</v>
      </c>
      <c r="ZN338" s="42" t="s">
        <v>607</v>
      </c>
      <c r="ZO338" s="42" t="s">
        <v>607</v>
      </c>
      <c r="ZP338" s="42" t="s">
        <v>607</v>
      </c>
      <c r="ZQ338" s="42" t="s">
        <v>607</v>
      </c>
      <c r="ZR338" s="42" t="s">
        <v>607</v>
      </c>
      <c r="ZS338" s="42" t="s">
        <v>607</v>
      </c>
      <c r="ZT338" s="42" t="s">
        <v>607</v>
      </c>
      <c r="ZU338" s="42" t="s">
        <v>607</v>
      </c>
      <c r="ZV338" s="42" t="s">
        <v>607</v>
      </c>
      <c r="ZW338" s="42" t="s">
        <v>607</v>
      </c>
      <c r="ZX338" s="42" t="s">
        <v>607</v>
      </c>
      <c r="ZY338" s="42" t="s">
        <v>607</v>
      </c>
      <c r="ZZ338" s="42" t="s">
        <v>607</v>
      </c>
      <c r="AAA338" s="42" t="s">
        <v>607</v>
      </c>
      <c r="AAB338" s="42" t="s">
        <v>607</v>
      </c>
      <c r="AAC338" s="42" t="s">
        <v>607</v>
      </c>
      <c r="AAD338" s="42" t="s">
        <v>607</v>
      </c>
      <c r="AAE338" s="42" t="s">
        <v>607</v>
      </c>
      <c r="AAF338" s="42" t="s">
        <v>607</v>
      </c>
      <c r="AAG338" s="42" t="s">
        <v>607</v>
      </c>
      <c r="AAH338" s="42" t="s">
        <v>607</v>
      </c>
      <c r="AAI338" s="42" t="s">
        <v>607</v>
      </c>
      <c r="AAJ338" s="42" t="s">
        <v>607</v>
      </c>
      <c r="AAK338" s="42" t="s">
        <v>607</v>
      </c>
      <c r="AAL338" s="42" t="s">
        <v>607</v>
      </c>
      <c r="AAM338" s="42" t="s">
        <v>607</v>
      </c>
      <c r="AAN338" s="42" t="s">
        <v>607</v>
      </c>
      <c r="AAO338" s="42" t="s">
        <v>607</v>
      </c>
      <c r="AAP338" s="42" t="s">
        <v>607</v>
      </c>
      <c r="AAQ338" s="42" t="s">
        <v>607</v>
      </c>
      <c r="AAR338" s="42" t="s">
        <v>607</v>
      </c>
      <c r="AAS338" s="42" t="s">
        <v>607</v>
      </c>
      <c r="AAT338" s="42" t="s">
        <v>607</v>
      </c>
      <c r="AAU338" s="42" t="s">
        <v>607</v>
      </c>
      <c r="AAV338" s="42" t="s">
        <v>607</v>
      </c>
      <c r="AAW338" s="42" t="s">
        <v>607</v>
      </c>
      <c r="AAX338" s="42" t="s">
        <v>607</v>
      </c>
      <c r="AAY338" s="42" t="s">
        <v>607</v>
      </c>
      <c r="AAZ338" s="42" t="s">
        <v>607</v>
      </c>
      <c r="ABA338" s="42" t="s">
        <v>607</v>
      </c>
      <c r="ABB338" s="42" t="s">
        <v>607</v>
      </c>
      <c r="ABC338" s="42" t="s">
        <v>607</v>
      </c>
      <c r="ABD338" s="42" t="s">
        <v>607</v>
      </c>
      <c r="ABE338" s="42" t="s">
        <v>607</v>
      </c>
      <c r="ABF338" s="42" t="s">
        <v>607</v>
      </c>
      <c r="ABG338" s="42" t="s">
        <v>607</v>
      </c>
      <c r="ABH338" s="42" t="s">
        <v>607</v>
      </c>
      <c r="ABI338" s="42" t="s">
        <v>607</v>
      </c>
      <c r="ABJ338" s="42" t="s">
        <v>607</v>
      </c>
      <c r="ABK338" s="42" t="s">
        <v>607</v>
      </c>
      <c r="ABL338" s="42" t="s">
        <v>607</v>
      </c>
      <c r="ABM338" s="42" t="s">
        <v>607</v>
      </c>
      <c r="ABN338" s="42" t="s">
        <v>607</v>
      </c>
      <c r="ABO338" s="42" t="s">
        <v>607</v>
      </c>
      <c r="ABP338" s="42" t="s">
        <v>607</v>
      </c>
      <c r="ABQ338" s="42" t="s">
        <v>607</v>
      </c>
      <c r="ABR338" s="42" t="s">
        <v>607</v>
      </c>
      <c r="ABS338" s="42" t="s">
        <v>607</v>
      </c>
      <c r="ABT338" s="42" t="s">
        <v>607</v>
      </c>
      <c r="ABU338" s="42" t="s">
        <v>607</v>
      </c>
      <c r="ABV338" s="42" t="s">
        <v>607</v>
      </c>
      <c r="ABW338" s="42" t="s">
        <v>607</v>
      </c>
      <c r="ABX338" s="42" t="s">
        <v>607</v>
      </c>
      <c r="ABY338" s="42" t="s">
        <v>607</v>
      </c>
      <c r="ABZ338" s="42" t="s">
        <v>607</v>
      </c>
      <c r="ACA338" s="42" t="s">
        <v>607</v>
      </c>
      <c r="ACB338" s="42" t="s">
        <v>607</v>
      </c>
      <c r="ACC338" s="42" t="s">
        <v>607</v>
      </c>
      <c r="ACD338" s="42" t="s">
        <v>607</v>
      </c>
      <c r="ACE338" s="42" t="s">
        <v>607</v>
      </c>
      <c r="ACF338" s="42" t="s">
        <v>607</v>
      </c>
      <c r="ACG338" s="42" t="s">
        <v>607</v>
      </c>
      <c r="ACH338" s="42" t="s">
        <v>607</v>
      </c>
      <c r="ACI338" s="42" t="s">
        <v>607</v>
      </c>
      <c r="ACJ338" s="42" t="s">
        <v>607</v>
      </c>
      <c r="ACK338" s="42" t="s">
        <v>607</v>
      </c>
      <c r="ACL338" s="42" t="s">
        <v>607</v>
      </c>
      <c r="ACM338" s="42" t="s">
        <v>607</v>
      </c>
      <c r="ACN338" s="42" t="s">
        <v>607</v>
      </c>
      <c r="ACO338" s="42" t="s">
        <v>607</v>
      </c>
      <c r="ACP338" s="42" t="s">
        <v>607</v>
      </c>
      <c r="ACQ338" s="42" t="s">
        <v>607</v>
      </c>
      <c r="ACR338" s="42" t="s">
        <v>607</v>
      </c>
      <c r="ACS338" s="42" t="s">
        <v>607</v>
      </c>
      <c r="ACT338" s="42" t="s">
        <v>607</v>
      </c>
      <c r="ACU338" s="42" t="s">
        <v>607</v>
      </c>
      <c r="ACV338" s="42" t="s">
        <v>607</v>
      </c>
      <c r="ACW338" s="42" t="s">
        <v>607</v>
      </c>
      <c r="ACX338" s="42" t="s">
        <v>607</v>
      </c>
      <c r="ACY338" s="42" t="s">
        <v>607</v>
      </c>
      <c r="ACZ338" s="42" t="s">
        <v>607</v>
      </c>
      <c r="ADA338" s="42" t="s">
        <v>607</v>
      </c>
      <c r="ADB338" s="42" t="s">
        <v>607</v>
      </c>
      <c r="ADC338" s="42" t="s">
        <v>607</v>
      </c>
      <c r="ADD338" s="42" t="s">
        <v>607</v>
      </c>
      <c r="ADE338" s="42" t="s">
        <v>607</v>
      </c>
      <c r="ADF338" s="42" t="s">
        <v>607</v>
      </c>
      <c r="ADG338" s="42" t="s">
        <v>607</v>
      </c>
      <c r="ADH338" s="42" t="s">
        <v>607</v>
      </c>
      <c r="ADI338" s="42" t="s">
        <v>607</v>
      </c>
      <c r="ADJ338" s="42" t="s">
        <v>607</v>
      </c>
      <c r="ADK338" s="42" t="s">
        <v>607</v>
      </c>
      <c r="ADL338" s="42" t="s">
        <v>607</v>
      </c>
      <c r="ADM338" s="42" t="s">
        <v>607</v>
      </c>
      <c r="ADN338" s="42" t="s">
        <v>607</v>
      </c>
      <c r="ADO338" s="42" t="s">
        <v>607</v>
      </c>
      <c r="ADP338" s="42" t="s">
        <v>607</v>
      </c>
      <c r="ADQ338" s="42" t="s">
        <v>607</v>
      </c>
      <c r="ADR338" s="42" t="s">
        <v>607</v>
      </c>
      <c r="ADS338" s="42" t="s">
        <v>607</v>
      </c>
      <c r="ADT338" s="42" t="s">
        <v>607</v>
      </c>
      <c r="ADU338" s="42" t="s">
        <v>607</v>
      </c>
      <c r="ADV338" s="42" t="s">
        <v>607</v>
      </c>
      <c r="ADW338" s="42" t="s">
        <v>607</v>
      </c>
      <c r="ADX338" s="42" t="s">
        <v>607</v>
      </c>
      <c r="ADY338" s="42" t="s">
        <v>607</v>
      </c>
      <c r="ADZ338" s="42" t="s">
        <v>607</v>
      </c>
      <c r="AEA338" s="42" t="s">
        <v>607</v>
      </c>
      <c r="AEB338" s="42" t="s">
        <v>607</v>
      </c>
      <c r="AEC338" s="42" t="s">
        <v>607</v>
      </c>
      <c r="AED338" s="42" t="s">
        <v>607</v>
      </c>
      <c r="AEE338" s="42" t="s">
        <v>607</v>
      </c>
      <c r="AEF338" s="42" t="s">
        <v>607</v>
      </c>
      <c r="AEG338" s="42" t="s">
        <v>607</v>
      </c>
      <c r="AEH338" s="42" t="s">
        <v>607</v>
      </c>
      <c r="AEI338" s="42" t="s">
        <v>607</v>
      </c>
      <c r="AEJ338" s="42" t="s">
        <v>607</v>
      </c>
      <c r="AEK338" s="42" t="s">
        <v>607</v>
      </c>
      <c r="AEL338" s="42" t="s">
        <v>607</v>
      </c>
      <c r="AEM338" s="42" t="s">
        <v>607</v>
      </c>
      <c r="AEN338" s="42" t="s">
        <v>607</v>
      </c>
      <c r="AEO338" s="42" t="s">
        <v>607</v>
      </c>
      <c r="AEP338" s="42" t="s">
        <v>607</v>
      </c>
      <c r="AEQ338" s="42" t="s">
        <v>607</v>
      </c>
      <c r="AER338" s="42" t="s">
        <v>607</v>
      </c>
      <c r="AES338" s="42" t="s">
        <v>607</v>
      </c>
      <c r="AET338" s="42" t="s">
        <v>607</v>
      </c>
      <c r="AEU338" s="42" t="s">
        <v>607</v>
      </c>
      <c r="AEV338" s="42" t="s">
        <v>607</v>
      </c>
      <c r="AEW338" s="42" t="s">
        <v>607</v>
      </c>
      <c r="AEX338" s="42" t="s">
        <v>607</v>
      </c>
      <c r="AEY338" s="42" t="s">
        <v>607</v>
      </c>
      <c r="AEZ338" s="42" t="s">
        <v>607</v>
      </c>
      <c r="AFA338" s="42" t="s">
        <v>607</v>
      </c>
      <c r="AFB338" s="42" t="s">
        <v>607</v>
      </c>
      <c r="AFC338" s="42" t="s">
        <v>607</v>
      </c>
      <c r="AFD338" s="42" t="s">
        <v>607</v>
      </c>
      <c r="AFE338" s="42" t="s">
        <v>607</v>
      </c>
      <c r="AFF338" s="42" t="s">
        <v>607</v>
      </c>
      <c r="AFG338" s="42" t="s">
        <v>607</v>
      </c>
      <c r="AFH338" s="42" t="s">
        <v>607</v>
      </c>
      <c r="AFI338" s="42" t="s">
        <v>607</v>
      </c>
      <c r="AFJ338" s="42" t="s">
        <v>607</v>
      </c>
      <c r="AFK338" s="42" t="s">
        <v>607</v>
      </c>
      <c r="AFL338" s="42" t="s">
        <v>607</v>
      </c>
      <c r="AFM338" s="42" t="s">
        <v>607</v>
      </c>
      <c r="AFN338" s="42" t="s">
        <v>607</v>
      </c>
      <c r="AFO338" s="42" t="s">
        <v>607</v>
      </c>
      <c r="AFP338" s="42" t="s">
        <v>607</v>
      </c>
      <c r="AFQ338" s="42" t="s">
        <v>607</v>
      </c>
      <c r="AFR338" s="42" t="s">
        <v>607</v>
      </c>
      <c r="AFS338" s="42" t="s">
        <v>607</v>
      </c>
      <c r="AFT338" s="42" t="s">
        <v>607</v>
      </c>
      <c r="AFU338" s="42" t="s">
        <v>607</v>
      </c>
      <c r="AFV338" s="42" t="s">
        <v>607</v>
      </c>
      <c r="AFW338" s="42" t="s">
        <v>607</v>
      </c>
      <c r="AFX338" s="42" t="s">
        <v>607</v>
      </c>
      <c r="AFY338" s="42" t="s">
        <v>607</v>
      </c>
      <c r="AFZ338" s="42" t="s">
        <v>607</v>
      </c>
      <c r="AGA338" s="42" t="s">
        <v>607</v>
      </c>
      <c r="AGB338" s="42" t="s">
        <v>607</v>
      </c>
      <c r="AGC338" s="42" t="s">
        <v>607</v>
      </c>
      <c r="AGD338" s="42" t="s">
        <v>607</v>
      </c>
      <c r="AGE338" s="42" t="s">
        <v>607</v>
      </c>
      <c r="AGF338" s="42" t="s">
        <v>607</v>
      </c>
      <c r="AGG338" s="42" t="s">
        <v>607</v>
      </c>
      <c r="AGH338" s="42" t="s">
        <v>607</v>
      </c>
      <c r="AGI338" s="42" t="s">
        <v>607</v>
      </c>
      <c r="AGJ338" s="42" t="s">
        <v>607</v>
      </c>
      <c r="AGK338" s="42" t="s">
        <v>607</v>
      </c>
      <c r="AGL338" s="42" t="s">
        <v>607</v>
      </c>
      <c r="AGM338" s="42" t="s">
        <v>607</v>
      </c>
      <c r="AGN338" s="42" t="s">
        <v>607</v>
      </c>
      <c r="AGO338" s="42" t="s">
        <v>607</v>
      </c>
      <c r="AGP338" s="42" t="s">
        <v>607</v>
      </c>
      <c r="AGQ338" s="42" t="s">
        <v>607</v>
      </c>
      <c r="AGR338" s="42" t="s">
        <v>607</v>
      </c>
      <c r="AGS338" s="42" t="s">
        <v>607</v>
      </c>
      <c r="AGT338" s="42" t="s">
        <v>607</v>
      </c>
      <c r="AGU338" s="42" t="s">
        <v>607</v>
      </c>
      <c r="AGV338" s="42" t="s">
        <v>607</v>
      </c>
      <c r="AGW338" s="42" t="s">
        <v>607</v>
      </c>
      <c r="AGX338" s="42" t="s">
        <v>607</v>
      </c>
      <c r="AGY338" s="42" t="s">
        <v>607</v>
      </c>
      <c r="AGZ338" s="42" t="s">
        <v>607</v>
      </c>
      <c r="AHA338" s="42" t="s">
        <v>607</v>
      </c>
      <c r="AHB338" s="42" t="s">
        <v>607</v>
      </c>
      <c r="AHC338" s="42" t="s">
        <v>607</v>
      </c>
      <c r="AHD338" s="42" t="s">
        <v>607</v>
      </c>
      <c r="AHE338" s="42" t="s">
        <v>607</v>
      </c>
      <c r="AHF338" s="42" t="s">
        <v>607</v>
      </c>
      <c r="AHG338" s="42" t="s">
        <v>607</v>
      </c>
      <c r="AHH338" s="42" t="s">
        <v>607</v>
      </c>
      <c r="AHI338" s="42" t="s">
        <v>607</v>
      </c>
      <c r="AHJ338" s="42" t="s">
        <v>607</v>
      </c>
      <c r="AHK338" s="42" t="s">
        <v>607</v>
      </c>
      <c r="AHL338" s="42" t="s">
        <v>607</v>
      </c>
      <c r="AHM338" s="42" t="s">
        <v>607</v>
      </c>
      <c r="AHN338" s="42" t="s">
        <v>607</v>
      </c>
      <c r="AHO338" s="42" t="s">
        <v>607</v>
      </c>
      <c r="AHP338" s="42" t="s">
        <v>607</v>
      </c>
      <c r="AHQ338" s="42" t="s">
        <v>607</v>
      </c>
      <c r="AHR338" s="42" t="s">
        <v>607</v>
      </c>
      <c r="AHS338" s="42" t="s">
        <v>607</v>
      </c>
      <c r="AHT338" s="42" t="s">
        <v>607</v>
      </c>
      <c r="AHU338" s="42" t="s">
        <v>607</v>
      </c>
      <c r="AHV338" s="42" t="s">
        <v>607</v>
      </c>
      <c r="AHW338" s="42" t="s">
        <v>607</v>
      </c>
      <c r="AHX338" s="42" t="s">
        <v>607</v>
      </c>
      <c r="AHY338" s="42" t="s">
        <v>607</v>
      </c>
      <c r="AHZ338" s="42" t="s">
        <v>607</v>
      </c>
      <c r="AIA338" s="42" t="s">
        <v>607</v>
      </c>
      <c r="AIB338" s="42" t="s">
        <v>607</v>
      </c>
      <c r="AIC338" s="42" t="s">
        <v>607</v>
      </c>
      <c r="AID338" s="42" t="s">
        <v>607</v>
      </c>
      <c r="AIE338" s="42" t="s">
        <v>607</v>
      </c>
      <c r="AIF338" s="42" t="s">
        <v>607</v>
      </c>
      <c r="AIG338" s="42" t="s">
        <v>607</v>
      </c>
      <c r="AIH338" s="42" t="s">
        <v>607</v>
      </c>
      <c r="AII338" s="42" t="s">
        <v>607</v>
      </c>
      <c r="AIJ338" s="42" t="s">
        <v>607</v>
      </c>
      <c r="AIK338" s="42" t="s">
        <v>607</v>
      </c>
      <c r="AIL338" s="42" t="s">
        <v>607</v>
      </c>
      <c r="AIM338" s="42" t="s">
        <v>607</v>
      </c>
      <c r="AIN338" s="42" t="s">
        <v>607</v>
      </c>
      <c r="AIO338" s="42" t="s">
        <v>607</v>
      </c>
      <c r="AIP338" s="42" t="s">
        <v>607</v>
      </c>
      <c r="AIQ338" s="42" t="s">
        <v>607</v>
      </c>
      <c r="AIR338" s="42" t="s">
        <v>607</v>
      </c>
      <c r="AIS338" s="42" t="s">
        <v>607</v>
      </c>
      <c r="AIT338" s="42" t="s">
        <v>607</v>
      </c>
      <c r="AIU338" s="42" t="s">
        <v>607</v>
      </c>
      <c r="AIV338" s="42" t="s">
        <v>607</v>
      </c>
      <c r="AIW338" s="42" t="s">
        <v>607</v>
      </c>
      <c r="AIX338" s="42" t="s">
        <v>607</v>
      </c>
      <c r="AIY338" s="42" t="s">
        <v>607</v>
      </c>
      <c r="AIZ338" s="42" t="s">
        <v>607</v>
      </c>
      <c r="AJA338" s="42" t="s">
        <v>607</v>
      </c>
      <c r="AJB338" s="42" t="s">
        <v>607</v>
      </c>
      <c r="AJC338" s="42" t="s">
        <v>607</v>
      </c>
      <c r="AJD338" s="42" t="s">
        <v>607</v>
      </c>
      <c r="AJE338" s="42" t="s">
        <v>607</v>
      </c>
      <c r="AJF338" s="42" t="s">
        <v>607</v>
      </c>
      <c r="AJG338" s="42" t="s">
        <v>607</v>
      </c>
      <c r="AJH338" s="42" t="s">
        <v>607</v>
      </c>
      <c r="AJI338" s="42" t="s">
        <v>607</v>
      </c>
      <c r="AJJ338" s="42" t="s">
        <v>607</v>
      </c>
      <c r="AJK338" s="42" t="s">
        <v>607</v>
      </c>
      <c r="AJL338" s="42" t="s">
        <v>607</v>
      </c>
      <c r="AJM338" s="42" t="s">
        <v>607</v>
      </c>
      <c r="AJN338" s="42" t="s">
        <v>607</v>
      </c>
      <c r="AJO338" s="42" t="s">
        <v>607</v>
      </c>
      <c r="AJP338" s="42" t="s">
        <v>607</v>
      </c>
      <c r="AJQ338" s="42" t="s">
        <v>607</v>
      </c>
      <c r="AJR338" s="42" t="s">
        <v>607</v>
      </c>
      <c r="AJS338" s="42" t="s">
        <v>607</v>
      </c>
      <c r="AJT338" s="42" t="s">
        <v>607</v>
      </c>
      <c r="AJU338" s="42" t="s">
        <v>607</v>
      </c>
      <c r="AJV338" s="42" t="s">
        <v>607</v>
      </c>
      <c r="AJW338" s="42" t="s">
        <v>607</v>
      </c>
      <c r="AJX338" s="42" t="s">
        <v>607</v>
      </c>
      <c r="AJY338" s="42" t="s">
        <v>607</v>
      </c>
      <c r="AJZ338" s="42" t="s">
        <v>607</v>
      </c>
      <c r="AKA338" s="42" t="s">
        <v>607</v>
      </c>
      <c r="AKB338" s="42" t="s">
        <v>607</v>
      </c>
      <c r="AKC338" s="42" t="s">
        <v>607</v>
      </c>
      <c r="AKD338" s="42" t="s">
        <v>607</v>
      </c>
      <c r="AKE338" s="42" t="s">
        <v>607</v>
      </c>
      <c r="AKF338" s="42" t="s">
        <v>607</v>
      </c>
      <c r="AKG338" s="42" t="s">
        <v>607</v>
      </c>
      <c r="AKH338" s="42" t="s">
        <v>607</v>
      </c>
      <c r="AKI338" s="42" t="s">
        <v>607</v>
      </c>
      <c r="AKJ338" s="42" t="s">
        <v>607</v>
      </c>
      <c r="AKK338" s="42" t="s">
        <v>607</v>
      </c>
      <c r="AKL338" s="42" t="s">
        <v>607</v>
      </c>
      <c r="AKM338" s="42" t="s">
        <v>607</v>
      </c>
      <c r="AKN338" s="42" t="s">
        <v>607</v>
      </c>
      <c r="AKO338" s="42" t="s">
        <v>607</v>
      </c>
      <c r="AKP338" s="42" t="s">
        <v>607</v>
      </c>
      <c r="AKQ338" s="42" t="s">
        <v>607</v>
      </c>
      <c r="AKR338" s="42" t="s">
        <v>607</v>
      </c>
      <c r="AKS338" s="42" t="s">
        <v>607</v>
      </c>
      <c r="AKT338" s="42" t="s">
        <v>607</v>
      </c>
      <c r="AKU338" s="42" t="s">
        <v>607</v>
      </c>
      <c r="AKV338" s="42" t="s">
        <v>607</v>
      </c>
      <c r="AKW338" s="42" t="s">
        <v>607</v>
      </c>
      <c r="AKX338" s="42" t="s">
        <v>607</v>
      </c>
      <c r="AKY338" s="42" t="s">
        <v>607</v>
      </c>
      <c r="AKZ338" s="42" t="s">
        <v>607</v>
      </c>
      <c r="ALA338" s="42" t="s">
        <v>607</v>
      </c>
      <c r="ALB338" s="42" t="s">
        <v>607</v>
      </c>
      <c r="ALC338" s="42" t="s">
        <v>607</v>
      </c>
      <c r="ALD338" s="42" t="s">
        <v>607</v>
      </c>
      <c r="ALE338" s="42" t="s">
        <v>607</v>
      </c>
      <c r="ALF338" s="42" t="s">
        <v>607</v>
      </c>
      <c r="ALG338" s="42" t="s">
        <v>607</v>
      </c>
      <c r="ALH338" s="42" t="s">
        <v>607</v>
      </c>
      <c r="ALI338" s="42" t="s">
        <v>607</v>
      </c>
      <c r="ALJ338" s="42" t="s">
        <v>607</v>
      </c>
      <c r="ALK338" s="42" t="s">
        <v>607</v>
      </c>
      <c r="ALL338" s="42" t="s">
        <v>607</v>
      </c>
      <c r="ALM338" s="42" t="s">
        <v>607</v>
      </c>
      <c r="ALN338" s="42" t="s">
        <v>607</v>
      </c>
      <c r="ALO338" s="42" t="s">
        <v>607</v>
      </c>
      <c r="ALP338" s="42" t="s">
        <v>607</v>
      </c>
      <c r="ALQ338" s="42" t="s">
        <v>607</v>
      </c>
      <c r="ALR338" s="42" t="s">
        <v>607</v>
      </c>
      <c r="ALS338" s="42" t="s">
        <v>607</v>
      </c>
      <c r="ALT338" s="42" t="s">
        <v>607</v>
      </c>
      <c r="ALU338" s="42" t="s">
        <v>607</v>
      </c>
      <c r="ALV338" s="42" t="s">
        <v>607</v>
      </c>
      <c r="ALW338" s="42" t="s">
        <v>607</v>
      </c>
      <c r="ALX338" s="42" t="s">
        <v>607</v>
      </c>
      <c r="ALY338" s="42" t="s">
        <v>607</v>
      </c>
      <c r="ALZ338" s="42" t="s">
        <v>607</v>
      </c>
      <c r="AMA338" s="42" t="s">
        <v>607</v>
      </c>
      <c r="AMB338" s="42" t="s">
        <v>607</v>
      </c>
      <c r="AMC338" s="42" t="s">
        <v>607</v>
      </c>
      <c r="AMD338" s="42" t="s">
        <v>607</v>
      </c>
      <c r="AME338" s="42" t="s">
        <v>607</v>
      </c>
      <c r="AMF338" s="42" t="s">
        <v>607</v>
      </c>
      <c r="AMG338" s="42" t="s">
        <v>607</v>
      </c>
      <c r="AMH338" s="42" t="s">
        <v>607</v>
      </c>
      <c r="AMI338" s="42" t="s">
        <v>607</v>
      </c>
      <c r="AMJ338" s="42" t="s">
        <v>607</v>
      </c>
      <c r="AMK338" s="42" t="s">
        <v>607</v>
      </c>
      <c r="AML338" s="42" t="s">
        <v>607</v>
      </c>
      <c r="AMM338" s="42" t="s">
        <v>607</v>
      </c>
      <c r="AMN338" s="42" t="s">
        <v>607</v>
      </c>
      <c r="AMO338" s="42" t="s">
        <v>607</v>
      </c>
      <c r="AMP338" s="42" t="s">
        <v>607</v>
      </c>
      <c r="AMQ338" s="42" t="s">
        <v>607</v>
      </c>
      <c r="AMR338" s="42" t="s">
        <v>607</v>
      </c>
      <c r="AMS338" s="42" t="s">
        <v>607</v>
      </c>
      <c r="AMT338" s="42" t="s">
        <v>607</v>
      </c>
      <c r="AMU338" s="42" t="s">
        <v>607</v>
      </c>
      <c r="AMV338" s="42" t="s">
        <v>607</v>
      </c>
      <c r="AMW338" s="42" t="s">
        <v>607</v>
      </c>
      <c r="AMX338" s="42" t="s">
        <v>607</v>
      </c>
      <c r="AMY338" s="42" t="s">
        <v>607</v>
      </c>
      <c r="AMZ338" s="42" t="s">
        <v>607</v>
      </c>
      <c r="ANA338" s="42" t="s">
        <v>607</v>
      </c>
      <c r="ANB338" s="42" t="s">
        <v>607</v>
      </c>
      <c r="ANC338" s="42" t="s">
        <v>607</v>
      </c>
      <c r="AND338" s="42" t="s">
        <v>607</v>
      </c>
      <c r="ANE338" s="42" t="s">
        <v>607</v>
      </c>
      <c r="ANF338" s="42" t="s">
        <v>607</v>
      </c>
      <c r="ANG338" s="42" t="s">
        <v>607</v>
      </c>
      <c r="ANH338" s="42" t="s">
        <v>607</v>
      </c>
      <c r="ANI338" s="42" t="s">
        <v>607</v>
      </c>
      <c r="ANJ338" s="42" t="s">
        <v>607</v>
      </c>
      <c r="ANK338" s="42" t="s">
        <v>607</v>
      </c>
      <c r="ANL338" s="42" t="s">
        <v>607</v>
      </c>
      <c r="ANM338" s="42" t="s">
        <v>607</v>
      </c>
      <c r="ANN338" s="42" t="s">
        <v>607</v>
      </c>
      <c r="ANO338" s="42" t="s">
        <v>607</v>
      </c>
      <c r="ANP338" s="42" t="s">
        <v>607</v>
      </c>
      <c r="ANQ338" s="42" t="s">
        <v>607</v>
      </c>
      <c r="ANR338" s="42" t="s">
        <v>607</v>
      </c>
      <c r="ANS338" s="42" t="s">
        <v>607</v>
      </c>
      <c r="ANT338" s="42" t="s">
        <v>607</v>
      </c>
      <c r="ANU338" s="42" t="s">
        <v>607</v>
      </c>
      <c r="ANV338" s="42" t="s">
        <v>607</v>
      </c>
      <c r="ANW338" s="42" t="s">
        <v>607</v>
      </c>
      <c r="ANX338" s="42" t="s">
        <v>607</v>
      </c>
      <c r="ANY338" s="42" t="s">
        <v>607</v>
      </c>
      <c r="ANZ338" s="42" t="s">
        <v>607</v>
      </c>
      <c r="AOA338" s="42" t="s">
        <v>607</v>
      </c>
      <c r="AOB338" s="42" t="s">
        <v>607</v>
      </c>
      <c r="AOC338" s="42" t="s">
        <v>607</v>
      </c>
      <c r="AOD338" s="42" t="s">
        <v>607</v>
      </c>
      <c r="AOE338" s="42" t="s">
        <v>607</v>
      </c>
      <c r="AOF338" s="42" t="s">
        <v>607</v>
      </c>
      <c r="AOG338" s="42" t="s">
        <v>607</v>
      </c>
      <c r="AOH338" s="42" t="s">
        <v>607</v>
      </c>
      <c r="AOI338" s="42" t="s">
        <v>607</v>
      </c>
      <c r="AOJ338" s="42" t="s">
        <v>607</v>
      </c>
      <c r="AOK338" s="42" t="s">
        <v>607</v>
      </c>
      <c r="AOL338" s="42" t="s">
        <v>607</v>
      </c>
      <c r="AOM338" s="42" t="s">
        <v>607</v>
      </c>
      <c r="AON338" s="42" t="s">
        <v>607</v>
      </c>
      <c r="AOO338" s="42" t="s">
        <v>607</v>
      </c>
      <c r="AOP338" s="42" t="s">
        <v>607</v>
      </c>
      <c r="AOQ338" s="42" t="s">
        <v>607</v>
      </c>
      <c r="AOR338" s="42" t="s">
        <v>607</v>
      </c>
      <c r="AOS338" s="42" t="s">
        <v>607</v>
      </c>
      <c r="AOT338" s="42" t="s">
        <v>607</v>
      </c>
      <c r="AOU338" s="42" t="s">
        <v>607</v>
      </c>
      <c r="AOV338" s="42" t="s">
        <v>607</v>
      </c>
      <c r="AOW338" s="42" t="s">
        <v>607</v>
      </c>
      <c r="AOX338" s="42" t="s">
        <v>607</v>
      </c>
      <c r="AOY338" s="42" t="s">
        <v>607</v>
      </c>
      <c r="AOZ338" s="42" t="s">
        <v>607</v>
      </c>
      <c r="APA338" s="42" t="s">
        <v>607</v>
      </c>
      <c r="APB338" s="42" t="s">
        <v>607</v>
      </c>
      <c r="APC338" s="42" t="s">
        <v>607</v>
      </c>
      <c r="APD338" s="42" t="s">
        <v>607</v>
      </c>
      <c r="APE338" s="42" t="s">
        <v>607</v>
      </c>
      <c r="APF338" s="42" t="s">
        <v>607</v>
      </c>
      <c r="APG338" s="42" t="s">
        <v>607</v>
      </c>
      <c r="APH338" s="42" t="s">
        <v>607</v>
      </c>
      <c r="API338" s="42" t="s">
        <v>607</v>
      </c>
      <c r="APJ338" s="42" t="s">
        <v>607</v>
      </c>
      <c r="APK338" s="42" t="s">
        <v>607</v>
      </c>
      <c r="APL338" s="42" t="s">
        <v>607</v>
      </c>
      <c r="APM338" s="42" t="s">
        <v>607</v>
      </c>
      <c r="APN338" s="42" t="s">
        <v>607</v>
      </c>
      <c r="APO338" s="42" t="s">
        <v>607</v>
      </c>
      <c r="APP338" s="42" t="s">
        <v>607</v>
      </c>
      <c r="APQ338" s="42" t="s">
        <v>607</v>
      </c>
      <c r="APR338" s="42" t="s">
        <v>607</v>
      </c>
      <c r="APS338" s="42" t="s">
        <v>607</v>
      </c>
      <c r="APT338" s="42" t="s">
        <v>607</v>
      </c>
      <c r="APU338" s="42" t="s">
        <v>607</v>
      </c>
      <c r="APV338" s="42" t="s">
        <v>607</v>
      </c>
      <c r="APW338" s="42" t="s">
        <v>607</v>
      </c>
      <c r="APX338" s="42" t="s">
        <v>607</v>
      </c>
      <c r="APY338" s="42" t="s">
        <v>607</v>
      </c>
      <c r="APZ338" s="42" t="s">
        <v>607</v>
      </c>
      <c r="AQA338" s="42" t="s">
        <v>607</v>
      </c>
      <c r="AQB338" s="42" t="s">
        <v>607</v>
      </c>
      <c r="AQC338" s="42" t="s">
        <v>607</v>
      </c>
      <c r="AQD338" s="42" t="s">
        <v>607</v>
      </c>
      <c r="AQE338" s="42" t="s">
        <v>607</v>
      </c>
      <c r="AQF338" s="42" t="s">
        <v>607</v>
      </c>
      <c r="AQG338" s="42" t="s">
        <v>607</v>
      </c>
      <c r="AQH338" s="42" t="s">
        <v>607</v>
      </c>
      <c r="AQI338" s="42" t="s">
        <v>607</v>
      </c>
      <c r="AQJ338" s="42" t="s">
        <v>607</v>
      </c>
      <c r="AQK338" s="42" t="s">
        <v>607</v>
      </c>
      <c r="AQL338" s="42" t="s">
        <v>607</v>
      </c>
      <c r="AQM338" s="42" t="s">
        <v>607</v>
      </c>
      <c r="AQN338" s="42" t="s">
        <v>607</v>
      </c>
      <c r="AQO338" s="42" t="s">
        <v>607</v>
      </c>
      <c r="AQP338" s="42" t="s">
        <v>607</v>
      </c>
      <c r="AQQ338" s="42" t="s">
        <v>607</v>
      </c>
      <c r="AQR338" s="42" t="s">
        <v>607</v>
      </c>
      <c r="AQS338" s="42" t="s">
        <v>607</v>
      </c>
      <c r="AQT338" s="42" t="s">
        <v>607</v>
      </c>
      <c r="AQU338" s="42" t="s">
        <v>607</v>
      </c>
      <c r="AQV338" s="42" t="s">
        <v>607</v>
      </c>
      <c r="AQW338" s="42" t="s">
        <v>607</v>
      </c>
      <c r="AQX338" s="42" t="s">
        <v>607</v>
      </c>
      <c r="AQY338" s="42" t="s">
        <v>607</v>
      </c>
      <c r="AQZ338" s="42" t="s">
        <v>607</v>
      </c>
      <c r="ARA338" s="42" t="s">
        <v>607</v>
      </c>
      <c r="ARB338" s="42" t="s">
        <v>607</v>
      </c>
      <c r="ARC338" s="42" t="s">
        <v>607</v>
      </c>
      <c r="ARD338" s="42" t="s">
        <v>607</v>
      </c>
      <c r="ARE338" s="42" t="s">
        <v>607</v>
      </c>
      <c r="ARF338" s="42" t="s">
        <v>607</v>
      </c>
      <c r="ARG338" s="42" t="s">
        <v>607</v>
      </c>
      <c r="ARH338" s="42" t="s">
        <v>607</v>
      </c>
      <c r="ARI338" s="42" t="s">
        <v>607</v>
      </c>
      <c r="ARJ338" s="42" t="s">
        <v>607</v>
      </c>
      <c r="ARK338" s="42" t="s">
        <v>607</v>
      </c>
      <c r="ARL338" s="42" t="s">
        <v>607</v>
      </c>
      <c r="ARM338" s="42" t="s">
        <v>607</v>
      </c>
      <c r="ARN338" s="42" t="s">
        <v>607</v>
      </c>
      <c r="ARO338" s="42" t="s">
        <v>607</v>
      </c>
      <c r="ARP338" s="42" t="s">
        <v>607</v>
      </c>
      <c r="ARQ338" s="42" t="s">
        <v>607</v>
      </c>
      <c r="ARR338" s="42" t="s">
        <v>607</v>
      </c>
      <c r="ARS338" s="42" t="s">
        <v>607</v>
      </c>
      <c r="ART338" s="42" t="s">
        <v>607</v>
      </c>
      <c r="ARU338" s="42" t="s">
        <v>607</v>
      </c>
      <c r="ARV338" s="42" t="s">
        <v>607</v>
      </c>
      <c r="ARW338" s="42" t="s">
        <v>607</v>
      </c>
      <c r="ARX338" s="42" t="s">
        <v>607</v>
      </c>
      <c r="ARY338" s="42" t="s">
        <v>607</v>
      </c>
      <c r="ARZ338" s="42" t="s">
        <v>607</v>
      </c>
      <c r="ASA338" s="42" t="s">
        <v>607</v>
      </c>
      <c r="ASB338" s="42" t="s">
        <v>607</v>
      </c>
      <c r="ASC338" s="42" t="s">
        <v>607</v>
      </c>
      <c r="ASD338" s="42" t="s">
        <v>607</v>
      </c>
      <c r="ASE338" s="42" t="s">
        <v>607</v>
      </c>
      <c r="ASF338" s="42" t="s">
        <v>607</v>
      </c>
      <c r="ASG338" s="42" t="s">
        <v>607</v>
      </c>
      <c r="ASH338" s="42" t="s">
        <v>607</v>
      </c>
      <c r="ASI338" s="42" t="s">
        <v>607</v>
      </c>
      <c r="ASJ338" s="42" t="s">
        <v>607</v>
      </c>
      <c r="ASK338" s="42" t="s">
        <v>607</v>
      </c>
      <c r="ASL338" s="42" t="s">
        <v>607</v>
      </c>
      <c r="ASM338" s="42" t="s">
        <v>607</v>
      </c>
      <c r="ASN338" s="42" t="s">
        <v>607</v>
      </c>
      <c r="ASO338" s="42" t="s">
        <v>607</v>
      </c>
      <c r="ASP338" s="42" t="s">
        <v>607</v>
      </c>
      <c r="ASQ338" s="42" t="s">
        <v>607</v>
      </c>
      <c r="ASR338" s="42" t="s">
        <v>607</v>
      </c>
      <c r="ASS338" s="42" t="s">
        <v>607</v>
      </c>
      <c r="AST338" s="42" t="s">
        <v>607</v>
      </c>
      <c r="ASU338" s="42" t="s">
        <v>607</v>
      </c>
      <c r="ASV338" s="42" t="s">
        <v>607</v>
      </c>
      <c r="ASW338" s="42" t="s">
        <v>607</v>
      </c>
      <c r="ASX338" s="42" t="s">
        <v>607</v>
      </c>
      <c r="ASY338" s="42" t="s">
        <v>607</v>
      </c>
      <c r="ASZ338" s="42" t="s">
        <v>607</v>
      </c>
      <c r="ATA338" s="42" t="s">
        <v>607</v>
      </c>
      <c r="ATB338" s="42" t="s">
        <v>607</v>
      </c>
      <c r="ATC338" s="42" t="s">
        <v>607</v>
      </c>
      <c r="ATD338" s="42" t="s">
        <v>607</v>
      </c>
      <c r="ATE338" s="42" t="s">
        <v>607</v>
      </c>
      <c r="ATF338" s="42" t="s">
        <v>607</v>
      </c>
      <c r="ATG338" s="42" t="s">
        <v>607</v>
      </c>
      <c r="ATH338" s="42" t="s">
        <v>607</v>
      </c>
      <c r="ATI338" s="42" t="s">
        <v>607</v>
      </c>
      <c r="ATJ338" s="42" t="s">
        <v>607</v>
      </c>
      <c r="ATK338" s="42" t="s">
        <v>607</v>
      </c>
      <c r="ATL338" s="42" t="s">
        <v>607</v>
      </c>
      <c r="ATM338" s="42" t="s">
        <v>607</v>
      </c>
      <c r="ATN338" s="42" t="s">
        <v>607</v>
      </c>
      <c r="ATO338" s="42" t="s">
        <v>607</v>
      </c>
      <c r="ATP338" s="42" t="s">
        <v>607</v>
      </c>
      <c r="ATQ338" s="42" t="s">
        <v>607</v>
      </c>
      <c r="ATR338" s="42" t="s">
        <v>607</v>
      </c>
      <c r="ATS338" s="42" t="s">
        <v>607</v>
      </c>
      <c r="ATT338" s="42" t="s">
        <v>607</v>
      </c>
      <c r="ATU338" s="42" t="s">
        <v>607</v>
      </c>
      <c r="ATV338" s="42" t="s">
        <v>607</v>
      </c>
      <c r="ATW338" s="42" t="s">
        <v>607</v>
      </c>
      <c r="ATX338" s="42" t="s">
        <v>607</v>
      </c>
      <c r="ATY338" s="42" t="s">
        <v>607</v>
      </c>
      <c r="ATZ338" s="42" t="s">
        <v>607</v>
      </c>
      <c r="AUA338" s="42" t="s">
        <v>607</v>
      </c>
      <c r="AUB338" s="42" t="s">
        <v>607</v>
      </c>
      <c r="AUC338" s="42" t="s">
        <v>607</v>
      </c>
      <c r="AUD338" s="42" t="s">
        <v>607</v>
      </c>
      <c r="AUE338" s="42" t="s">
        <v>607</v>
      </c>
      <c r="AUF338" s="42" t="s">
        <v>607</v>
      </c>
      <c r="AUG338" s="42" t="s">
        <v>607</v>
      </c>
      <c r="AUH338" s="42" t="s">
        <v>607</v>
      </c>
      <c r="AUI338" s="42" t="s">
        <v>607</v>
      </c>
      <c r="AUJ338" s="42" t="s">
        <v>607</v>
      </c>
      <c r="AUK338" s="42" t="s">
        <v>607</v>
      </c>
      <c r="AUL338" s="42" t="s">
        <v>607</v>
      </c>
      <c r="AUM338" s="42" t="s">
        <v>607</v>
      </c>
      <c r="AUN338" s="42" t="s">
        <v>607</v>
      </c>
      <c r="AUO338" s="42" t="s">
        <v>607</v>
      </c>
      <c r="AUP338" s="42" t="s">
        <v>607</v>
      </c>
      <c r="AUQ338" s="42" t="s">
        <v>607</v>
      </c>
      <c r="AUR338" s="42" t="s">
        <v>607</v>
      </c>
      <c r="AUS338" s="42" t="s">
        <v>607</v>
      </c>
      <c r="AUT338" s="42" t="s">
        <v>607</v>
      </c>
      <c r="AUU338" s="42" t="s">
        <v>607</v>
      </c>
      <c r="AUV338" s="42" t="s">
        <v>607</v>
      </c>
      <c r="AUW338" s="42" t="s">
        <v>607</v>
      </c>
      <c r="AUX338" s="42" t="s">
        <v>607</v>
      </c>
      <c r="AUY338" s="42" t="s">
        <v>607</v>
      </c>
      <c r="AUZ338" s="42" t="s">
        <v>607</v>
      </c>
      <c r="AVA338" s="42" t="s">
        <v>607</v>
      </c>
      <c r="AVB338" s="42" t="s">
        <v>607</v>
      </c>
      <c r="AVC338" s="42" t="s">
        <v>607</v>
      </c>
      <c r="AVD338" s="42" t="s">
        <v>607</v>
      </c>
      <c r="AVE338" s="42" t="s">
        <v>607</v>
      </c>
      <c r="AVF338" s="42" t="s">
        <v>607</v>
      </c>
      <c r="AVG338" s="42" t="s">
        <v>607</v>
      </c>
      <c r="AVH338" s="42" t="s">
        <v>607</v>
      </c>
      <c r="AVI338" s="42" t="s">
        <v>607</v>
      </c>
      <c r="AVJ338" s="42" t="s">
        <v>607</v>
      </c>
      <c r="AVK338" s="42" t="s">
        <v>607</v>
      </c>
      <c r="AVL338" s="42" t="s">
        <v>607</v>
      </c>
      <c r="AVM338" s="42" t="s">
        <v>607</v>
      </c>
      <c r="AVN338" s="42" t="s">
        <v>607</v>
      </c>
      <c r="AVO338" s="42" t="s">
        <v>607</v>
      </c>
      <c r="AVP338" s="42" t="s">
        <v>607</v>
      </c>
      <c r="AVQ338" s="42" t="s">
        <v>607</v>
      </c>
      <c r="AVR338" s="42" t="s">
        <v>607</v>
      </c>
      <c r="AVS338" s="42" t="s">
        <v>607</v>
      </c>
      <c r="AVT338" s="42" t="s">
        <v>607</v>
      </c>
      <c r="AVU338" s="42" t="s">
        <v>607</v>
      </c>
      <c r="AVV338" s="42" t="s">
        <v>607</v>
      </c>
      <c r="AVW338" s="42" t="s">
        <v>607</v>
      </c>
      <c r="AVX338" s="42" t="s">
        <v>607</v>
      </c>
      <c r="AVY338" s="42" t="s">
        <v>607</v>
      </c>
      <c r="AVZ338" s="42" t="s">
        <v>607</v>
      </c>
      <c r="AWA338" s="42" t="s">
        <v>607</v>
      </c>
      <c r="AWB338" s="42" t="s">
        <v>607</v>
      </c>
      <c r="AWC338" s="42" t="s">
        <v>607</v>
      </c>
      <c r="AWD338" s="42" t="s">
        <v>607</v>
      </c>
      <c r="AWE338" s="42" t="s">
        <v>607</v>
      </c>
      <c r="AWF338" s="42" t="s">
        <v>607</v>
      </c>
      <c r="AWG338" s="42" t="s">
        <v>607</v>
      </c>
      <c r="AWH338" s="42" t="s">
        <v>607</v>
      </c>
      <c r="AWI338" s="42" t="s">
        <v>607</v>
      </c>
      <c r="AWJ338" s="42" t="s">
        <v>607</v>
      </c>
      <c r="AWK338" s="42" t="s">
        <v>607</v>
      </c>
      <c r="AWL338" s="42" t="s">
        <v>607</v>
      </c>
      <c r="AWM338" s="42" t="s">
        <v>607</v>
      </c>
      <c r="AWN338" s="42" t="s">
        <v>607</v>
      </c>
      <c r="AWO338" s="42" t="s">
        <v>607</v>
      </c>
      <c r="AWP338" s="42" t="s">
        <v>607</v>
      </c>
      <c r="AWQ338" s="42" t="s">
        <v>607</v>
      </c>
      <c r="AWR338" s="42" t="s">
        <v>607</v>
      </c>
      <c r="AWS338" s="42" t="s">
        <v>607</v>
      </c>
      <c r="AWT338" s="42" t="s">
        <v>607</v>
      </c>
      <c r="AWU338" s="42" t="s">
        <v>607</v>
      </c>
      <c r="AWV338" s="42" t="s">
        <v>607</v>
      </c>
      <c r="AWW338" s="42" t="s">
        <v>607</v>
      </c>
      <c r="AWX338" s="42" t="s">
        <v>607</v>
      </c>
      <c r="AWY338" s="42" t="s">
        <v>607</v>
      </c>
      <c r="AWZ338" s="42" t="s">
        <v>607</v>
      </c>
      <c r="AXA338" s="42" t="s">
        <v>607</v>
      </c>
      <c r="AXB338" s="42" t="s">
        <v>607</v>
      </c>
      <c r="AXC338" s="42" t="s">
        <v>607</v>
      </c>
      <c r="AXD338" s="42" t="s">
        <v>607</v>
      </c>
      <c r="AXE338" s="42" t="s">
        <v>607</v>
      </c>
      <c r="AXF338" s="42" t="s">
        <v>607</v>
      </c>
      <c r="AXG338" s="42" t="s">
        <v>607</v>
      </c>
      <c r="AXH338" s="42" t="s">
        <v>607</v>
      </c>
      <c r="AXI338" s="42" t="s">
        <v>607</v>
      </c>
      <c r="AXJ338" s="42" t="s">
        <v>607</v>
      </c>
      <c r="AXK338" s="42" t="s">
        <v>607</v>
      </c>
      <c r="AXL338" s="42" t="s">
        <v>607</v>
      </c>
      <c r="AXM338" s="42" t="s">
        <v>607</v>
      </c>
      <c r="AXN338" s="42" t="s">
        <v>607</v>
      </c>
      <c r="AXO338" s="42" t="s">
        <v>607</v>
      </c>
      <c r="AXP338" s="42" t="s">
        <v>607</v>
      </c>
      <c r="AXQ338" s="42" t="s">
        <v>607</v>
      </c>
      <c r="AXR338" s="42" t="s">
        <v>607</v>
      </c>
      <c r="AXS338" s="42" t="s">
        <v>607</v>
      </c>
      <c r="AXT338" s="42" t="s">
        <v>607</v>
      </c>
      <c r="AXU338" s="42" t="s">
        <v>607</v>
      </c>
      <c r="AXV338" s="42" t="s">
        <v>607</v>
      </c>
      <c r="AXW338" s="42" t="s">
        <v>607</v>
      </c>
      <c r="AXX338" s="42" t="s">
        <v>607</v>
      </c>
      <c r="AXY338" s="42" t="s">
        <v>607</v>
      </c>
      <c r="AXZ338" s="42" t="s">
        <v>607</v>
      </c>
      <c r="AYA338" s="42" t="s">
        <v>607</v>
      </c>
      <c r="AYB338" s="42" t="s">
        <v>607</v>
      </c>
      <c r="AYC338" s="42" t="s">
        <v>607</v>
      </c>
      <c r="AYD338" s="42" t="s">
        <v>607</v>
      </c>
      <c r="AYE338" s="42" t="s">
        <v>607</v>
      </c>
      <c r="AYF338" s="42" t="s">
        <v>607</v>
      </c>
      <c r="AYG338" s="42" t="s">
        <v>607</v>
      </c>
      <c r="AYH338" s="42" t="s">
        <v>607</v>
      </c>
      <c r="AYI338" s="42" t="s">
        <v>607</v>
      </c>
      <c r="AYJ338" s="42" t="s">
        <v>607</v>
      </c>
      <c r="AYK338" s="42" t="s">
        <v>607</v>
      </c>
      <c r="AYL338" s="42" t="s">
        <v>607</v>
      </c>
      <c r="AYM338" s="42" t="s">
        <v>607</v>
      </c>
      <c r="AYN338" s="42" t="s">
        <v>607</v>
      </c>
      <c r="AYO338" s="42" t="s">
        <v>607</v>
      </c>
      <c r="AYP338" s="42" t="s">
        <v>607</v>
      </c>
      <c r="AYQ338" s="42" t="s">
        <v>607</v>
      </c>
      <c r="AYR338" s="42" t="s">
        <v>607</v>
      </c>
      <c r="AYS338" s="42" t="s">
        <v>607</v>
      </c>
      <c r="AYT338" s="42" t="s">
        <v>607</v>
      </c>
      <c r="AYU338" s="42" t="s">
        <v>607</v>
      </c>
      <c r="AYV338" s="42" t="s">
        <v>607</v>
      </c>
      <c r="AYW338" s="42" t="s">
        <v>607</v>
      </c>
      <c r="AYX338" s="42" t="s">
        <v>607</v>
      </c>
      <c r="AYY338" s="42" t="s">
        <v>607</v>
      </c>
      <c r="AYZ338" s="42" t="s">
        <v>607</v>
      </c>
      <c r="AZA338" s="42" t="s">
        <v>607</v>
      </c>
      <c r="AZB338" s="42" t="s">
        <v>607</v>
      </c>
      <c r="AZC338" s="42" t="s">
        <v>607</v>
      </c>
      <c r="AZD338" s="42" t="s">
        <v>607</v>
      </c>
      <c r="AZE338" s="42" t="s">
        <v>607</v>
      </c>
      <c r="AZF338" s="42" t="s">
        <v>607</v>
      </c>
      <c r="AZG338" s="42" t="s">
        <v>607</v>
      </c>
      <c r="AZH338" s="42" t="s">
        <v>607</v>
      </c>
      <c r="AZI338" s="42" t="s">
        <v>607</v>
      </c>
      <c r="AZJ338" s="42" t="s">
        <v>607</v>
      </c>
      <c r="AZK338" s="42" t="s">
        <v>607</v>
      </c>
      <c r="AZL338" s="42" t="s">
        <v>607</v>
      </c>
      <c r="AZM338" s="42" t="s">
        <v>607</v>
      </c>
      <c r="AZN338" s="42" t="s">
        <v>607</v>
      </c>
      <c r="AZO338" s="42" t="s">
        <v>607</v>
      </c>
      <c r="AZP338" s="42" t="s">
        <v>607</v>
      </c>
      <c r="AZQ338" s="42" t="s">
        <v>607</v>
      </c>
      <c r="AZR338" s="42" t="s">
        <v>607</v>
      </c>
      <c r="AZS338" s="42" t="s">
        <v>607</v>
      </c>
      <c r="AZT338" s="42" t="s">
        <v>607</v>
      </c>
      <c r="AZU338" s="42" t="s">
        <v>607</v>
      </c>
      <c r="AZV338" s="42" t="s">
        <v>607</v>
      </c>
      <c r="AZW338" s="42" t="s">
        <v>607</v>
      </c>
      <c r="AZX338" s="42" t="s">
        <v>607</v>
      </c>
      <c r="AZY338" s="42" t="s">
        <v>607</v>
      </c>
      <c r="AZZ338" s="42" t="s">
        <v>607</v>
      </c>
      <c r="BAA338" s="42" t="s">
        <v>607</v>
      </c>
      <c r="BAB338" s="42" t="s">
        <v>607</v>
      </c>
      <c r="BAC338" s="42" t="s">
        <v>607</v>
      </c>
      <c r="BAD338" s="42" t="s">
        <v>607</v>
      </c>
      <c r="BAE338" s="42" t="s">
        <v>607</v>
      </c>
      <c r="BAF338" s="42" t="s">
        <v>607</v>
      </c>
      <c r="BAG338" s="42" t="s">
        <v>607</v>
      </c>
      <c r="BAH338" s="42" t="s">
        <v>607</v>
      </c>
      <c r="BAI338" s="42" t="s">
        <v>607</v>
      </c>
      <c r="BAJ338" s="42" t="s">
        <v>607</v>
      </c>
      <c r="BAK338" s="42" t="s">
        <v>607</v>
      </c>
      <c r="BAL338" s="42" t="s">
        <v>607</v>
      </c>
      <c r="BAM338" s="42" t="s">
        <v>607</v>
      </c>
      <c r="BAN338" s="42" t="s">
        <v>607</v>
      </c>
      <c r="BAO338" s="42" t="s">
        <v>607</v>
      </c>
      <c r="BAP338" s="42" t="s">
        <v>607</v>
      </c>
      <c r="BAQ338" s="42" t="s">
        <v>607</v>
      </c>
      <c r="BAR338" s="42" t="s">
        <v>607</v>
      </c>
      <c r="BAS338" s="42" t="s">
        <v>607</v>
      </c>
      <c r="BAT338" s="42" t="s">
        <v>607</v>
      </c>
      <c r="BAU338" s="42" t="s">
        <v>607</v>
      </c>
      <c r="BAV338" s="42" t="s">
        <v>607</v>
      </c>
      <c r="BAW338" s="42" t="s">
        <v>607</v>
      </c>
      <c r="BAX338" s="42" t="s">
        <v>607</v>
      </c>
      <c r="BAY338" s="42" t="s">
        <v>607</v>
      </c>
      <c r="BAZ338" s="42" t="s">
        <v>607</v>
      </c>
      <c r="BBA338" s="42" t="s">
        <v>607</v>
      </c>
      <c r="BBB338" s="42" t="s">
        <v>607</v>
      </c>
      <c r="BBC338" s="42" t="s">
        <v>607</v>
      </c>
      <c r="BBD338" s="42" t="s">
        <v>607</v>
      </c>
      <c r="BBE338" s="42" t="s">
        <v>607</v>
      </c>
      <c r="BBF338" s="42" t="s">
        <v>607</v>
      </c>
      <c r="BBG338" s="42" t="s">
        <v>607</v>
      </c>
      <c r="BBH338" s="42" t="s">
        <v>607</v>
      </c>
      <c r="BBI338" s="42" t="s">
        <v>607</v>
      </c>
      <c r="BBJ338" s="42" t="s">
        <v>607</v>
      </c>
      <c r="BBK338" s="42" t="s">
        <v>607</v>
      </c>
      <c r="BBL338" s="42" t="s">
        <v>607</v>
      </c>
      <c r="BBM338" s="42" t="s">
        <v>607</v>
      </c>
      <c r="BBN338" s="42" t="s">
        <v>607</v>
      </c>
      <c r="BBO338" s="42" t="s">
        <v>607</v>
      </c>
      <c r="BBP338" s="42" t="s">
        <v>607</v>
      </c>
      <c r="BBQ338" s="42" t="s">
        <v>607</v>
      </c>
      <c r="BBR338" s="42" t="s">
        <v>607</v>
      </c>
      <c r="BBS338" s="42" t="s">
        <v>607</v>
      </c>
      <c r="BBT338" s="42" t="s">
        <v>607</v>
      </c>
      <c r="BBU338" s="42" t="s">
        <v>607</v>
      </c>
      <c r="BBV338" s="42" t="s">
        <v>607</v>
      </c>
      <c r="BBW338" s="42" t="s">
        <v>607</v>
      </c>
      <c r="BBX338" s="42" t="s">
        <v>607</v>
      </c>
      <c r="BBY338" s="42" t="s">
        <v>607</v>
      </c>
      <c r="BBZ338" s="42" t="s">
        <v>607</v>
      </c>
      <c r="BCA338" s="42" t="s">
        <v>607</v>
      </c>
      <c r="BCB338" s="42" t="s">
        <v>607</v>
      </c>
      <c r="BCC338" s="42" t="s">
        <v>607</v>
      </c>
      <c r="BCD338" s="42" t="s">
        <v>607</v>
      </c>
      <c r="BCE338" s="42" t="s">
        <v>607</v>
      </c>
      <c r="BCF338" s="42" t="s">
        <v>607</v>
      </c>
      <c r="BCG338" s="42" t="s">
        <v>607</v>
      </c>
      <c r="BCH338" s="42" t="s">
        <v>607</v>
      </c>
      <c r="BCI338" s="42" t="s">
        <v>607</v>
      </c>
      <c r="BCJ338" s="42" t="s">
        <v>607</v>
      </c>
      <c r="BCK338" s="42" t="s">
        <v>607</v>
      </c>
      <c r="BCL338" s="42" t="s">
        <v>607</v>
      </c>
      <c r="BCM338" s="42" t="s">
        <v>607</v>
      </c>
      <c r="BCN338" s="42" t="s">
        <v>607</v>
      </c>
      <c r="BCO338" s="42" t="s">
        <v>607</v>
      </c>
      <c r="BCP338" s="42" t="s">
        <v>607</v>
      </c>
      <c r="BCQ338" s="42" t="s">
        <v>607</v>
      </c>
      <c r="BCR338" s="42" t="s">
        <v>607</v>
      </c>
      <c r="BCS338" s="42" t="s">
        <v>607</v>
      </c>
      <c r="BCT338" s="42" t="s">
        <v>607</v>
      </c>
      <c r="BCU338" s="42" t="s">
        <v>607</v>
      </c>
      <c r="BCV338" s="42" t="s">
        <v>607</v>
      </c>
      <c r="BCW338" s="42" t="s">
        <v>607</v>
      </c>
      <c r="BCX338" s="42" t="s">
        <v>607</v>
      </c>
      <c r="BCY338" s="42" t="s">
        <v>607</v>
      </c>
      <c r="BCZ338" s="42" t="s">
        <v>607</v>
      </c>
      <c r="BDA338" s="42" t="s">
        <v>607</v>
      </c>
      <c r="BDB338" s="42" t="s">
        <v>607</v>
      </c>
      <c r="BDC338" s="42" t="s">
        <v>607</v>
      </c>
      <c r="BDD338" s="42" t="s">
        <v>607</v>
      </c>
      <c r="BDE338" s="42" t="s">
        <v>607</v>
      </c>
      <c r="BDF338" s="42" t="s">
        <v>607</v>
      </c>
      <c r="BDG338" s="42" t="s">
        <v>607</v>
      </c>
      <c r="BDH338" s="42" t="s">
        <v>607</v>
      </c>
      <c r="BDI338" s="42" t="s">
        <v>607</v>
      </c>
      <c r="BDJ338" s="42" t="s">
        <v>607</v>
      </c>
      <c r="BDK338" s="42" t="s">
        <v>607</v>
      </c>
      <c r="BDL338" s="42" t="s">
        <v>607</v>
      </c>
      <c r="BDM338" s="42" t="s">
        <v>607</v>
      </c>
      <c r="BDN338" s="42" t="s">
        <v>607</v>
      </c>
      <c r="BDO338" s="42" t="s">
        <v>607</v>
      </c>
      <c r="BDP338" s="42" t="s">
        <v>607</v>
      </c>
      <c r="BDQ338" s="42" t="s">
        <v>607</v>
      </c>
      <c r="BDR338" s="42" t="s">
        <v>607</v>
      </c>
      <c r="BDS338" s="42" t="s">
        <v>607</v>
      </c>
      <c r="BDT338" s="42" t="s">
        <v>607</v>
      </c>
      <c r="BDU338" s="42" t="s">
        <v>607</v>
      </c>
      <c r="BDV338" s="42" t="s">
        <v>607</v>
      </c>
      <c r="BDW338" s="42" t="s">
        <v>607</v>
      </c>
      <c r="BDX338" s="42" t="s">
        <v>607</v>
      </c>
      <c r="BDY338" s="42" t="s">
        <v>607</v>
      </c>
      <c r="BDZ338" s="42" t="s">
        <v>607</v>
      </c>
      <c r="BEA338" s="42" t="s">
        <v>607</v>
      </c>
      <c r="BEB338" s="42" t="s">
        <v>607</v>
      </c>
      <c r="BEC338" s="42" t="s">
        <v>607</v>
      </c>
      <c r="BED338" s="42" t="s">
        <v>607</v>
      </c>
      <c r="BEE338" s="42" t="s">
        <v>607</v>
      </c>
      <c r="BEF338" s="42" t="s">
        <v>607</v>
      </c>
      <c r="BEG338" s="42" t="s">
        <v>607</v>
      </c>
      <c r="BEH338" s="42" t="s">
        <v>607</v>
      </c>
      <c r="BEI338" s="42" t="s">
        <v>607</v>
      </c>
      <c r="BEJ338" s="42" t="s">
        <v>607</v>
      </c>
      <c r="BEK338" s="42" t="s">
        <v>607</v>
      </c>
      <c r="BEL338" s="42" t="s">
        <v>607</v>
      </c>
      <c r="BEM338" s="42" t="s">
        <v>607</v>
      </c>
      <c r="BEN338" s="42" t="s">
        <v>607</v>
      </c>
      <c r="BEO338" s="42" t="s">
        <v>607</v>
      </c>
      <c r="BEP338" s="42" t="s">
        <v>607</v>
      </c>
      <c r="BEQ338" s="42" t="s">
        <v>607</v>
      </c>
      <c r="BER338" s="42" t="s">
        <v>607</v>
      </c>
      <c r="BES338" s="42" t="s">
        <v>607</v>
      </c>
      <c r="BET338" s="42" t="s">
        <v>607</v>
      </c>
      <c r="BEU338" s="42" t="s">
        <v>607</v>
      </c>
      <c r="BEV338" s="42" t="s">
        <v>607</v>
      </c>
      <c r="BEW338" s="42" t="s">
        <v>607</v>
      </c>
      <c r="BEX338" s="42" t="s">
        <v>607</v>
      </c>
      <c r="BEY338" s="42" t="s">
        <v>607</v>
      </c>
      <c r="BEZ338" s="42" t="s">
        <v>607</v>
      </c>
      <c r="BFA338" s="42" t="s">
        <v>607</v>
      </c>
      <c r="BFB338" s="42" t="s">
        <v>607</v>
      </c>
      <c r="BFC338" s="42" t="s">
        <v>607</v>
      </c>
      <c r="BFD338" s="42" t="s">
        <v>607</v>
      </c>
      <c r="BFE338" s="42" t="s">
        <v>607</v>
      </c>
      <c r="BFF338" s="42" t="s">
        <v>607</v>
      </c>
      <c r="BFG338" s="42" t="s">
        <v>607</v>
      </c>
      <c r="BFH338" s="42" t="s">
        <v>607</v>
      </c>
      <c r="BFI338" s="42" t="s">
        <v>607</v>
      </c>
      <c r="BFJ338" s="42" t="s">
        <v>607</v>
      </c>
      <c r="BFK338" s="42" t="s">
        <v>607</v>
      </c>
      <c r="BFL338" s="42" t="s">
        <v>607</v>
      </c>
      <c r="BFM338" s="42" t="s">
        <v>607</v>
      </c>
      <c r="BFN338" s="42" t="s">
        <v>607</v>
      </c>
      <c r="BFO338" s="42" t="s">
        <v>607</v>
      </c>
      <c r="BFP338" s="42" t="s">
        <v>607</v>
      </c>
      <c r="BFQ338" s="42" t="s">
        <v>607</v>
      </c>
      <c r="BFR338" s="42" t="s">
        <v>607</v>
      </c>
      <c r="BFS338" s="42" t="s">
        <v>607</v>
      </c>
      <c r="BFT338" s="42" t="s">
        <v>607</v>
      </c>
      <c r="BFU338" s="42" t="s">
        <v>607</v>
      </c>
      <c r="BFV338" s="42" t="s">
        <v>607</v>
      </c>
      <c r="BFW338" s="42" t="s">
        <v>607</v>
      </c>
      <c r="BFX338" s="42" t="s">
        <v>607</v>
      </c>
      <c r="BFY338" s="42" t="s">
        <v>607</v>
      </c>
      <c r="BFZ338" s="42" t="s">
        <v>607</v>
      </c>
      <c r="BGA338" s="42" t="s">
        <v>607</v>
      </c>
      <c r="BGB338" s="42" t="s">
        <v>607</v>
      </c>
      <c r="BGC338" s="42" t="s">
        <v>607</v>
      </c>
      <c r="BGD338" s="42" t="s">
        <v>607</v>
      </c>
      <c r="BGE338" s="42" t="s">
        <v>607</v>
      </c>
      <c r="BGF338" s="42" t="s">
        <v>607</v>
      </c>
      <c r="BGG338" s="42" t="s">
        <v>607</v>
      </c>
      <c r="BGH338" s="42" t="s">
        <v>607</v>
      </c>
      <c r="BGI338" s="42" t="s">
        <v>607</v>
      </c>
      <c r="BGJ338" s="42" t="s">
        <v>607</v>
      </c>
      <c r="BGK338" s="42" t="s">
        <v>607</v>
      </c>
      <c r="BGL338" s="42" t="s">
        <v>607</v>
      </c>
      <c r="BGM338" s="42" t="s">
        <v>607</v>
      </c>
      <c r="BGN338" s="42" t="s">
        <v>607</v>
      </c>
      <c r="BGO338" s="42" t="s">
        <v>607</v>
      </c>
      <c r="BGP338" s="42" t="s">
        <v>607</v>
      </c>
      <c r="BGQ338" s="42" t="s">
        <v>607</v>
      </c>
      <c r="BGR338" s="42" t="s">
        <v>607</v>
      </c>
      <c r="BGS338" s="42" t="s">
        <v>607</v>
      </c>
      <c r="BGT338" s="42" t="s">
        <v>607</v>
      </c>
      <c r="BGU338" s="42" t="s">
        <v>607</v>
      </c>
      <c r="BGV338" s="42" t="s">
        <v>607</v>
      </c>
      <c r="BGW338" s="42" t="s">
        <v>607</v>
      </c>
      <c r="BGX338" s="42" t="s">
        <v>607</v>
      </c>
      <c r="BGY338" s="42" t="s">
        <v>607</v>
      </c>
      <c r="BGZ338" s="42" t="s">
        <v>607</v>
      </c>
      <c r="BHA338" s="42" t="s">
        <v>607</v>
      </c>
      <c r="BHB338" s="42" t="s">
        <v>607</v>
      </c>
      <c r="BHC338" s="42" t="s">
        <v>607</v>
      </c>
      <c r="BHD338" s="42" t="s">
        <v>607</v>
      </c>
      <c r="BHE338" s="42" t="s">
        <v>607</v>
      </c>
      <c r="BHF338" s="42" t="s">
        <v>607</v>
      </c>
      <c r="BHG338" s="42" t="s">
        <v>607</v>
      </c>
      <c r="BHH338" s="42" t="s">
        <v>607</v>
      </c>
      <c r="BHI338" s="42" t="s">
        <v>607</v>
      </c>
      <c r="BHJ338" s="42" t="s">
        <v>607</v>
      </c>
      <c r="BHK338" s="42" t="s">
        <v>607</v>
      </c>
      <c r="BHL338" s="42" t="s">
        <v>607</v>
      </c>
      <c r="BHM338" s="42" t="s">
        <v>607</v>
      </c>
      <c r="BHN338" s="42" t="s">
        <v>607</v>
      </c>
      <c r="BHO338" s="42" t="s">
        <v>607</v>
      </c>
      <c r="BHP338" s="42" t="s">
        <v>607</v>
      </c>
      <c r="BHQ338" s="42" t="s">
        <v>607</v>
      </c>
      <c r="BHR338" s="42" t="s">
        <v>607</v>
      </c>
      <c r="BHS338" s="42" t="s">
        <v>607</v>
      </c>
      <c r="BHT338" s="42" t="s">
        <v>607</v>
      </c>
      <c r="BHU338" s="42" t="s">
        <v>607</v>
      </c>
      <c r="BHV338" s="42" t="s">
        <v>607</v>
      </c>
      <c r="BHW338" s="42" t="s">
        <v>607</v>
      </c>
      <c r="BHX338" s="42" t="s">
        <v>607</v>
      </c>
      <c r="BHY338" s="42" t="s">
        <v>607</v>
      </c>
      <c r="BHZ338" s="42" t="s">
        <v>607</v>
      </c>
      <c r="BIA338" s="42" t="s">
        <v>607</v>
      </c>
      <c r="BIB338" s="42" t="s">
        <v>607</v>
      </c>
      <c r="BIC338" s="42" t="s">
        <v>607</v>
      </c>
      <c r="BID338" s="42" t="s">
        <v>607</v>
      </c>
      <c r="BIE338" s="42" t="s">
        <v>607</v>
      </c>
      <c r="BIF338" s="42" t="s">
        <v>607</v>
      </c>
      <c r="BIG338" s="42" t="s">
        <v>607</v>
      </c>
      <c r="BIH338" s="42" t="s">
        <v>607</v>
      </c>
      <c r="BII338" s="42" t="s">
        <v>607</v>
      </c>
      <c r="BIJ338" s="42" t="s">
        <v>607</v>
      </c>
      <c r="BIK338" s="42" t="s">
        <v>607</v>
      </c>
      <c r="BIL338" s="42" t="s">
        <v>607</v>
      </c>
      <c r="BIM338" s="42" t="s">
        <v>607</v>
      </c>
      <c r="BIN338" s="42" t="s">
        <v>607</v>
      </c>
      <c r="BIO338" s="42" t="s">
        <v>607</v>
      </c>
      <c r="BIP338" s="42" t="s">
        <v>607</v>
      </c>
      <c r="BIQ338" s="42" t="s">
        <v>607</v>
      </c>
      <c r="BIR338" s="42" t="s">
        <v>607</v>
      </c>
      <c r="BIS338" s="42" t="s">
        <v>607</v>
      </c>
      <c r="BIT338" s="42" t="s">
        <v>607</v>
      </c>
      <c r="BIU338" s="42" t="s">
        <v>607</v>
      </c>
      <c r="BIV338" s="42" t="s">
        <v>607</v>
      </c>
      <c r="BIW338" s="42" t="s">
        <v>607</v>
      </c>
      <c r="BIX338" s="42" t="s">
        <v>607</v>
      </c>
      <c r="BIY338" s="42" t="s">
        <v>607</v>
      </c>
      <c r="BIZ338" s="42" t="s">
        <v>607</v>
      </c>
      <c r="BJA338" s="42" t="s">
        <v>607</v>
      </c>
      <c r="BJB338" s="42" t="s">
        <v>607</v>
      </c>
      <c r="BJC338" s="42" t="s">
        <v>607</v>
      </c>
      <c r="BJD338" s="42" t="s">
        <v>607</v>
      </c>
      <c r="BJE338" s="42" t="s">
        <v>607</v>
      </c>
      <c r="BJF338" s="42" t="s">
        <v>607</v>
      </c>
      <c r="BJG338" s="42" t="s">
        <v>607</v>
      </c>
      <c r="BJH338" s="42" t="s">
        <v>607</v>
      </c>
      <c r="BJI338" s="42" t="s">
        <v>607</v>
      </c>
      <c r="BJJ338" s="42" t="s">
        <v>607</v>
      </c>
      <c r="BJK338" s="42" t="s">
        <v>607</v>
      </c>
      <c r="BJL338" s="42" t="s">
        <v>607</v>
      </c>
      <c r="BJM338" s="42" t="s">
        <v>607</v>
      </c>
      <c r="BJN338" s="42" t="s">
        <v>607</v>
      </c>
      <c r="BJO338" s="42" t="s">
        <v>607</v>
      </c>
      <c r="BJP338" s="42" t="s">
        <v>607</v>
      </c>
      <c r="BJQ338" s="42" t="s">
        <v>607</v>
      </c>
      <c r="BJR338" s="42" t="s">
        <v>607</v>
      </c>
      <c r="BJS338" s="42" t="s">
        <v>607</v>
      </c>
      <c r="BJT338" s="42" t="s">
        <v>607</v>
      </c>
      <c r="BJU338" s="42" t="s">
        <v>607</v>
      </c>
      <c r="BJV338" s="42" t="s">
        <v>607</v>
      </c>
      <c r="BJW338" s="42" t="s">
        <v>607</v>
      </c>
      <c r="BJX338" s="42" t="s">
        <v>607</v>
      </c>
      <c r="BJY338" s="42" t="s">
        <v>607</v>
      </c>
      <c r="BJZ338" s="42" t="s">
        <v>607</v>
      </c>
      <c r="BKA338" s="42" t="s">
        <v>607</v>
      </c>
      <c r="BKB338" s="42" t="s">
        <v>607</v>
      </c>
      <c r="BKC338" s="42" t="s">
        <v>607</v>
      </c>
      <c r="BKD338" s="42" t="s">
        <v>607</v>
      </c>
      <c r="BKE338" s="42" t="s">
        <v>607</v>
      </c>
      <c r="BKF338" s="42" t="s">
        <v>607</v>
      </c>
      <c r="BKG338" s="42" t="s">
        <v>607</v>
      </c>
      <c r="BKH338" s="42" t="s">
        <v>607</v>
      </c>
      <c r="BKI338" s="42" t="s">
        <v>607</v>
      </c>
      <c r="BKJ338" s="42" t="s">
        <v>607</v>
      </c>
      <c r="BKK338" s="42" t="s">
        <v>607</v>
      </c>
      <c r="BKL338" s="42" t="s">
        <v>607</v>
      </c>
      <c r="BKM338" s="42" t="s">
        <v>607</v>
      </c>
      <c r="BKN338" s="42" t="s">
        <v>607</v>
      </c>
      <c r="BKO338" s="42" t="s">
        <v>607</v>
      </c>
      <c r="BKP338" s="42" t="s">
        <v>607</v>
      </c>
      <c r="BKQ338" s="42" t="s">
        <v>607</v>
      </c>
      <c r="BKR338" s="42" t="s">
        <v>607</v>
      </c>
      <c r="BKS338" s="42" t="s">
        <v>607</v>
      </c>
      <c r="BKT338" s="42" t="s">
        <v>607</v>
      </c>
      <c r="BKU338" s="42" t="s">
        <v>607</v>
      </c>
      <c r="BKV338" s="42" t="s">
        <v>607</v>
      </c>
      <c r="BKW338" s="42" t="s">
        <v>607</v>
      </c>
      <c r="BKX338" s="42" t="s">
        <v>607</v>
      </c>
      <c r="BKY338" s="42" t="s">
        <v>607</v>
      </c>
      <c r="BKZ338" s="42" t="s">
        <v>607</v>
      </c>
      <c r="BLA338" s="42" t="s">
        <v>607</v>
      </c>
      <c r="BLB338" s="42" t="s">
        <v>607</v>
      </c>
      <c r="BLC338" s="42" t="s">
        <v>607</v>
      </c>
      <c r="BLD338" s="42" t="s">
        <v>607</v>
      </c>
      <c r="BLE338" s="42" t="s">
        <v>607</v>
      </c>
      <c r="BLF338" s="42" t="s">
        <v>607</v>
      </c>
      <c r="BLG338" s="42" t="s">
        <v>607</v>
      </c>
      <c r="BLH338" s="42" t="s">
        <v>607</v>
      </c>
      <c r="BLI338" s="42" t="s">
        <v>607</v>
      </c>
      <c r="BLJ338" s="42" t="s">
        <v>607</v>
      </c>
      <c r="BLK338" s="42" t="s">
        <v>607</v>
      </c>
      <c r="BLL338" s="42" t="s">
        <v>607</v>
      </c>
      <c r="BLM338" s="42" t="s">
        <v>607</v>
      </c>
      <c r="BLN338" s="42" t="s">
        <v>607</v>
      </c>
      <c r="BLO338" s="42" t="s">
        <v>607</v>
      </c>
      <c r="BLP338" s="42" t="s">
        <v>607</v>
      </c>
      <c r="BLQ338" s="42" t="s">
        <v>607</v>
      </c>
      <c r="BLR338" s="42" t="s">
        <v>607</v>
      </c>
      <c r="BLS338" s="42" t="s">
        <v>607</v>
      </c>
      <c r="BLT338" s="42" t="s">
        <v>607</v>
      </c>
      <c r="BLU338" s="42" t="s">
        <v>607</v>
      </c>
      <c r="BLV338" s="42" t="s">
        <v>607</v>
      </c>
      <c r="BLW338" s="42" t="s">
        <v>607</v>
      </c>
      <c r="BLX338" s="42" t="s">
        <v>607</v>
      </c>
      <c r="BLY338" s="42" t="s">
        <v>607</v>
      </c>
      <c r="BLZ338" s="42" t="s">
        <v>607</v>
      </c>
      <c r="BMA338" s="42" t="s">
        <v>607</v>
      </c>
      <c r="BMB338" s="42" t="s">
        <v>607</v>
      </c>
      <c r="BMC338" s="42" t="s">
        <v>607</v>
      </c>
      <c r="BMD338" s="42" t="s">
        <v>607</v>
      </c>
      <c r="BME338" s="42" t="s">
        <v>607</v>
      </c>
      <c r="BMF338" s="42" t="s">
        <v>607</v>
      </c>
      <c r="BMG338" s="42" t="s">
        <v>607</v>
      </c>
      <c r="BMH338" s="42" t="s">
        <v>607</v>
      </c>
      <c r="BMI338" s="42" t="s">
        <v>607</v>
      </c>
      <c r="BMJ338" s="42" t="s">
        <v>607</v>
      </c>
      <c r="BMK338" s="42" t="s">
        <v>607</v>
      </c>
      <c r="BML338" s="42" t="s">
        <v>607</v>
      </c>
      <c r="BMM338" s="42" t="s">
        <v>607</v>
      </c>
      <c r="BMN338" s="42" t="s">
        <v>607</v>
      </c>
      <c r="BMO338" s="42" t="s">
        <v>607</v>
      </c>
      <c r="BMP338" s="42" t="s">
        <v>607</v>
      </c>
      <c r="BMQ338" s="42" t="s">
        <v>607</v>
      </c>
      <c r="BMR338" s="42" t="s">
        <v>607</v>
      </c>
      <c r="BMS338" s="42" t="s">
        <v>607</v>
      </c>
      <c r="BMT338" s="42" t="s">
        <v>607</v>
      </c>
      <c r="BMU338" s="42" t="s">
        <v>607</v>
      </c>
      <c r="BMV338" s="42" t="s">
        <v>607</v>
      </c>
      <c r="BMW338" s="42" t="s">
        <v>607</v>
      </c>
      <c r="BMX338" s="42" t="s">
        <v>607</v>
      </c>
      <c r="BMY338" s="42" t="s">
        <v>607</v>
      </c>
      <c r="BMZ338" s="42" t="s">
        <v>607</v>
      </c>
      <c r="BNA338" s="42" t="s">
        <v>607</v>
      </c>
      <c r="BNB338" s="42" t="s">
        <v>607</v>
      </c>
      <c r="BNC338" s="42" t="s">
        <v>607</v>
      </c>
      <c r="BND338" s="42" t="s">
        <v>607</v>
      </c>
      <c r="BNE338" s="42" t="s">
        <v>607</v>
      </c>
      <c r="BNF338" s="42" t="s">
        <v>607</v>
      </c>
      <c r="BNG338" s="42" t="s">
        <v>607</v>
      </c>
      <c r="BNH338" s="42" t="s">
        <v>607</v>
      </c>
      <c r="BNI338" s="42" t="s">
        <v>607</v>
      </c>
      <c r="BNJ338" s="42" t="s">
        <v>607</v>
      </c>
      <c r="BNK338" s="42" t="s">
        <v>607</v>
      </c>
      <c r="BNL338" s="42" t="s">
        <v>607</v>
      </c>
      <c r="BNM338" s="42" t="s">
        <v>607</v>
      </c>
      <c r="BNN338" s="42" t="s">
        <v>607</v>
      </c>
      <c r="BNO338" s="42" t="s">
        <v>607</v>
      </c>
      <c r="BNP338" s="42" t="s">
        <v>607</v>
      </c>
      <c r="BNQ338" s="42" t="s">
        <v>607</v>
      </c>
      <c r="BNR338" s="42" t="s">
        <v>607</v>
      </c>
      <c r="BNS338" s="42" t="s">
        <v>607</v>
      </c>
      <c r="BNT338" s="42" t="s">
        <v>607</v>
      </c>
      <c r="BNU338" s="42" t="s">
        <v>607</v>
      </c>
      <c r="BNV338" s="42" t="s">
        <v>607</v>
      </c>
      <c r="BNW338" s="42" t="s">
        <v>607</v>
      </c>
      <c r="BNX338" s="42" t="s">
        <v>607</v>
      </c>
      <c r="BNY338" s="42" t="s">
        <v>607</v>
      </c>
      <c r="BNZ338" s="42" t="s">
        <v>607</v>
      </c>
      <c r="BOA338" s="42" t="s">
        <v>607</v>
      </c>
      <c r="BOB338" s="42" t="s">
        <v>607</v>
      </c>
      <c r="BOC338" s="42" t="s">
        <v>607</v>
      </c>
      <c r="BOD338" s="42" t="s">
        <v>607</v>
      </c>
      <c r="BOE338" s="42" t="s">
        <v>607</v>
      </c>
      <c r="BOF338" s="42" t="s">
        <v>607</v>
      </c>
      <c r="BOG338" s="42" t="s">
        <v>607</v>
      </c>
      <c r="BOH338" s="42" t="s">
        <v>607</v>
      </c>
      <c r="BOI338" s="42" t="s">
        <v>607</v>
      </c>
      <c r="BOJ338" s="42" t="s">
        <v>607</v>
      </c>
      <c r="BOK338" s="42" t="s">
        <v>607</v>
      </c>
      <c r="BOL338" s="42" t="s">
        <v>607</v>
      </c>
      <c r="BOM338" s="42" t="s">
        <v>607</v>
      </c>
      <c r="BON338" s="42" t="s">
        <v>607</v>
      </c>
      <c r="BOO338" s="42" t="s">
        <v>607</v>
      </c>
      <c r="BOP338" s="42" t="s">
        <v>607</v>
      </c>
      <c r="BOQ338" s="42" t="s">
        <v>607</v>
      </c>
      <c r="BOR338" s="42" t="s">
        <v>607</v>
      </c>
      <c r="BOS338" s="42" t="s">
        <v>607</v>
      </c>
      <c r="BOT338" s="42" t="s">
        <v>607</v>
      </c>
      <c r="BOU338" s="42" t="s">
        <v>607</v>
      </c>
      <c r="BOV338" s="42" t="s">
        <v>607</v>
      </c>
      <c r="BOW338" s="42" t="s">
        <v>607</v>
      </c>
      <c r="BOX338" s="42" t="s">
        <v>607</v>
      </c>
      <c r="BOY338" s="42" t="s">
        <v>607</v>
      </c>
      <c r="BOZ338" s="42" t="s">
        <v>607</v>
      </c>
      <c r="BPA338" s="42" t="s">
        <v>607</v>
      </c>
      <c r="BPB338" s="42" t="s">
        <v>607</v>
      </c>
      <c r="BPC338" s="42" t="s">
        <v>607</v>
      </c>
      <c r="BPD338" s="42" t="s">
        <v>607</v>
      </c>
      <c r="BPE338" s="42" t="s">
        <v>607</v>
      </c>
      <c r="BPF338" s="42" t="s">
        <v>607</v>
      </c>
      <c r="BPG338" s="42" t="s">
        <v>607</v>
      </c>
      <c r="BPH338" s="42" t="s">
        <v>607</v>
      </c>
      <c r="BPI338" s="42" t="s">
        <v>607</v>
      </c>
      <c r="BPJ338" s="42" t="s">
        <v>607</v>
      </c>
      <c r="BPK338" s="42" t="s">
        <v>607</v>
      </c>
      <c r="BPL338" s="42" t="s">
        <v>607</v>
      </c>
      <c r="BPM338" s="42" t="s">
        <v>607</v>
      </c>
      <c r="BPN338" s="42" t="s">
        <v>607</v>
      </c>
      <c r="BPO338" s="42" t="s">
        <v>607</v>
      </c>
      <c r="BPP338" s="42" t="s">
        <v>607</v>
      </c>
      <c r="BPQ338" s="42" t="s">
        <v>607</v>
      </c>
      <c r="BPR338" s="42" t="s">
        <v>607</v>
      </c>
      <c r="BPS338" s="42" t="s">
        <v>607</v>
      </c>
      <c r="BPT338" s="42" t="s">
        <v>607</v>
      </c>
      <c r="BPU338" s="42" t="s">
        <v>607</v>
      </c>
      <c r="BPV338" s="42" t="s">
        <v>607</v>
      </c>
      <c r="BPW338" s="42" t="s">
        <v>607</v>
      </c>
      <c r="BPX338" s="42" t="s">
        <v>607</v>
      </c>
      <c r="BPY338" s="42" t="s">
        <v>607</v>
      </c>
      <c r="BPZ338" s="42" t="s">
        <v>607</v>
      </c>
      <c r="BQA338" s="42" t="s">
        <v>607</v>
      </c>
      <c r="BQB338" s="42" t="s">
        <v>607</v>
      </c>
      <c r="BQC338" s="42" t="s">
        <v>607</v>
      </c>
      <c r="BQD338" s="42" t="s">
        <v>607</v>
      </c>
      <c r="BQE338" s="42" t="s">
        <v>607</v>
      </c>
      <c r="BQF338" s="42" t="s">
        <v>607</v>
      </c>
      <c r="BQG338" s="42" t="s">
        <v>607</v>
      </c>
      <c r="BQH338" s="42" t="s">
        <v>607</v>
      </c>
      <c r="BQI338" s="42" t="s">
        <v>607</v>
      </c>
      <c r="BQJ338" s="42" t="s">
        <v>607</v>
      </c>
      <c r="BQK338" s="42" t="s">
        <v>607</v>
      </c>
      <c r="BQL338" s="42" t="s">
        <v>607</v>
      </c>
      <c r="BQM338" s="42" t="s">
        <v>607</v>
      </c>
      <c r="BQN338" s="42" t="s">
        <v>607</v>
      </c>
      <c r="BQO338" s="42" t="s">
        <v>607</v>
      </c>
      <c r="BQP338" s="42" t="s">
        <v>607</v>
      </c>
      <c r="BQQ338" s="42" t="s">
        <v>607</v>
      </c>
      <c r="BQR338" s="42" t="s">
        <v>607</v>
      </c>
      <c r="BQS338" s="42" t="s">
        <v>607</v>
      </c>
      <c r="BQT338" s="42" t="s">
        <v>607</v>
      </c>
      <c r="BQU338" s="42" t="s">
        <v>607</v>
      </c>
      <c r="BQV338" s="42" t="s">
        <v>607</v>
      </c>
      <c r="BQW338" s="42" t="s">
        <v>607</v>
      </c>
      <c r="BQX338" s="42" t="s">
        <v>607</v>
      </c>
      <c r="BQY338" s="42" t="s">
        <v>607</v>
      </c>
      <c r="BQZ338" s="42" t="s">
        <v>607</v>
      </c>
      <c r="BRA338" s="42" t="s">
        <v>607</v>
      </c>
      <c r="BRB338" s="42" t="s">
        <v>607</v>
      </c>
      <c r="BRC338" s="42" t="s">
        <v>607</v>
      </c>
      <c r="BRD338" s="42" t="s">
        <v>607</v>
      </c>
      <c r="BRE338" s="42" t="s">
        <v>607</v>
      </c>
      <c r="BRF338" s="42" t="s">
        <v>607</v>
      </c>
      <c r="BRG338" s="42" t="s">
        <v>607</v>
      </c>
      <c r="BRH338" s="42" t="s">
        <v>607</v>
      </c>
      <c r="BRI338" s="42" t="s">
        <v>607</v>
      </c>
      <c r="BRJ338" s="42" t="s">
        <v>607</v>
      </c>
      <c r="BRK338" s="42" t="s">
        <v>607</v>
      </c>
      <c r="BRL338" s="42" t="s">
        <v>607</v>
      </c>
      <c r="BRM338" s="42" t="s">
        <v>607</v>
      </c>
      <c r="BRN338" s="42" t="s">
        <v>607</v>
      </c>
      <c r="BRO338" s="42" t="s">
        <v>607</v>
      </c>
      <c r="BRP338" s="42" t="s">
        <v>607</v>
      </c>
      <c r="BRQ338" s="42" t="s">
        <v>607</v>
      </c>
      <c r="BRR338" s="42" t="s">
        <v>607</v>
      </c>
      <c r="BRS338" s="42" t="s">
        <v>607</v>
      </c>
      <c r="BRT338" s="42" t="s">
        <v>607</v>
      </c>
      <c r="BRU338" s="42" t="s">
        <v>607</v>
      </c>
      <c r="BRV338" s="42" t="s">
        <v>607</v>
      </c>
      <c r="BRW338" s="42" t="s">
        <v>607</v>
      </c>
      <c r="BRX338" s="42" t="s">
        <v>607</v>
      </c>
      <c r="BRY338" s="42" t="s">
        <v>607</v>
      </c>
      <c r="BRZ338" s="42" t="s">
        <v>607</v>
      </c>
      <c r="BSA338" s="42" t="s">
        <v>607</v>
      </c>
      <c r="BSB338" s="42" t="s">
        <v>607</v>
      </c>
      <c r="BSC338" s="42" t="s">
        <v>607</v>
      </c>
      <c r="BSD338" s="42" t="s">
        <v>607</v>
      </c>
      <c r="BSE338" s="42" t="s">
        <v>607</v>
      </c>
      <c r="BSF338" s="42" t="s">
        <v>607</v>
      </c>
      <c r="BSG338" s="42" t="s">
        <v>607</v>
      </c>
      <c r="BSH338" s="42" t="s">
        <v>607</v>
      </c>
      <c r="BSI338" s="42" t="s">
        <v>607</v>
      </c>
      <c r="BSJ338" s="42" t="s">
        <v>607</v>
      </c>
      <c r="BSK338" s="42" t="s">
        <v>607</v>
      </c>
      <c r="BSL338" s="42" t="s">
        <v>607</v>
      </c>
      <c r="BSM338" s="42" t="s">
        <v>607</v>
      </c>
      <c r="BSN338" s="42" t="s">
        <v>607</v>
      </c>
      <c r="BSO338" s="42" t="s">
        <v>607</v>
      </c>
      <c r="BSP338" s="42" t="s">
        <v>607</v>
      </c>
      <c r="BSQ338" s="42" t="s">
        <v>607</v>
      </c>
      <c r="BSR338" s="42" t="s">
        <v>607</v>
      </c>
      <c r="BSS338" s="42" t="s">
        <v>607</v>
      </c>
      <c r="BST338" s="42" t="s">
        <v>607</v>
      </c>
      <c r="BSU338" s="42" t="s">
        <v>607</v>
      </c>
      <c r="BSV338" s="42" t="s">
        <v>607</v>
      </c>
      <c r="BSW338" s="42" t="s">
        <v>607</v>
      </c>
      <c r="BSX338" s="42" t="s">
        <v>607</v>
      </c>
      <c r="BSY338" s="42" t="s">
        <v>607</v>
      </c>
      <c r="BSZ338" s="42" t="s">
        <v>607</v>
      </c>
      <c r="BTA338" s="42" t="s">
        <v>607</v>
      </c>
      <c r="BTB338" s="42" t="s">
        <v>607</v>
      </c>
      <c r="BTC338" s="42" t="s">
        <v>607</v>
      </c>
      <c r="BTD338" s="42" t="s">
        <v>607</v>
      </c>
      <c r="BTE338" s="42" t="s">
        <v>607</v>
      </c>
      <c r="BTF338" s="42" t="s">
        <v>607</v>
      </c>
      <c r="BTG338" s="42" t="s">
        <v>607</v>
      </c>
      <c r="BTH338" s="42" t="s">
        <v>607</v>
      </c>
      <c r="BTI338" s="42" t="s">
        <v>607</v>
      </c>
      <c r="BTJ338" s="42" t="s">
        <v>607</v>
      </c>
      <c r="BTK338" s="42" t="s">
        <v>607</v>
      </c>
      <c r="BTL338" s="42" t="s">
        <v>607</v>
      </c>
      <c r="BTM338" s="42" t="s">
        <v>607</v>
      </c>
      <c r="BTN338" s="42" t="s">
        <v>607</v>
      </c>
      <c r="BTO338" s="42" t="s">
        <v>607</v>
      </c>
      <c r="BTP338" s="42" t="s">
        <v>607</v>
      </c>
      <c r="BTQ338" s="42" t="s">
        <v>607</v>
      </c>
      <c r="BTR338" s="42" t="s">
        <v>607</v>
      </c>
      <c r="BTS338" s="42" t="s">
        <v>607</v>
      </c>
      <c r="BTT338" s="42" t="s">
        <v>607</v>
      </c>
      <c r="BTU338" s="42" t="s">
        <v>607</v>
      </c>
      <c r="BTV338" s="42" t="s">
        <v>607</v>
      </c>
      <c r="BTW338" s="42" t="s">
        <v>607</v>
      </c>
      <c r="BTX338" s="42" t="s">
        <v>607</v>
      </c>
      <c r="BTY338" s="42" t="s">
        <v>607</v>
      </c>
      <c r="BTZ338" s="42" t="s">
        <v>607</v>
      </c>
      <c r="BUA338" s="42" t="s">
        <v>607</v>
      </c>
      <c r="BUB338" s="42" t="s">
        <v>607</v>
      </c>
      <c r="BUC338" s="42" t="s">
        <v>607</v>
      </c>
      <c r="BUD338" s="42" t="s">
        <v>607</v>
      </c>
      <c r="BUE338" s="42" t="s">
        <v>607</v>
      </c>
      <c r="BUF338" s="42" t="s">
        <v>607</v>
      </c>
      <c r="BUG338" s="42" t="s">
        <v>607</v>
      </c>
      <c r="BUH338" s="42" t="s">
        <v>607</v>
      </c>
      <c r="BUI338" s="42" t="s">
        <v>607</v>
      </c>
      <c r="BUJ338" s="42" t="s">
        <v>607</v>
      </c>
      <c r="BUK338" s="42" t="s">
        <v>607</v>
      </c>
      <c r="BUL338" s="42" t="s">
        <v>607</v>
      </c>
      <c r="BUM338" s="42" t="s">
        <v>607</v>
      </c>
      <c r="BUN338" s="42" t="s">
        <v>607</v>
      </c>
      <c r="BUO338" s="42" t="s">
        <v>607</v>
      </c>
      <c r="BUP338" s="42" t="s">
        <v>607</v>
      </c>
      <c r="BUQ338" s="42" t="s">
        <v>607</v>
      </c>
      <c r="BUR338" s="42" t="s">
        <v>607</v>
      </c>
      <c r="BUS338" s="42" t="s">
        <v>607</v>
      </c>
      <c r="BUT338" s="42" t="s">
        <v>607</v>
      </c>
      <c r="BUU338" s="42" t="s">
        <v>607</v>
      </c>
      <c r="BUV338" s="42" t="s">
        <v>607</v>
      </c>
      <c r="BUW338" s="42" t="s">
        <v>607</v>
      </c>
      <c r="BUX338" s="42" t="s">
        <v>607</v>
      </c>
      <c r="BUY338" s="42" t="s">
        <v>607</v>
      </c>
      <c r="BUZ338" s="42" t="s">
        <v>607</v>
      </c>
      <c r="BVA338" s="42" t="s">
        <v>607</v>
      </c>
      <c r="BVB338" s="42" t="s">
        <v>607</v>
      </c>
      <c r="BVC338" s="42" t="s">
        <v>607</v>
      </c>
      <c r="BVD338" s="42" t="s">
        <v>607</v>
      </c>
      <c r="BVE338" s="42" t="s">
        <v>607</v>
      </c>
      <c r="BVF338" s="42" t="s">
        <v>607</v>
      </c>
      <c r="BVG338" s="42" t="s">
        <v>607</v>
      </c>
      <c r="BVH338" s="42" t="s">
        <v>607</v>
      </c>
      <c r="BVI338" s="42" t="s">
        <v>607</v>
      </c>
      <c r="BVJ338" s="42" t="s">
        <v>607</v>
      </c>
      <c r="BVK338" s="42" t="s">
        <v>607</v>
      </c>
      <c r="BVL338" s="42" t="s">
        <v>607</v>
      </c>
      <c r="BVM338" s="42" t="s">
        <v>607</v>
      </c>
      <c r="BVN338" s="42" t="s">
        <v>607</v>
      </c>
      <c r="BVO338" s="42" t="s">
        <v>607</v>
      </c>
      <c r="BVP338" s="42" t="s">
        <v>607</v>
      </c>
      <c r="BVQ338" s="42" t="s">
        <v>607</v>
      </c>
      <c r="BVR338" s="42" t="s">
        <v>607</v>
      </c>
      <c r="BVS338" s="42" t="s">
        <v>607</v>
      </c>
      <c r="BVT338" s="42" t="s">
        <v>607</v>
      </c>
      <c r="BVU338" s="42" t="s">
        <v>607</v>
      </c>
      <c r="BVV338" s="42" t="s">
        <v>607</v>
      </c>
      <c r="BVW338" s="42" t="s">
        <v>607</v>
      </c>
      <c r="BVX338" s="42" t="s">
        <v>607</v>
      </c>
      <c r="BVY338" s="42" t="s">
        <v>607</v>
      </c>
      <c r="BVZ338" s="42" t="s">
        <v>607</v>
      </c>
      <c r="BWA338" s="42" t="s">
        <v>607</v>
      </c>
      <c r="BWB338" s="42" t="s">
        <v>607</v>
      </c>
      <c r="BWC338" s="42" t="s">
        <v>607</v>
      </c>
      <c r="BWD338" s="42" t="s">
        <v>607</v>
      </c>
      <c r="BWE338" s="42" t="s">
        <v>607</v>
      </c>
      <c r="BWF338" s="42" t="s">
        <v>607</v>
      </c>
      <c r="BWG338" s="42" t="s">
        <v>607</v>
      </c>
      <c r="BWH338" s="42" t="s">
        <v>607</v>
      </c>
      <c r="BWI338" s="42" t="s">
        <v>607</v>
      </c>
      <c r="BWJ338" s="42" t="s">
        <v>607</v>
      </c>
      <c r="BWK338" s="42" t="s">
        <v>607</v>
      </c>
      <c r="BWL338" s="42" t="s">
        <v>607</v>
      </c>
      <c r="BWM338" s="42" t="s">
        <v>607</v>
      </c>
      <c r="BWN338" s="42" t="s">
        <v>607</v>
      </c>
      <c r="BWO338" s="42" t="s">
        <v>607</v>
      </c>
      <c r="BWP338" s="42" t="s">
        <v>607</v>
      </c>
      <c r="BWQ338" s="42" t="s">
        <v>607</v>
      </c>
      <c r="BWR338" s="42" t="s">
        <v>607</v>
      </c>
      <c r="BWS338" s="42" t="s">
        <v>607</v>
      </c>
      <c r="BWT338" s="42" t="s">
        <v>607</v>
      </c>
      <c r="BWU338" s="42" t="s">
        <v>607</v>
      </c>
      <c r="BWV338" s="42" t="s">
        <v>607</v>
      </c>
      <c r="BWW338" s="42" t="s">
        <v>607</v>
      </c>
      <c r="BWX338" s="42" t="s">
        <v>607</v>
      </c>
      <c r="BWY338" s="42" t="s">
        <v>607</v>
      </c>
      <c r="BWZ338" s="42" t="s">
        <v>607</v>
      </c>
      <c r="BXA338" s="42" t="s">
        <v>607</v>
      </c>
      <c r="BXB338" s="42" t="s">
        <v>607</v>
      </c>
      <c r="BXC338" s="42" t="s">
        <v>607</v>
      </c>
      <c r="BXD338" s="42" t="s">
        <v>607</v>
      </c>
      <c r="BXE338" s="42" t="s">
        <v>607</v>
      </c>
      <c r="BXF338" s="42" t="s">
        <v>607</v>
      </c>
      <c r="BXG338" s="42" t="s">
        <v>607</v>
      </c>
      <c r="BXH338" s="42" t="s">
        <v>607</v>
      </c>
      <c r="BXI338" s="42" t="s">
        <v>607</v>
      </c>
      <c r="BXJ338" s="42" t="s">
        <v>607</v>
      </c>
      <c r="BXK338" s="42" t="s">
        <v>607</v>
      </c>
      <c r="BXL338" s="42" t="s">
        <v>607</v>
      </c>
      <c r="BXM338" s="42" t="s">
        <v>607</v>
      </c>
      <c r="BXN338" s="42" t="s">
        <v>607</v>
      </c>
      <c r="BXO338" s="42" t="s">
        <v>607</v>
      </c>
      <c r="BXP338" s="42" t="s">
        <v>607</v>
      </c>
      <c r="BXQ338" s="42" t="s">
        <v>607</v>
      </c>
      <c r="BXR338" s="42" t="s">
        <v>607</v>
      </c>
      <c r="BXS338" s="42" t="s">
        <v>607</v>
      </c>
      <c r="BXT338" s="42" t="s">
        <v>607</v>
      </c>
      <c r="BXU338" s="42" t="s">
        <v>607</v>
      </c>
      <c r="BXV338" s="42" t="s">
        <v>607</v>
      </c>
      <c r="BXW338" s="42" t="s">
        <v>607</v>
      </c>
      <c r="BXX338" s="42" t="s">
        <v>607</v>
      </c>
      <c r="BXY338" s="42" t="s">
        <v>607</v>
      </c>
      <c r="BXZ338" s="42" t="s">
        <v>607</v>
      </c>
      <c r="BYA338" s="42" t="s">
        <v>607</v>
      </c>
      <c r="BYB338" s="42" t="s">
        <v>607</v>
      </c>
      <c r="BYC338" s="42" t="s">
        <v>607</v>
      </c>
      <c r="BYD338" s="42" t="s">
        <v>607</v>
      </c>
      <c r="BYE338" s="42" t="s">
        <v>607</v>
      </c>
      <c r="BYF338" s="42" t="s">
        <v>607</v>
      </c>
      <c r="BYG338" s="42" t="s">
        <v>607</v>
      </c>
      <c r="BYH338" s="42" t="s">
        <v>607</v>
      </c>
      <c r="BYI338" s="42" t="s">
        <v>607</v>
      </c>
      <c r="BYJ338" s="42" t="s">
        <v>607</v>
      </c>
      <c r="BYK338" s="42" t="s">
        <v>607</v>
      </c>
      <c r="BYL338" s="42" t="s">
        <v>607</v>
      </c>
      <c r="BYM338" s="42" t="s">
        <v>607</v>
      </c>
      <c r="BYN338" s="42" t="s">
        <v>607</v>
      </c>
      <c r="BYO338" s="42" t="s">
        <v>607</v>
      </c>
      <c r="BYP338" s="42" t="s">
        <v>607</v>
      </c>
      <c r="BYQ338" s="42" t="s">
        <v>607</v>
      </c>
      <c r="BYR338" s="42" t="s">
        <v>607</v>
      </c>
      <c r="BYS338" s="42" t="s">
        <v>607</v>
      </c>
      <c r="BYT338" s="42" t="s">
        <v>607</v>
      </c>
      <c r="BYU338" s="42" t="s">
        <v>607</v>
      </c>
      <c r="BYV338" s="42" t="s">
        <v>607</v>
      </c>
      <c r="BYW338" s="42" t="s">
        <v>607</v>
      </c>
      <c r="BYX338" s="42" t="s">
        <v>607</v>
      </c>
      <c r="BYY338" s="42" t="s">
        <v>607</v>
      </c>
      <c r="BYZ338" s="42" t="s">
        <v>607</v>
      </c>
      <c r="BZA338" s="42" t="s">
        <v>607</v>
      </c>
      <c r="BZB338" s="42" t="s">
        <v>607</v>
      </c>
      <c r="BZC338" s="42" t="s">
        <v>607</v>
      </c>
      <c r="BZD338" s="42" t="s">
        <v>607</v>
      </c>
      <c r="BZE338" s="42" t="s">
        <v>607</v>
      </c>
      <c r="BZF338" s="42" t="s">
        <v>607</v>
      </c>
      <c r="BZG338" s="42" t="s">
        <v>607</v>
      </c>
      <c r="BZH338" s="42" t="s">
        <v>607</v>
      </c>
      <c r="BZI338" s="42" t="s">
        <v>607</v>
      </c>
      <c r="BZJ338" s="42" t="s">
        <v>607</v>
      </c>
      <c r="BZK338" s="42" t="s">
        <v>607</v>
      </c>
      <c r="BZL338" s="42" t="s">
        <v>607</v>
      </c>
      <c r="BZM338" s="42" t="s">
        <v>607</v>
      </c>
      <c r="BZN338" s="42" t="s">
        <v>607</v>
      </c>
      <c r="BZO338" s="42" t="s">
        <v>607</v>
      </c>
      <c r="BZP338" s="42" t="s">
        <v>607</v>
      </c>
      <c r="BZQ338" s="42" t="s">
        <v>607</v>
      </c>
      <c r="BZR338" s="42" t="s">
        <v>607</v>
      </c>
      <c r="BZS338" s="42" t="s">
        <v>607</v>
      </c>
      <c r="BZT338" s="42" t="s">
        <v>607</v>
      </c>
      <c r="BZU338" s="42" t="s">
        <v>607</v>
      </c>
      <c r="BZV338" s="42" t="s">
        <v>607</v>
      </c>
      <c r="BZW338" s="42" t="s">
        <v>607</v>
      </c>
      <c r="BZX338" s="42" t="s">
        <v>607</v>
      </c>
      <c r="BZY338" s="42" t="s">
        <v>607</v>
      </c>
      <c r="BZZ338" s="42" t="s">
        <v>607</v>
      </c>
      <c r="CAA338" s="42" t="s">
        <v>607</v>
      </c>
      <c r="CAB338" s="42" t="s">
        <v>607</v>
      </c>
      <c r="CAC338" s="42" t="s">
        <v>607</v>
      </c>
      <c r="CAD338" s="42" t="s">
        <v>607</v>
      </c>
      <c r="CAE338" s="42" t="s">
        <v>607</v>
      </c>
      <c r="CAF338" s="42" t="s">
        <v>607</v>
      </c>
      <c r="CAG338" s="42" t="s">
        <v>607</v>
      </c>
      <c r="CAH338" s="42" t="s">
        <v>607</v>
      </c>
      <c r="CAI338" s="42" t="s">
        <v>607</v>
      </c>
      <c r="CAJ338" s="42" t="s">
        <v>607</v>
      </c>
      <c r="CAK338" s="42" t="s">
        <v>607</v>
      </c>
      <c r="CAL338" s="42" t="s">
        <v>607</v>
      </c>
      <c r="CAM338" s="42" t="s">
        <v>607</v>
      </c>
      <c r="CAN338" s="42" t="s">
        <v>607</v>
      </c>
      <c r="CAO338" s="42" t="s">
        <v>607</v>
      </c>
      <c r="CAP338" s="42" t="s">
        <v>607</v>
      </c>
      <c r="CAQ338" s="42" t="s">
        <v>607</v>
      </c>
      <c r="CAR338" s="42" t="s">
        <v>607</v>
      </c>
      <c r="CAS338" s="42" t="s">
        <v>607</v>
      </c>
      <c r="CAT338" s="42" t="s">
        <v>607</v>
      </c>
      <c r="CAU338" s="42" t="s">
        <v>607</v>
      </c>
      <c r="CAV338" s="42" t="s">
        <v>607</v>
      </c>
      <c r="CAW338" s="42" t="s">
        <v>607</v>
      </c>
      <c r="CAX338" s="42" t="s">
        <v>607</v>
      </c>
      <c r="CAY338" s="42" t="s">
        <v>607</v>
      </c>
      <c r="CAZ338" s="42" t="s">
        <v>607</v>
      </c>
      <c r="CBA338" s="42" t="s">
        <v>607</v>
      </c>
      <c r="CBB338" s="42" t="s">
        <v>607</v>
      </c>
      <c r="CBC338" s="42" t="s">
        <v>607</v>
      </c>
      <c r="CBD338" s="42" t="s">
        <v>607</v>
      </c>
      <c r="CBE338" s="42" t="s">
        <v>607</v>
      </c>
      <c r="CBF338" s="42" t="s">
        <v>607</v>
      </c>
      <c r="CBG338" s="42" t="s">
        <v>607</v>
      </c>
      <c r="CBH338" s="42" t="s">
        <v>607</v>
      </c>
      <c r="CBI338" s="42" t="s">
        <v>607</v>
      </c>
      <c r="CBJ338" s="42" t="s">
        <v>607</v>
      </c>
      <c r="CBK338" s="42" t="s">
        <v>607</v>
      </c>
      <c r="CBL338" s="42" t="s">
        <v>607</v>
      </c>
      <c r="CBM338" s="42" t="s">
        <v>607</v>
      </c>
      <c r="CBN338" s="42" t="s">
        <v>607</v>
      </c>
      <c r="CBO338" s="42" t="s">
        <v>607</v>
      </c>
      <c r="CBP338" s="42" t="s">
        <v>607</v>
      </c>
      <c r="CBQ338" s="42" t="s">
        <v>607</v>
      </c>
      <c r="CBR338" s="42" t="s">
        <v>607</v>
      </c>
      <c r="CBS338" s="42" t="s">
        <v>607</v>
      </c>
      <c r="CBT338" s="42" t="s">
        <v>607</v>
      </c>
      <c r="CBU338" s="42" t="s">
        <v>607</v>
      </c>
      <c r="CBV338" s="42" t="s">
        <v>607</v>
      </c>
      <c r="CBW338" s="42" t="s">
        <v>607</v>
      </c>
      <c r="CBX338" s="42" t="s">
        <v>607</v>
      </c>
      <c r="CBY338" s="42" t="s">
        <v>607</v>
      </c>
      <c r="CBZ338" s="42" t="s">
        <v>607</v>
      </c>
      <c r="CCA338" s="42" t="s">
        <v>607</v>
      </c>
      <c r="CCB338" s="42" t="s">
        <v>607</v>
      </c>
      <c r="CCC338" s="42" t="s">
        <v>607</v>
      </c>
      <c r="CCD338" s="42" t="s">
        <v>607</v>
      </c>
      <c r="CCE338" s="42" t="s">
        <v>607</v>
      </c>
      <c r="CCF338" s="42" t="s">
        <v>607</v>
      </c>
      <c r="CCG338" s="42" t="s">
        <v>607</v>
      </c>
      <c r="CCH338" s="42" t="s">
        <v>607</v>
      </c>
      <c r="CCI338" s="42" t="s">
        <v>607</v>
      </c>
      <c r="CCJ338" s="42" t="s">
        <v>607</v>
      </c>
      <c r="CCK338" s="42" t="s">
        <v>607</v>
      </c>
      <c r="CCL338" s="42" t="s">
        <v>607</v>
      </c>
      <c r="CCM338" s="42" t="s">
        <v>607</v>
      </c>
      <c r="CCN338" s="42" t="s">
        <v>607</v>
      </c>
      <c r="CCO338" s="42" t="s">
        <v>607</v>
      </c>
      <c r="CCP338" s="42" t="s">
        <v>607</v>
      </c>
      <c r="CCQ338" s="42" t="s">
        <v>607</v>
      </c>
      <c r="CCR338" s="42" t="s">
        <v>607</v>
      </c>
      <c r="CCS338" s="42" t="s">
        <v>607</v>
      </c>
      <c r="CCT338" s="42" t="s">
        <v>607</v>
      </c>
      <c r="CCU338" s="42" t="s">
        <v>607</v>
      </c>
      <c r="CCV338" s="42" t="s">
        <v>607</v>
      </c>
      <c r="CCW338" s="42" t="s">
        <v>607</v>
      </c>
      <c r="CCX338" s="42" t="s">
        <v>607</v>
      </c>
      <c r="CCY338" s="42" t="s">
        <v>607</v>
      </c>
      <c r="CCZ338" s="42" t="s">
        <v>607</v>
      </c>
      <c r="CDA338" s="42" t="s">
        <v>607</v>
      </c>
      <c r="CDB338" s="42" t="s">
        <v>607</v>
      </c>
      <c r="CDC338" s="42" t="s">
        <v>607</v>
      </c>
      <c r="CDD338" s="42" t="s">
        <v>607</v>
      </c>
      <c r="CDE338" s="42" t="s">
        <v>607</v>
      </c>
      <c r="CDF338" s="42" t="s">
        <v>607</v>
      </c>
      <c r="CDG338" s="42" t="s">
        <v>607</v>
      </c>
      <c r="CDH338" s="42" t="s">
        <v>607</v>
      </c>
      <c r="CDI338" s="42" t="s">
        <v>607</v>
      </c>
      <c r="CDJ338" s="42" t="s">
        <v>607</v>
      </c>
      <c r="CDK338" s="42" t="s">
        <v>607</v>
      </c>
      <c r="CDL338" s="42" t="s">
        <v>607</v>
      </c>
      <c r="CDM338" s="42" t="s">
        <v>607</v>
      </c>
      <c r="CDN338" s="42" t="s">
        <v>607</v>
      </c>
      <c r="CDO338" s="42" t="s">
        <v>607</v>
      </c>
      <c r="CDP338" s="42" t="s">
        <v>607</v>
      </c>
      <c r="CDQ338" s="42" t="s">
        <v>607</v>
      </c>
      <c r="CDR338" s="42" t="s">
        <v>607</v>
      </c>
      <c r="CDS338" s="42" t="s">
        <v>607</v>
      </c>
      <c r="CDT338" s="42" t="s">
        <v>607</v>
      </c>
      <c r="CDU338" s="42" t="s">
        <v>607</v>
      </c>
      <c r="CDV338" s="42" t="s">
        <v>607</v>
      </c>
      <c r="CDW338" s="42" t="s">
        <v>607</v>
      </c>
      <c r="CDX338" s="42" t="s">
        <v>607</v>
      </c>
      <c r="CDY338" s="42" t="s">
        <v>607</v>
      </c>
      <c r="CDZ338" s="42" t="s">
        <v>607</v>
      </c>
      <c r="CEA338" s="42" t="s">
        <v>607</v>
      </c>
      <c r="CEB338" s="42" t="s">
        <v>607</v>
      </c>
      <c r="CEC338" s="42" t="s">
        <v>607</v>
      </c>
      <c r="CED338" s="42" t="s">
        <v>607</v>
      </c>
      <c r="CEE338" s="42" t="s">
        <v>607</v>
      </c>
      <c r="CEF338" s="42" t="s">
        <v>607</v>
      </c>
      <c r="CEG338" s="42" t="s">
        <v>607</v>
      </c>
      <c r="CEH338" s="42" t="s">
        <v>607</v>
      </c>
      <c r="CEI338" s="42" t="s">
        <v>607</v>
      </c>
      <c r="CEJ338" s="42" t="s">
        <v>607</v>
      </c>
      <c r="CEK338" s="42" t="s">
        <v>607</v>
      </c>
      <c r="CEL338" s="42" t="s">
        <v>607</v>
      </c>
      <c r="CEM338" s="42" t="s">
        <v>607</v>
      </c>
      <c r="CEN338" s="42" t="s">
        <v>607</v>
      </c>
      <c r="CEO338" s="42" t="s">
        <v>607</v>
      </c>
      <c r="CEP338" s="42" t="s">
        <v>607</v>
      </c>
      <c r="CEQ338" s="42" t="s">
        <v>607</v>
      </c>
      <c r="CER338" s="42" t="s">
        <v>607</v>
      </c>
      <c r="CES338" s="42" t="s">
        <v>607</v>
      </c>
      <c r="CET338" s="42" t="s">
        <v>607</v>
      </c>
      <c r="CEU338" s="42" t="s">
        <v>607</v>
      </c>
      <c r="CEV338" s="42" t="s">
        <v>607</v>
      </c>
      <c r="CEW338" s="42" t="s">
        <v>607</v>
      </c>
      <c r="CEX338" s="42" t="s">
        <v>607</v>
      </c>
      <c r="CEY338" s="42" t="s">
        <v>607</v>
      </c>
      <c r="CEZ338" s="42" t="s">
        <v>607</v>
      </c>
      <c r="CFA338" s="42" t="s">
        <v>607</v>
      </c>
      <c r="CFB338" s="42" t="s">
        <v>607</v>
      </c>
      <c r="CFC338" s="42" t="s">
        <v>607</v>
      </c>
      <c r="CFD338" s="42" t="s">
        <v>607</v>
      </c>
      <c r="CFE338" s="42" t="s">
        <v>607</v>
      </c>
      <c r="CFF338" s="42" t="s">
        <v>607</v>
      </c>
      <c r="CFG338" s="42" t="s">
        <v>607</v>
      </c>
      <c r="CFH338" s="42" t="s">
        <v>607</v>
      </c>
      <c r="CFI338" s="42" t="s">
        <v>607</v>
      </c>
      <c r="CFJ338" s="42" t="s">
        <v>607</v>
      </c>
      <c r="CFK338" s="42" t="s">
        <v>607</v>
      </c>
      <c r="CFL338" s="42" t="s">
        <v>607</v>
      </c>
      <c r="CFM338" s="42" t="s">
        <v>607</v>
      </c>
      <c r="CFN338" s="42" t="s">
        <v>607</v>
      </c>
      <c r="CFO338" s="42" t="s">
        <v>607</v>
      </c>
      <c r="CFP338" s="42" t="s">
        <v>607</v>
      </c>
      <c r="CFQ338" s="42" t="s">
        <v>607</v>
      </c>
      <c r="CFR338" s="42" t="s">
        <v>607</v>
      </c>
      <c r="CFS338" s="42" t="s">
        <v>607</v>
      </c>
      <c r="CFT338" s="42" t="s">
        <v>607</v>
      </c>
      <c r="CFU338" s="42" t="s">
        <v>607</v>
      </c>
      <c r="CFV338" s="42" t="s">
        <v>607</v>
      </c>
      <c r="CFW338" s="42" t="s">
        <v>607</v>
      </c>
      <c r="CFX338" s="42" t="s">
        <v>607</v>
      </c>
      <c r="CFY338" s="42" t="s">
        <v>607</v>
      </c>
      <c r="CFZ338" s="42" t="s">
        <v>607</v>
      </c>
      <c r="CGA338" s="42" t="s">
        <v>607</v>
      </c>
      <c r="CGB338" s="42" t="s">
        <v>607</v>
      </c>
      <c r="CGC338" s="42" t="s">
        <v>607</v>
      </c>
      <c r="CGD338" s="42" t="s">
        <v>607</v>
      </c>
      <c r="CGE338" s="42" t="s">
        <v>607</v>
      </c>
      <c r="CGF338" s="42" t="s">
        <v>607</v>
      </c>
      <c r="CGG338" s="42" t="s">
        <v>607</v>
      </c>
      <c r="CGH338" s="42" t="s">
        <v>607</v>
      </c>
      <c r="CGI338" s="42" t="s">
        <v>607</v>
      </c>
      <c r="CGJ338" s="42" t="s">
        <v>607</v>
      </c>
      <c r="CGK338" s="42" t="s">
        <v>607</v>
      </c>
      <c r="CGL338" s="42" t="s">
        <v>607</v>
      </c>
      <c r="CGM338" s="42" t="s">
        <v>607</v>
      </c>
      <c r="CGN338" s="42" t="s">
        <v>607</v>
      </c>
      <c r="CGO338" s="42" t="s">
        <v>607</v>
      </c>
      <c r="CGP338" s="42" t="s">
        <v>607</v>
      </c>
      <c r="CGQ338" s="42" t="s">
        <v>607</v>
      </c>
      <c r="CGR338" s="42" t="s">
        <v>607</v>
      </c>
      <c r="CGS338" s="42" t="s">
        <v>607</v>
      </c>
      <c r="CGT338" s="42" t="s">
        <v>607</v>
      </c>
      <c r="CGU338" s="42" t="s">
        <v>607</v>
      </c>
      <c r="CGV338" s="42" t="s">
        <v>607</v>
      </c>
      <c r="CGW338" s="42" t="s">
        <v>607</v>
      </c>
      <c r="CGX338" s="42" t="s">
        <v>607</v>
      </c>
      <c r="CGY338" s="42" t="s">
        <v>607</v>
      </c>
      <c r="CGZ338" s="42" t="s">
        <v>607</v>
      </c>
      <c r="CHA338" s="42" t="s">
        <v>607</v>
      </c>
      <c r="CHB338" s="42" t="s">
        <v>607</v>
      </c>
      <c r="CHC338" s="42" t="s">
        <v>607</v>
      </c>
      <c r="CHD338" s="42" t="s">
        <v>607</v>
      </c>
      <c r="CHE338" s="42" t="s">
        <v>607</v>
      </c>
      <c r="CHF338" s="42" t="s">
        <v>607</v>
      </c>
      <c r="CHG338" s="42" t="s">
        <v>607</v>
      </c>
      <c r="CHH338" s="42" t="s">
        <v>607</v>
      </c>
      <c r="CHI338" s="42" t="s">
        <v>607</v>
      </c>
      <c r="CHJ338" s="42" t="s">
        <v>607</v>
      </c>
      <c r="CHK338" s="42" t="s">
        <v>607</v>
      </c>
      <c r="CHL338" s="42" t="s">
        <v>607</v>
      </c>
      <c r="CHM338" s="42" t="s">
        <v>607</v>
      </c>
      <c r="CHN338" s="42" t="s">
        <v>607</v>
      </c>
      <c r="CHO338" s="42" t="s">
        <v>607</v>
      </c>
      <c r="CHP338" s="42" t="s">
        <v>607</v>
      </c>
      <c r="CHQ338" s="42" t="s">
        <v>607</v>
      </c>
      <c r="CHR338" s="42" t="s">
        <v>607</v>
      </c>
      <c r="CHS338" s="42" t="s">
        <v>607</v>
      </c>
      <c r="CHT338" s="42" t="s">
        <v>607</v>
      </c>
      <c r="CHU338" s="42" t="s">
        <v>607</v>
      </c>
      <c r="CHV338" s="42" t="s">
        <v>607</v>
      </c>
      <c r="CHW338" s="42" t="s">
        <v>607</v>
      </c>
      <c r="CHX338" s="42" t="s">
        <v>607</v>
      </c>
      <c r="CHY338" s="42" t="s">
        <v>607</v>
      </c>
      <c r="CHZ338" s="42" t="s">
        <v>607</v>
      </c>
      <c r="CIA338" s="42" t="s">
        <v>607</v>
      </c>
      <c r="CIB338" s="42" t="s">
        <v>607</v>
      </c>
      <c r="CIC338" s="42" t="s">
        <v>607</v>
      </c>
      <c r="CID338" s="42" t="s">
        <v>607</v>
      </c>
      <c r="CIE338" s="42" t="s">
        <v>607</v>
      </c>
      <c r="CIF338" s="42" t="s">
        <v>607</v>
      </c>
      <c r="CIG338" s="42" t="s">
        <v>607</v>
      </c>
      <c r="CIH338" s="42" t="s">
        <v>607</v>
      </c>
      <c r="CII338" s="42" t="s">
        <v>607</v>
      </c>
      <c r="CIJ338" s="42" t="s">
        <v>607</v>
      </c>
      <c r="CIK338" s="42" t="s">
        <v>607</v>
      </c>
      <c r="CIL338" s="42" t="s">
        <v>607</v>
      </c>
      <c r="CIM338" s="42" t="s">
        <v>607</v>
      </c>
      <c r="CIN338" s="42" t="s">
        <v>607</v>
      </c>
      <c r="CIO338" s="42" t="s">
        <v>607</v>
      </c>
      <c r="CIP338" s="42" t="s">
        <v>607</v>
      </c>
      <c r="CIQ338" s="42" t="s">
        <v>607</v>
      </c>
      <c r="CIR338" s="42" t="s">
        <v>607</v>
      </c>
      <c r="CIS338" s="42" t="s">
        <v>607</v>
      </c>
      <c r="CIT338" s="42" t="s">
        <v>607</v>
      </c>
      <c r="CIU338" s="42" t="s">
        <v>607</v>
      </c>
      <c r="CIV338" s="42" t="s">
        <v>607</v>
      </c>
      <c r="CIW338" s="42" t="s">
        <v>607</v>
      </c>
      <c r="CIX338" s="42" t="s">
        <v>607</v>
      </c>
      <c r="CIY338" s="42" t="s">
        <v>607</v>
      </c>
      <c r="CIZ338" s="42" t="s">
        <v>607</v>
      </c>
      <c r="CJA338" s="42" t="s">
        <v>607</v>
      </c>
      <c r="CJB338" s="42" t="s">
        <v>607</v>
      </c>
      <c r="CJC338" s="42" t="s">
        <v>607</v>
      </c>
      <c r="CJD338" s="42" t="s">
        <v>607</v>
      </c>
      <c r="CJE338" s="42" t="s">
        <v>607</v>
      </c>
      <c r="CJF338" s="42" t="s">
        <v>607</v>
      </c>
      <c r="CJG338" s="42" t="s">
        <v>607</v>
      </c>
      <c r="CJH338" s="42" t="s">
        <v>607</v>
      </c>
      <c r="CJI338" s="42" t="s">
        <v>607</v>
      </c>
      <c r="CJJ338" s="42" t="s">
        <v>607</v>
      </c>
      <c r="CJK338" s="42" t="s">
        <v>607</v>
      </c>
      <c r="CJL338" s="42" t="s">
        <v>607</v>
      </c>
      <c r="CJM338" s="42" t="s">
        <v>607</v>
      </c>
      <c r="CJN338" s="42" t="s">
        <v>607</v>
      </c>
      <c r="CJO338" s="42" t="s">
        <v>607</v>
      </c>
      <c r="CJP338" s="42" t="s">
        <v>607</v>
      </c>
      <c r="CJQ338" s="42" t="s">
        <v>607</v>
      </c>
      <c r="CJR338" s="42" t="s">
        <v>607</v>
      </c>
      <c r="CJS338" s="42" t="s">
        <v>607</v>
      </c>
      <c r="CJT338" s="42" t="s">
        <v>607</v>
      </c>
      <c r="CJU338" s="42" t="s">
        <v>607</v>
      </c>
      <c r="CJV338" s="42" t="s">
        <v>607</v>
      </c>
      <c r="CJW338" s="42" t="s">
        <v>607</v>
      </c>
      <c r="CJX338" s="42" t="s">
        <v>607</v>
      </c>
      <c r="CJY338" s="42" t="s">
        <v>607</v>
      </c>
      <c r="CJZ338" s="42" t="s">
        <v>607</v>
      </c>
      <c r="CKA338" s="42" t="s">
        <v>607</v>
      </c>
      <c r="CKB338" s="42" t="s">
        <v>607</v>
      </c>
      <c r="CKC338" s="42" t="s">
        <v>607</v>
      </c>
      <c r="CKD338" s="42" t="s">
        <v>607</v>
      </c>
      <c r="CKE338" s="42" t="s">
        <v>607</v>
      </c>
      <c r="CKF338" s="42" t="s">
        <v>607</v>
      </c>
      <c r="CKG338" s="42" t="s">
        <v>607</v>
      </c>
      <c r="CKH338" s="42" t="s">
        <v>607</v>
      </c>
      <c r="CKI338" s="42" t="s">
        <v>607</v>
      </c>
      <c r="CKJ338" s="42" t="s">
        <v>607</v>
      </c>
      <c r="CKK338" s="42" t="s">
        <v>607</v>
      </c>
      <c r="CKL338" s="42" t="s">
        <v>607</v>
      </c>
      <c r="CKM338" s="42" t="s">
        <v>607</v>
      </c>
      <c r="CKN338" s="42" t="s">
        <v>607</v>
      </c>
      <c r="CKO338" s="42" t="s">
        <v>607</v>
      </c>
      <c r="CKP338" s="42" t="s">
        <v>607</v>
      </c>
      <c r="CKQ338" s="42" t="s">
        <v>607</v>
      </c>
      <c r="CKR338" s="42" t="s">
        <v>607</v>
      </c>
      <c r="CKS338" s="42" t="s">
        <v>607</v>
      </c>
      <c r="CKT338" s="42" t="s">
        <v>607</v>
      </c>
      <c r="CKU338" s="42" t="s">
        <v>607</v>
      </c>
      <c r="CKV338" s="42" t="s">
        <v>607</v>
      </c>
      <c r="CKW338" s="42" t="s">
        <v>607</v>
      </c>
      <c r="CKX338" s="42" t="s">
        <v>607</v>
      </c>
      <c r="CKY338" s="42" t="s">
        <v>607</v>
      </c>
      <c r="CKZ338" s="42" t="s">
        <v>607</v>
      </c>
      <c r="CLA338" s="42" t="s">
        <v>607</v>
      </c>
      <c r="CLB338" s="42" t="s">
        <v>607</v>
      </c>
      <c r="CLC338" s="42" t="s">
        <v>607</v>
      </c>
      <c r="CLD338" s="42" t="s">
        <v>607</v>
      </c>
      <c r="CLE338" s="42" t="s">
        <v>607</v>
      </c>
      <c r="CLF338" s="42" t="s">
        <v>607</v>
      </c>
      <c r="CLG338" s="42" t="s">
        <v>607</v>
      </c>
      <c r="CLH338" s="42" t="s">
        <v>607</v>
      </c>
      <c r="CLI338" s="42" t="s">
        <v>607</v>
      </c>
      <c r="CLJ338" s="42" t="s">
        <v>607</v>
      </c>
      <c r="CLK338" s="42" t="s">
        <v>607</v>
      </c>
      <c r="CLL338" s="42" t="s">
        <v>607</v>
      </c>
      <c r="CLM338" s="42" t="s">
        <v>607</v>
      </c>
      <c r="CLN338" s="42" t="s">
        <v>607</v>
      </c>
      <c r="CLO338" s="42" t="s">
        <v>607</v>
      </c>
      <c r="CLP338" s="42" t="s">
        <v>607</v>
      </c>
      <c r="CLQ338" s="42" t="s">
        <v>607</v>
      </c>
      <c r="CLR338" s="42" t="s">
        <v>607</v>
      </c>
      <c r="CLS338" s="42" t="s">
        <v>607</v>
      </c>
      <c r="CLT338" s="42" t="s">
        <v>607</v>
      </c>
      <c r="CLU338" s="42" t="s">
        <v>607</v>
      </c>
      <c r="CLV338" s="42" t="s">
        <v>607</v>
      </c>
      <c r="CLW338" s="42" t="s">
        <v>607</v>
      </c>
      <c r="CLX338" s="42" t="s">
        <v>607</v>
      </c>
      <c r="CLY338" s="42" t="s">
        <v>607</v>
      </c>
      <c r="CLZ338" s="42" t="s">
        <v>607</v>
      </c>
      <c r="CMA338" s="42" t="s">
        <v>607</v>
      </c>
      <c r="CMB338" s="42" t="s">
        <v>607</v>
      </c>
      <c r="CMC338" s="42" t="s">
        <v>607</v>
      </c>
      <c r="CMD338" s="42" t="s">
        <v>607</v>
      </c>
      <c r="CME338" s="42" t="s">
        <v>607</v>
      </c>
      <c r="CMF338" s="42" t="s">
        <v>607</v>
      </c>
      <c r="CMG338" s="42" t="s">
        <v>607</v>
      </c>
      <c r="CMH338" s="42" t="s">
        <v>607</v>
      </c>
      <c r="CMI338" s="42" t="s">
        <v>607</v>
      </c>
      <c r="CMJ338" s="42" t="s">
        <v>607</v>
      </c>
      <c r="CMK338" s="42" t="s">
        <v>607</v>
      </c>
      <c r="CML338" s="42" t="s">
        <v>607</v>
      </c>
      <c r="CMM338" s="42" t="s">
        <v>607</v>
      </c>
      <c r="CMN338" s="42" t="s">
        <v>607</v>
      </c>
      <c r="CMO338" s="42" t="s">
        <v>607</v>
      </c>
      <c r="CMP338" s="42" t="s">
        <v>607</v>
      </c>
      <c r="CMQ338" s="42" t="s">
        <v>607</v>
      </c>
      <c r="CMR338" s="42" t="s">
        <v>607</v>
      </c>
      <c r="CMS338" s="42" t="s">
        <v>607</v>
      </c>
      <c r="CMT338" s="42" t="s">
        <v>607</v>
      </c>
      <c r="CMU338" s="42" t="s">
        <v>607</v>
      </c>
      <c r="CMV338" s="42" t="s">
        <v>607</v>
      </c>
      <c r="CMW338" s="42" t="s">
        <v>607</v>
      </c>
      <c r="CMX338" s="42" t="s">
        <v>607</v>
      </c>
      <c r="CMY338" s="42" t="s">
        <v>607</v>
      </c>
      <c r="CMZ338" s="42" t="s">
        <v>607</v>
      </c>
      <c r="CNA338" s="42" t="s">
        <v>607</v>
      </c>
      <c r="CNB338" s="42" t="s">
        <v>607</v>
      </c>
      <c r="CNC338" s="42" t="s">
        <v>607</v>
      </c>
      <c r="CND338" s="42" t="s">
        <v>607</v>
      </c>
      <c r="CNE338" s="42" t="s">
        <v>607</v>
      </c>
      <c r="CNF338" s="42" t="s">
        <v>607</v>
      </c>
      <c r="CNG338" s="42" t="s">
        <v>607</v>
      </c>
      <c r="CNH338" s="42" t="s">
        <v>607</v>
      </c>
      <c r="CNI338" s="42" t="s">
        <v>607</v>
      </c>
      <c r="CNJ338" s="42" t="s">
        <v>607</v>
      </c>
      <c r="CNK338" s="42" t="s">
        <v>607</v>
      </c>
      <c r="CNL338" s="42" t="s">
        <v>607</v>
      </c>
      <c r="CNM338" s="42" t="s">
        <v>607</v>
      </c>
      <c r="CNN338" s="42" t="s">
        <v>607</v>
      </c>
      <c r="CNO338" s="42" t="s">
        <v>607</v>
      </c>
      <c r="CNP338" s="42" t="s">
        <v>607</v>
      </c>
      <c r="CNQ338" s="42" t="s">
        <v>607</v>
      </c>
      <c r="CNR338" s="42" t="s">
        <v>607</v>
      </c>
      <c r="CNS338" s="42" t="s">
        <v>607</v>
      </c>
      <c r="CNT338" s="42" t="s">
        <v>607</v>
      </c>
      <c r="CNU338" s="42" t="s">
        <v>607</v>
      </c>
      <c r="CNV338" s="42" t="s">
        <v>607</v>
      </c>
      <c r="CNW338" s="42" t="s">
        <v>607</v>
      </c>
      <c r="CNX338" s="42" t="s">
        <v>607</v>
      </c>
      <c r="CNY338" s="42" t="s">
        <v>607</v>
      </c>
      <c r="CNZ338" s="42" t="s">
        <v>607</v>
      </c>
      <c r="COA338" s="42" t="s">
        <v>607</v>
      </c>
      <c r="COB338" s="42" t="s">
        <v>607</v>
      </c>
      <c r="COC338" s="42" t="s">
        <v>607</v>
      </c>
      <c r="COD338" s="42" t="s">
        <v>607</v>
      </c>
      <c r="COE338" s="42" t="s">
        <v>607</v>
      </c>
      <c r="COF338" s="42" t="s">
        <v>607</v>
      </c>
      <c r="COG338" s="42" t="s">
        <v>607</v>
      </c>
      <c r="COH338" s="42" t="s">
        <v>607</v>
      </c>
      <c r="COI338" s="42" t="s">
        <v>607</v>
      </c>
      <c r="COJ338" s="42" t="s">
        <v>607</v>
      </c>
      <c r="COK338" s="42" t="s">
        <v>607</v>
      </c>
      <c r="COL338" s="42" t="s">
        <v>607</v>
      </c>
      <c r="COM338" s="42" t="s">
        <v>607</v>
      </c>
      <c r="CON338" s="42" t="s">
        <v>607</v>
      </c>
      <c r="COO338" s="42" t="s">
        <v>607</v>
      </c>
      <c r="COP338" s="42" t="s">
        <v>607</v>
      </c>
      <c r="COQ338" s="42" t="s">
        <v>607</v>
      </c>
      <c r="COR338" s="42" t="s">
        <v>607</v>
      </c>
      <c r="COS338" s="42" t="s">
        <v>607</v>
      </c>
      <c r="COT338" s="42" t="s">
        <v>607</v>
      </c>
      <c r="COU338" s="42" t="s">
        <v>607</v>
      </c>
      <c r="COV338" s="42" t="s">
        <v>607</v>
      </c>
      <c r="COW338" s="42" t="s">
        <v>607</v>
      </c>
      <c r="COX338" s="42" t="s">
        <v>607</v>
      </c>
      <c r="COY338" s="42" t="s">
        <v>607</v>
      </c>
      <c r="COZ338" s="42" t="s">
        <v>607</v>
      </c>
      <c r="CPA338" s="42" t="s">
        <v>607</v>
      </c>
      <c r="CPB338" s="42" t="s">
        <v>607</v>
      </c>
      <c r="CPC338" s="42" t="s">
        <v>607</v>
      </c>
      <c r="CPD338" s="42" t="s">
        <v>607</v>
      </c>
      <c r="CPE338" s="42" t="s">
        <v>607</v>
      </c>
      <c r="CPF338" s="42" t="s">
        <v>607</v>
      </c>
      <c r="CPG338" s="42" t="s">
        <v>607</v>
      </c>
      <c r="CPH338" s="42" t="s">
        <v>607</v>
      </c>
      <c r="CPI338" s="42" t="s">
        <v>607</v>
      </c>
      <c r="CPJ338" s="42" t="s">
        <v>607</v>
      </c>
      <c r="CPK338" s="42" t="s">
        <v>607</v>
      </c>
      <c r="CPL338" s="42" t="s">
        <v>607</v>
      </c>
      <c r="CPM338" s="42" t="s">
        <v>607</v>
      </c>
      <c r="CPN338" s="42" t="s">
        <v>607</v>
      </c>
      <c r="CPO338" s="42" t="s">
        <v>607</v>
      </c>
      <c r="CPP338" s="42" t="s">
        <v>607</v>
      </c>
      <c r="CPQ338" s="42" t="s">
        <v>607</v>
      </c>
      <c r="CPR338" s="42" t="s">
        <v>607</v>
      </c>
      <c r="CPS338" s="42" t="s">
        <v>607</v>
      </c>
      <c r="CPT338" s="42" t="s">
        <v>607</v>
      </c>
      <c r="CPU338" s="42" t="s">
        <v>607</v>
      </c>
      <c r="CPV338" s="42" t="s">
        <v>607</v>
      </c>
      <c r="CPW338" s="42" t="s">
        <v>607</v>
      </c>
      <c r="CPX338" s="42" t="s">
        <v>607</v>
      </c>
      <c r="CPY338" s="42" t="s">
        <v>607</v>
      </c>
      <c r="CPZ338" s="42" t="s">
        <v>607</v>
      </c>
      <c r="CQA338" s="42" t="s">
        <v>607</v>
      </c>
      <c r="CQB338" s="42" t="s">
        <v>607</v>
      </c>
      <c r="CQC338" s="42" t="s">
        <v>607</v>
      </c>
      <c r="CQD338" s="42" t="s">
        <v>607</v>
      </c>
      <c r="CQE338" s="42" t="s">
        <v>607</v>
      </c>
      <c r="CQF338" s="42" t="s">
        <v>607</v>
      </c>
      <c r="CQG338" s="42" t="s">
        <v>607</v>
      </c>
      <c r="CQH338" s="42" t="s">
        <v>607</v>
      </c>
      <c r="CQI338" s="42" t="s">
        <v>607</v>
      </c>
      <c r="CQJ338" s="42" t="s">
        <v>607</v>
      </c>
      <c r="CQK338" s="42" t="s">
        <v>607</v>
      </c>
      <c r="CQL338" s="42" t="s">
        <v>607</v>
      </c>
      <c r="CQM338" s="42" t="s">
        <v>607</v>
      </c>
      <c r="CQN338" s="42" t="s">
        <v>607</v>
      </c>
      <c r="CQO338" s="42" t="s">
        <v>607</v>
      </c>
      <c r="CQP338" s="42" t="s">
        <v>607</v>
      </c>
      <c r="CQQ338" s="42" t="s">
        <v>607</v>
      </c>
      <c r="CQR338" s="42" t="s">
        <v>607</v>
      </c>
      <c r="CQS338" s="42" t="s">
        <v>607</v>
      </c>
      <c r="CQT338" s="42" t="s">
        <v>607</v>
      </c>
      <c r="CQU338" s="42" t="s">
        <v>607</v>
      </c>
      <c r="CQV338" s="42" t="s">
        <v>607</v>
      </c>
      <c r="CQW338" s="42" t="s">
        <v>607</v>
      </c>
      <c r="CQX338" s="42" t="s">
        <v>607</v>
      </c>
      <c r="CQY338" s="42" t="s">
        <v>607</v>
      </c>
      <c r="CQZ338" s="42" t="s">
        <v>607</v>
      </c>
      <c r="CRA338" s="42" t="s">
        <v>607</v>
      </c>
      <c r="CRB338" s="42" t="s">
        <v>607</v>
      </c>
      <c r="CRC338" s="42" t="s">
        <v>607</v>
      </c>
      <c r="CRD338" s="42" t="s">
        <v>607</v>
      </c>
      <c r="CRE338" s="42" t="s">
        <v>607</v>
      </c>
      <c r="CRF338" s="42" t="s">
        <v>607</v>
      </c>
      <c r="CRG338" s="42" t="s">
        <v>607</v>
      </c>
      <c r="CRH338" s="42" t="s">
        <v>607</v>
      </c>
      <c r="CRI338" s="42" t="s">
        <v>607</v>
      </c>
      <c r="CRJ338" s="42" t="s">
        <v>607</v>
      </c>
      <c r="CRK338" s="42" t="s">
        <v>607</v>
      </c>
      <c r="CRL338" s="42" t="s">
        <v>607</v>
      </c>
      <c r="CRM338" s="42" t="s">
        <v>607</v>
      </c>
      <c r="CRN338" s="42" t="s">
        <v>607</v>
      </c>
      <c r="CRO338" s="42" t="s">
        <v>607</v>
      </c>
      <c r="CRP338" s="42" t="s">
        <v>607</v>
      </c>
      <c r="CRQ338" s="42" t="s">
        <v>607</v>
      </c>
      <c r="CRR338" s="42" t="s">
        <v>607</v>
      </c>
      <c r="CRS338" s="42" t="s">
        <v>607</v>
      </c>
      <c r="CRT338" s="42" t="s">
        <v>607</v>
      </c>
      <c r="CRU338" s="42" t="s">
        <v>607</v>
      </c>
      <c r="CRV338" s="42" t="s">
        <v>607</v>
      </c>
      <c r="CRW338" s="42" t="s">
        <v>607</v>
      </c>
      <c r="CRX338" s="42" t="s">
        <v>607</v>
      </c>
      <c r="CRY338" s="42" t="s">
        <v>607</v>
      </c>
      <c r="CRZ338" s="42" t="s">
        <v>607</v>
      </c>
      <c r="CSA338" s="42" t="s">
        <v>607</v>
      </c>
      <c r="CSB338" s="42" t="s">
        <v>607</v>
      </c>
      <c r="CSC338" s="42" t="s">
        <v>607</v>
      </c>
      <c r="CSD338" s="42" t="s">
        <v>607</v>
      </c>
      <c r="CSE338" s="42" t="s">
        <v>607</v>
      </c>
      <c r="CSF338" s="42" t="s">
        <v>607</v>
      </c>
      <c r="CSG338" s="42" t="s">
        <v>607</v>
      </c>
      <c r="CSH338" s="42" t="s">
        <v>607</v>
      </c>
      <c r="CSI338" s="42" t="s">
        <v>607</v>
      </c>
      <c r="CSJ338" s="42" t="s">
        <v>607</v>
      </c>
      <c r="CSK338" s="42" t="s">
        <v>607</v>
      </c>
      <c r="CSL338" s="42" t="s">
        <v>607</v>
      </c>
      <c r="CSM338" s="42" t="s">
        <v>607</v>
      </c>
      <c r="CSN338" s="42" t="s">
        <v>607</v>
      </c>
      <c r="CSO338" s="42" t="s">
        <v>607</v>
      </c>
      <c r="CSP338" s="42" t="s">
        <v>607</v>
      </c>
      <c r="CSQ338" s="42" t="s">
        <v>607</v>
      </c>
      <c r="CSR338" s="42" t="s">
        <v>607</v>
      </c>
      <c r="CSS338" s="42" t="s">
        <v>607</v>
      </c>
      <c r="CST338" s="42" t="s">
        <v>607</v>
      </c>
      <c r="CSU338" s="42" t="s">
        <v>607</v>
      </c>
      <c r="CSV338" s="42" t="s">
        <v>607</v>
      </c>
      <c r="CSW338" s="42" t="s">
        <v>607</v>
      </c>
      <c r="CSX338" s="42" t="s">
        <v>607</v>
      </c>
      <c r="CSY338" s="42" t="s">
        <v>607</v>
      </c>
      <c r="CSZ338" s="42" t="s">
        <v>607</v>
      </c>
      <c r="CTA338" s="42" t="s">
        <v>607</v>
      </c>
      <c r="CTB338" s="42" t="s">
        <v>607</v>
      </c>
      <c r="CTC338" s="42" t="s">
        <v>607</v>
      </c>
      <c r="CTD338" s="42" t="s">
        <v>607</v>
      </c>
      <c r="CTE338" s="42" t="s">
        <v>607</v>
      </c>
      <c r="CTF338" s="42" t="s">
        <v>607</v>
      </c>
      <c r="CTG338" s="42" t="s">
        <v>607</v>
      </c>
      <c r="CTH338" s="42" t="s">
        <v>607</v>
      </c>
      <c r="CTI338" s="42" t="s">
        <v>607</v>
      </c>
      <c r="CTJ338" s="42" t="s">
        <v>607</v>
      </c>
      <c r="CTK338" s="42" t="s">
        <v>607</v>
      </c>
      <c r="CTL338" s="42" t="s">
        <v>607</v>
      </c>
      <c r="CTM338" s="42" t="s">
        <v>607</v>
      </c>
      <c r="CTN338" s="42" t="s">
        <v>607</v>
      </c>
      <c r="CTO338" s="42" t="s">
        <v>607</v>
      </c>
      <c r="CTP338" s="42" t="s">
        <v>607</v>
      </c>
      <c r="CTQ338" s="42" t="s">
        <v>607</v>
      </c>
      <c r="CTR338" s="42" t="s">
        <v>607</v>
      </c>
      <c r="CTS338" s="42" t="s">
        <v>607</v>
      </c>
      <c r="CTT338" s="42" t="s">
        <v>607</v>
      </c>
      <c r="CTU338" s="42" t="s">
        <v>607</v>
      </c>
      <c r="CTV338" s="42" t="s">
        <v>607</v>
      </c>
      <c r="CTW338" s="42" t="s">
        <v>607</v>
      </c>
      <c r="CTX338" s="42" t="s">
        <v>607</v>
      </c>
      <c r="CTY338" s="42" t="s">
        <v>607</v>
      </c>
      <c r="CTZ338" s="42" t="s">
        <v>607</v>
      </c>
      <c r="CUA338" s="42" t="s">
        <v>607</v>
      </c>
      <c r="CUB338" s="42" t="s">
        <v>607</v>
      </c>
      <c r="CUC338" s="42" t="s">
        <v>607</v>
      </c>
      <c r="CUD338" s="42" t="s">
        <v>607</v>
      </c>
      <c r="CUE338" s="42" t="s">
        <v>607</v>
      </c>
      <c r="CUF338" s="42" t="s">
        <v>607</v>
      </c>
      <c r="CUG338" s="42" t="s">
        <v>607</v>
      </c>
      <c r="CUH338" s="42" t="s">
        <v>607</v>
      </c>
      <c r="CUI338" s="42" t="s">
        <v>607</v>
      </c>
      <c r="CUJ338" s="42" t="s">
        <v>607</v>
      </c>
      <c r="CUK338" s="42" t="s">
        <v>607</v>
      </c>
      <c r="CUL338" s="42" t="s">
        <v>607</v>
      </c>
      <c r="CUM338" s="42" t="s">
        <v>607</v>
      </c>
      <c r="CUN338" s="42" t="s">
        <v>607</v>
      </c>
      <c r="CUO338" s="42" t="s">
        <v>607</v>
      </c>
      <c r="CUP338" s="42" t="s">
        <v>607</v>
      </c>
      <c r="CUQ338" s="42" t="s">
        <v>607</v>
      </c>
      <c r="CUR338" s="42" t="s">
        <v>607</v>
      </c>
      <c r="CUS338" s="42" t="s">
        <v>607</v>
      </c>
      <c r="CUT338" s="42" t="s">
        <v>607</v>
      </c>
      <c r="CUU338" s="42" t="s">
        <v>607</v>
      </c>
      <c r="CUV338" s="42" t="s">
        <v>607</v>
      </c>
      <c r="CUW338" s="42" t="s">
        <v>607</v>
      </c>
      <c r="CUX338" s="42" t="s">
        <v>607</v>
      </c>
      <c r="CUY338" s="42" t="s">
        <v>607</v>
      </c>
      <c r="CUZ338" s="42" t="s">
        <v>607</v>
      </c>
      <c r="CVA338" s="42" t="s">
        <v>607</v>
      </c>
      <c r="CVB338" s="42" t="s">
        <v>607</v>
      </c>
      <c r="CVC338" s="42" t="s">
        <v>607</v>
      </c>
      <c r="CVD338" s="42" t="s">
        <v>607</v>
      </c>
      <c r="CVE338" s="42" t="s">
        <v>607</v>
      </c>
      <c r="CVF338" s="42" t="s">
        <v>607</v>
      </c>
      <c r="CVG338" s="42" t="s">
        <v>607</v>
      </c>
      <c r="CVH338" s="42" t="s">
        <v>607</v>
      </c>
      <c r="CVI338" s="42" t="s">
        <v>607</v>
      </c>
      <c r="CVJ338" s="42" t="s">
        <v>607</v>
      </c>
      <c r="CVK338" s="42" t="s">
        <v>607</v>
      </c>
      <c r="CVL338" s="42" t="s">
        <v>607</v>
      </c>
      <c r="CVM338" s="42" t="s">
        <v>607</v>
      </c>
      <c r="CVN338" s="42" t="s">
        <v>607</v>
      </c>
      <c r="CVO338" s="42" t="s">
        <v>607</v>
      </c>
      <c r="CVP338" s="42" t="s">
        <v>607</v>
      </c>
      <c r="CVQ338" s="42" t="s">
        <v>607</v>
      </c>
      <c r="CVR338" s="42" t="s">
        <v>607</v>
      </c>
      <c r="CVS338" s="42" t="s">
        <v>607</v>
      </c>
      <c r="CVT338" s="42" t="s">
        <v>607</v>
      </c>
      <c r="CVU338" s="42" t="s">
        <v>607</v>
      </c>
      <c r="CVV338" s="42" t="s">
        <v>607</v>
      </c>
      <c r="CVW338" s="42" t="s">
        <v>607</v>
      </c>
      <c r="CVX338" s="42" t="s">
        <v>607</v>
      </c>
      <c r="CVY338" s="42" t="s">
        <v>607</v>
      </c>
      <c r="CVZ338" s="42" t="s">
        <v>607</v>
      </c>
      <c r="CWA338" s="42" t="s">
        <v>607</v>
      </c>
      <c r="CWB338" s="42" t="s">
        <v>607</v>
      </c>
      <c r="CWC338" s="42" t="s">
        <v>607</v>
      </c>
      <c r="CWD338" s="42" t="s">
        <v>607</v>
      </c>
      <c r="CWE338" s="42" t="s">
        <v>607</v>
      </c>
      <c r="CWF338" s="42" t="s">
        <v>607</v>
      </c>
      <c r="CWG338" s="42" t="s">
        <v>607</v>
      </c>
      <c r="CWH338" s="42" t="s">
        <v>607</v>
      </c>
      <c r="CWI338" s="42" t="s">
        <v>607</v>
      </c>
      <c r="CWJ338" s="42" t="s">
        <v>607</v>
      </c>
      <c r="CWK338" s="42" t="s">
        <v>607</v>
      </c>
      <c r="CWL338" s="42" t="s">
        <v>607</v>
      </c>
      <c r="CWM338" s="42" t="s">
        <v>607</v>
      </c>
      <c r="CWN338" s="42" t="s">
        <v>607</v>
      </c>
      <c r="CWO338" s="42" t="s">
        <v>607</v>
      </c>
      <c r="CWP338" s="42" t="s">
        <v>607</v>
      </c>
      <c r="CWQ338" s="42" t="s">
        <v>607</v>
      </c>
      <c r="CWR338" s="42" t="s">
        <v>607</v>
      </c>
      <c r="CWS338" s="42" t="s">
        <v>607</v>
      </c>
      <c r="CWT338" s="42" t="s">
        <v>607</v>
      </c>
      <c r="CWU338" s="42" t="s">
        <v>607</v>
      </c>
      <c r="CWV338" s="42" t="s">
        <v>607</v>
      </c>
      <c r="CWW338" s="42" t="s">
        <v>607</v>
      </c>
      <c r="CWX338" s="42" t="s">
        <v>607</v>
      </c>
      <c r="CWY338" s="42" t="s">
        <v>607</v>
      </c>
      <c r="CWZ338" s="42" t="s">
        <v>607</v>
      </c>
      <c r="CXA338" s="42" t="s">
        <v>607</v>
      </c>
      <c r="CXB338" s="42" t="s">
        <v>607</v>
      </c>
      <c r="CXC338" s="42" t="s">
        <v>607</v>
      </c>
      <c r="CXD338" s="42" t="s">
        <v>607</v>
      </c>
      <c r="CXE338" s="42" t="s">
        <v>607</v>
      </c>
      <c r="CXF338" s="42" t="s">
        <v>607</v>
      </c>
      <c r="CXG338" s="42" t="s">
        <v>607</v>
      </c>
      <c r="CXH338" s="42" t="s">
        <v>607</v>
      </c>
      <c r="CXI338" s="42" t="s">
        <v>607</v>
      </c>
      <c r="CXJ338" s="42" t="s">
        <v>607</v>
      </c>
      <c r="CXK338" s="42" t="s">
        <v>607</v>
      </c>
      <c r="CXL338" s="42" t="s">
        <v>607</v>
      </c>
      <c r="CXM338" s="42" t="s">
        <v>607</v>
      </c>
      <c r="CXN338" s="42" t="s">
        <v>607</v>
      </c>
      <c r="CXO338" s="42" t="s">
        <v>607</v>
      </c>
      <c r="CXP338" s="42" t="s">
        <v>607</v>
      </c>
      <c r="CXQ338" s="42" t="s">
        <v>607</v>
      </c>
      <c r="CXR338" s="42" t="s">
        <v>607</v>
      </c>
      <c r="CXS338" s="42" t="s">
        <v>607</v>
      </c>
      <c r="CXT338" s="42" t="s">
        <v>607</v>
      </c>
      <c r="CXU338" s="42" t="s">
        <v>607</v>
      </c>
      <c r="CXV338" s="42" t="s">
        <v>607</v>
      </c>
      <c r="CXW338" s="42" t="s">
        <v>607</v>
      </c>
      <c r="CXX338" s="42" t="s">
        <v>607</v>
      </c>
      <c r="CXY338" s="42" t="s">
        <v>607</v>
      </c>
      <c r="CXZ338" s="42" t="s">
        <v>607</v>
      </c>
      <c r="CYA338" s="42" t="s">
        <v>607</v>
      </c>
      <c r="CYB338" s="42" t="s">
        <v>607</v>
      </c>
      <c r="CYC338" s="42" t="s">
        <v>607</v>
      </c>
      <c r="CYD338" s="42" t="s">
        <v>607</v>
      </c>
      <c r="CYE338" s="42" t="s">
        <v>607</v>
      </c>
      <c r="CYF338" s="42" t="s">
        <v>607</v>
      </c>
      <c r="CYG338" s="42" t="s">
        <v>607</v>
      </c>
      <c r="CYH338" s="42" t="s">
        <v>607</v>
      </c>
      <c r="CYI338" s="42" t="s">
        <v>607</v>
      </c>
      <c r="CYJ338" s="42" t="s">
        <v>607</v>
      </c>
      <c r="CYK338" s="42" t="s">
        <v>607</v>
      </c>
      <c r="CYL338" s="42" t="s">
        <v>607</v>
      </c>
      <c r="CYM338" s="42" t="s">
        <v>607</v>
      </c>
      <c r="CYN338" s="42" t="s">
        <v>607</v>
      </c>
      <c r="CYO338" s="42" t="s">
        <v>607</v>
      </c>
      <c r="CYP338" s="42" t="s">
        <v>607</v>
      </c>
      <c r="CYQ338" s="42" t="s">
        <v>607</v>
      </c>
      <c r="CYR338" s="42" t="s">
        <v>607</v>
      </c>
      <c r="CYS338" s="42" t="s">
        <v>607</v>
      </c>
      <c r="CYT338" s="42" t="s">
        <v>607</v>
      </c>
      <c r="CYU338" s="42" t="s">
        <v>607</v>
      </c>
      <c r="CYV338" s="42" t="s">
        <v>607</v>
      </c>
      <c r="CYW338" s="42" t="s">
        <v>607</v>
      </c>
      <c r="CYX338" s="42" t="s">
        <v>607</v>
      </c>
      <c r="CYY338" s="42" t="s">
        <v>607</v>
      </c>
      <c r="CYZ338" s="42" t="s">
        <v>607</v>
      </c>
      <c r="CZA338" s="42" t="s">
        <v>607</v>
      </c>
      <c r="CZB338" s="42" t="s">
        <v>607</v>
      </c>
      <c r="CZC338" s="42" t="s">
        <v>607</v>
      </c>
      <c r="CZD338" s="42" t="s">
        <v>607</v>
      </c>
      <c r="CZE338" s="42" t="s">
        <v>607</v>
      </c>
      <c r="CZF338" s="42" t="s">
        <v>607</v>
      </c>
      <c r="CZG338" s="42" t="s">
        <v>607</v>
      </c>
      <c r="CZH338" s="42" t="s">
        <v>607</v>
      </c>
      <c r="CZI338" s="42" t="s">
        <v>607</v>
      </c>
      <c r="CZJ338" s="42" t="s">
        <v>607</v>
      </c>
      <c r="CZK338" s="42" t="s">
        <v>607</v>
      </c>
      <c r="CZL338" s="42" t="s">
        <v>607</v>
      </c>
      <c r="CZM338" s="42" t="s">
        <v>607</v>
      </c>
      <c r="CZN338" s="42" t="s">
        <v>607</v>
      </c>
      <c r="CZO338" s="42" t="s">
        <v>607</v>
      </c>
      <c r="CZP338" s="42" t="s">
        <v>607</v>
      </c>
      <c r="CZQ338" s="42" t="s">
        <v>607</v>
      </c>
      <c r="CZR338" s="42" t="s">
        <v>607</v>
      </c>
      <c r="CZS338" s="42" t="s">
        <v>607</v>
      </c>
      <c r="CZT338" s="42" t="s">
        <v>607</v>
      </c>
      <c r="CZU338" s="42" t="s">
        <v>607</v>
      </c>
      <c r="CZV338" s="42" t="s">
        <v>607</v>
      </c>
      <c r="CZW338" s="42" t="s">
        <v>607</v>
      </c>
      <c r="CZX338" s="42" t="s">
        <v>607</v>
      </c>
      <c r="CZY338" s="42" t="s">
        <v>607</v>
      </c>
      <c r="CZZ338" s="42" t="s">
        <v>607</v>
      </c>
      <c r="DAA338" s="42" t="s">
        <v>607</v>
      </c>
      <c r="DAB338" s="42" t="s">
        <v>607</v>
      </c>
      <c r="DAC338" s="42" t="s">
        <v>607</v>
      </c>
      <c r="DAD338" s="42" t="s">
        <v>607</v>
      </c>
      <c r="DAE338" s="42" t="s">
        <v>607</v>
      </c>
      <c r="DAF338" s="42" t="s">
        <v>607</v>
      </c>
      <c r="DAG338" s="42" t="s">
        <v>607</v>
      </c>
      <c r="DAH338" s="42" t="s">
        <v>607</v>
      </c>
      <c r="DAI338" s="42" t="s">
        <v>607</v>
      </c>
      <c r="DAJ338" s="42" t="s">
        <v>607</v>
      </c>
      <c r="DAK338" s="42" t="s">
        <v>607</v>
      </c>
      <c r="DAL338" s="42" t="s">
        <v>607</v>
      </c>
      <c r="DAM338" s="42" t="s">
        <v>607</v>
      </c>
      <c r="DAN338" s="42" t="s">
        <v>607</v>
      </c>
      <c r="DAO338" s="42" t="s">
        <v>607</v>
      </c>
      <c r="DAP338" s="42" t="s">
        <v>607</v>
      </c>
      <c r="DAQ338" s="42" t="s">
        <v>607</v>
      </c>
      <c r="DAR338" s="42" t="s">
        <v>607</v>
      </c>
      <c r="DAS338" s="42" t="s">
        <v>607</v>
      </c>
      <c r="DAT338" s="42" t="s">
        <v>607</v>
      </c>
      <c r="DAU338" s="42" t="s">
        <v>607</v>
      </c>
      <c r="DAV338" s="42" t="s">
        <v>607</v>
      </c>
      <c r="DAW338" s="42" t="s">
        <v>607</v>
      </c>
      <c r="DAX338" s="42" t="s">
        <v>607</v>
      </c>
      <c r="DAY338" s="42" t="s">
        <v>607</v>
      </c>
      <c r="DAZ338" s="42" t="s">
        <v>607</v>
      </c>
      <c r="DBA338" s="42" t="s">
        <v>607</v>
      </c>
      <c r="DBB338" s="42" t="s">
        <v>607</v>
      </c>
      <c r="DBC338" s="42" t="s">
        <v>607</v>
      </c>
      <c r="DBD338" s="42" t="s">
        <v>607</v>
      </c>
      <c r="DBE338" s="42" t="s">
        <v>607</v>
      </c>
      <c r="DBF338" s="42" t="s">
        <v>607</v>
      </c>
      <c r="DBG338" s="42" t="s">
        <v>607</v>
      </c>
      <c r="DBH338" s="42" t="s">
        <v>607</v>
      </c>
      <c r="DBI338" s="42" t="s">
        <v>607</v>
      </c>
      <c r="DBJ338" s="42" t="s">
        <v>607</v>
      </c>
      <c r="DBK338" s="42" t="s">
        <v>607</v>
      </c>
      <c r="DBL338" s="42" t="s">
        <v>607</v>
      </c>
      <c r="DBM338" s="42" t="s">
        <v>607</v>
      </c>
      <c r="DBN338" s="42" t="s">
        <v>607</v>
      </c>
      <c r="DBO338" s="42" t="s">
        <v>607</v>
      </c>
      <c r="DBP338" s="42" t="s">
        <v>607</v>
      </c>
      <c r="DBQ338" s="42" t="s">
        <v>607</v>
      </c>
      <c r="DBR338" s="42" t="s">
        <v>607</v>
      </c>
      <c r="DBS338" s="42" t="s">
        <v>607</v>
      </c>
      <c r="DBT338" s="42" t="s">
        <v>607</v>
      </c>
      <c r="DBU338" s="42" t="s">
        <v>607</v>
      </c>
      <c r="DBV338" s="42" t="s">
        <v>607</v>
      </c>
      <c r="DBW338" s="42" t="s">
        <v>607</v>
      </c>
      <c r="DBX338" s="42" t="s">
        <v>607</v>
      </c>
      <c r="DBY338" s="42" t="s">
        <v>607</v>
      </c>
      <c r="DBZ338" s="42" t="s">
        <v>607</v>
      </c>
      <c r="DCA338" s="42" t="s">
        <v>607</v>
      </c>
      <c r="DCB338" s="42" t="s">
        <v>607</v>
      </c>
      <c r="DCC338" s="42" t="s">
        <v>607</v>
      </c>
      <c r="DCD338" s="42" t="s">
        <v>607</v>
      </c>
      <c r="DCE338" s="42" t="s">
        <v>607</v>
      </c>
      <c r="DCF338" s="42" t="s">
        <v>607</v>
      </c>
      <c r="DCG338" s="42" t="s">
        <v>607</v>
      </c>
      <c r="DCH338" s="42" t="s">
        <v>607</v>
      </c>
      <c r="DCI338" s="42" t="s">
        <v>607</v>
      </c>
      <c r="DCJ338" s="42" t="s">
        <v>607</v>
      </c>
      <c r="DCK338" s="42" t="s">
        <v>607</v>
      </c>
      <c r="DCL338" s="42" t="s">
        <v>607</v>
      </c>
      <c r="DCM338" s="42" t="s">
        <v>607</v>
      </c>
      <c r="DCN338" s="42" t="s">
        <v>607</v>
      </c>
      <c r="DCO338" s="42" t="s">
        <v>607</v>
      </c>
      <c r="DCP338" s="42" t="s">
        <v>607</v>
      </c>
      <c r="DCQ338" s="42" t="s">
        <v>607</v>
      </c>
      <c r="DCR338" s="42" t="s">
        <v>607</v>
      </c>
      <c r="DCS338" s="42" t="s">
        <v>607</v>
      </c>
      <c r="DCT338" s="42" t="s">
        <v>607</v>
      </c>
      <c r="DCU338" s="42" t="s">
        <v>607</v>
      </c>
      <c r="DCV338" s="42" t="s">
        <v>607</v>
      </c>
      <c r="DCW338" s="42" t="s">
        <v>607</v>
      </c>
      <c r="DCX338" s="42" t="s">
        <v>607</v>
      </c>
      <c r="DCY338" s="42" t="s">
        <v>607</v>
      </c>
      <c r="DCZ338" s="42" t="s">
        <v>607</v>
      </c>
      <c r="DDA338" s="42" t="s">
        <v>607</v>
      </c>
      <c r="DDB338" s="42" t="s">
        <v>607</v>
      </c>
      <c r="DDC338" s="42" t="s">
        <v>607</v>
      </c>
      <c r="DDD338" s="42" t="s">
        <v>607</v>
      </c>
      <c r="DDE338" s="42" t="s">
        <v>607</v>
      </c>
      <c r="DDF338" s="42" t="s">
        <v>607</v>
      </c>
      <c r="DDG338" s="42" t="s">
        <v>607</v>
      </c>
      <c r="DDH338" s="42" t="s">
        <v>607</v>
      </c>
      <c r="DDI338" s="42" t="s">
        <v>607</v>
      </c>
      <c r="DDJ338" s="42" t="s">
        <v>607</v>
      </c>
      <c r="DDK338" s="42" t="s">
        <v>607</v>
      </c>
      <c r="DDL338" s="42" t="s">
        <v>607</v>
      </c>
      <c r="DDM338" s="42" t="s">
        <v>607</v>
      </c>
      <c r="DDN338" s="42" t="s">
        <v>607</v>
      </c>
      <c r="DDO338" s="42" t="s">
        <v>607</v>
      </c>
      <c r="DDP338" s="42" t="s">
        <v>607</v>
      </c>
      <c r="DDQ338" s="42" t="s">
        <v>607</v>
      </c>
      <c r="DDR338" s="42" t="s">
        <v>607</v>
      </c>
      <c r="DDS338" s="42" t="s">
        <v>607</v>
      </c>
      <c r="DDT338" s="42" t="s">
        <v>607</v>
      </c>
      <c r="DDU338" s="42" t="s">
        <v>607</v>
      </c>
      <c r="DDV338" s="42" t="s">
        <v>607</v>
      </c>
      <c r="DDW338" s="42" t="s">
        <v>607</v>
      </c>
      <c r="DDX338" s="42" t="s">
        <v>607</v>
      </c>
      <c r="DDY338" s="42" t="s">
        <v>607</v>
      </c>
      <c r="DDZ338" s="42" t="s">
        <v>607</v>
      </c>
      <c r="DEA338" s="42" t="s">
        <v>607</v>
      </c>
      <c r="DEB338" s="42" t="s">
        <v>607</v>
      </c>
      <c r="DEC338" s="42" t="s">
        <v>607</v>
      </c>
      <c r="DED338" s="42" t="s">
        <v>607</v>
      </c>
      <c r="DEE338" s="42" t="s">
        <v>607</v>
      </c>
      <c r="DEF338" s="42" t="s">
        <v>607</v>
      </c>
      <c r="DEG338" s="42" t="s">
        <v>607</v>
      </c>
      <c r="DEH338" s="42" t="s">
        <v>607</v>
      </c>
      <c r="DEI338" s="42" t="s">
        <v>607</v>
      </c>
      <c r="DEJ338" s="42" t="s">
        <v>607</v>
      </c>
      <c r="DEK338" s="42" t="s">
        <v>607</v>
      </c>
      <c r="DEL338" s="42" t="s">
        <v>607</v>
      </c>
      <c r="DEM338" s="42" t="s">
        <v>607</v>
      </c>
      <c r="DEN338" s="42" t="s">
        <v>607</v>
      </c>
      <c r="DEO338" s="42" t="s">
        <v>607</v>
      </c>
      <c r="DEP338" s="42" t="s">
        <v>607</v>
      </c>
      <c r="DEQ338" s="42" t="s">
        <v>607</v>
      </c>
      <c r="DER338" s="42" t="s">
        <v>607</v>
      </c>
      <c r="DES338" s="42" t="s">
        <v>607</v>
      </c>
      <c r="DET338" s="42" t="s">
        <v>607</v>
      </c>
      <c r="DEU338" s="42" t="s">
        <v>607</v>
      </c>
      <c r="DEV338" s="42" t="s">
        <v>607</v>
      </c>
      <c r="DEW338" s="42" t="s">
        <v>607</v>
      </c>
      <c r="DEX338" s="42" t="s">
        <v>607</v>
      </c>
      <c r="DEY338" s="42" t="s">
        <v>607</v>
      </c>
      <c r="DEZ338" s="42" t="s">
        <v>607</v>
      </c>
      <c r="DFA338" s="42" t="s">
        <v>607</v>
      </c>
      <c r="DFB338" s="42" t="s">
        <v>607</v>
      </c>
      <c r="DFC338" s="42" t="s">
        <v>607</v>
      </c>
      <c r="DFD338" s="42" t="s">
        <v>607</v>
      </c>
      <c r="DFE338" s="42" t="s">
        <v>607</v>
      </c>
      <c r="DFF338" s="42" t="s">
        <v>607</v>
      </c>
      <c r="DFG338" s="42" t="s">
        <v>607</v>
      </c>
      <c r="DFH338" s="42" t="s">
        <v>607</v>
      </c>
      <c r="DFI338" s="42" t="s">
        <v>607</v>
      </c>
      <c r="DFJ338" s="42" t="s">
        <v>607</v>
      </c>
      <c r="DFK338" s="42" t="s">
        <v>607</v>
      </c>
      <c r="DFL338" s="42" t="s">
        <v>607</v>
      </c>
      <c r="DFM338" s="42" t="s">
        <v>607</v>
      </c>
      <c r="DFN338" s="42" t="s">
        <v>607</v>
      </c>
      <c r="DFO338" s="42" t="s">
        <v>607</v>
      </c>
      <c r="DFP338" s="42" t="s">
        <v>607</v>
      </c>
      <c r="DFQ338" s="42" t="s">
        <v>607</v>
      </c>
      <c r="DFR338" s="42" t="s">
        <v>607</v>
      </c>
      <c r="DFS338" s="42" t="s">
        <v>607</v>
      </c>
      <c r="DFT338" s="42" t="s">
        <v>607</v>
      </c>
      <c r="DFU338" s="42" t="s">
        <v>607</v>
      </c>
      <c r="DFV338" s="42" t="s">
        <v>607</v>
      </c>
      <c r="DFW338" s="42" t="s">
        <v>607</v>
      </c>
      <c r="DFX338" s="42" t="s">
        <v>607</v>
      </c>
      <c r="DFY338" s="42" t="s">
        <v>607</v>
      </c>
      <c r="DFZ338" s="42" t="s">
        <v>607</v>
      </c>
      <c r="DGA338" s="42" t="s">
        <v>607</v>
      </c>
      <c r="DGB338" s="42" t="s">
        <v>607</v>
      </c>
      <c r="DGC338" s="42" t="s">
        <v>607</v>
      </c>
      <c r="DGD338" s="42" t="s">
        <v>607</v>
      </c>
      <c r="DGE338" s="42" t="s">
        <v>607</v>
      </c>
      <c r="DGF338" s="42" t="s">
        <v>607</v>
      </c>
      <c r="DGG338" s="42" t="s">
        <v>607</v>
      </c>
      <c r="DGH338" s="42" t="s">
        <v>607</v>
      </c>
      <c r="DGI338" s="42" t="s">
        <v>607</v>
      </c>
      <c r="DGJ338" s="42" t="s">
        <v>607</v>
      </c>
      <c r="DGK338" s="42" t="s">
        <v>607</v>
      </c>
      <c r="DGL338" s="42" t="s">
        <v>607</v>
      </c>
      <c r="DGM338" s="42" t="s">
        <v>607</v>
      </c>
      <c r="DGN338" s="42" t="s">
        <v>607</v>
      </c>
      <c r="DGO338" s="42" t="s">
        <v>607</v>
      </c>
      <c r="DGP338" s="42" t="s">
        <v>607</v>
      </c>
      <c r="DGQ338" s="42" t="s">
        <v>607</v>
      </c>
      <c r="DGR338" s="42" t="s">
        <v>607</v>
      </c>
      <c r="DGS338" s="42" t="s">
        <v>607</v>
      </c>
      <c r="DGT338" s="42" t="s">
        <v>607</v>
      </c>
      <c r="DGU338" s="42" t="s">
        <v>607</v>
      </c>
      <c r="DGV338" s="42" t="s">
        <v>607</v>
      </c>
      <c r="DGW338" s="42" t="s">
        <v>607</v>
      </c>
      <c r="DGX338" s="42" t="s">
        <v>607</v>
      </c>
      <c r="DGY338" s="42" t="s">
        <v>607</v>
      </c>
      <c r="DGZ338" s="42" t="s">
        <v>607</v>
      </c>
      <c r="DHA338" s="42" t="s">
        <v>607</v>
      </c>
      <c r="DHB338" s="42" t="s">
        <v>607</v>
      </c>
      <c r="DHC338" s="42" t="s">
        <v>607</v>
      </c>
      <c r="DHD338" s="42" t="s">
        <v>607</v>
      </c>
      <c r="DHE338" s="42" t="s">
        <v>607</v>
      </c>
      <c r="DHF338" s="42" t="s">
        <v>607</v>
      </c>
      <c r="DHG338" s="42" t="s">
        <v>607</v>
      </c>
      <c r="DHH338" s="42" t="s">
        <v>607</v>
      </c>
      <c r="DHI338" s="42" t="s">
        <v>607</v>
      </c>
      <c r="DHJ338" s="42" t="s">
        <v>607</v>
      </c>
      <c r="DHK338" s="42" t="s">
        <v>607</v>
      </c>
      <c r="DHL338" s="42" t="s">
        <v>607</v>
      </c>
      <c r="DHM338" s="42" t="s">
        <v>607</v>
      </c>
      <c r="DHN338" s="42" t="s">
        <v>607</v>
      </c>
      <c r="DHO338" s="42" t="s">
        <v>607</v>
      </c>
      <c r="DHP338" s="42" t="s">
        <v>607</v>
      </c>
      <c r="DHQ338" s="42" t="s">
        <v>607</v>
      </c>
      <c r="DHR338" s="42" t="s">
        <v>607</v>
      </c>
      <c r="DHS338" s="42" t="s">
        <v>607</v>
      </c>
      <c r="DHT338" s="42" t="s">
        <v>607</v>
      </c>
      <c r="DHU338" s="42" t="s">
        <v>607</v>
      </c>
      <c r="DHV338" s="42" t="s">
        <v>607</v>
      </c>
      <c r="DHW338" s="42" t="s">
        <v>607</v>
      </c>
      <c r="DHX338" s="42" t="s">
        <v>607</v>
      </c>
      <c r="DHY338" s="42" t="s">
        <v>607</v>
      </c>
      <c r="DHZ338" s="42" t="s">
        <v>607</v>
      </c>
      <c r="DIA338" s="42" t="s">
        <v>607</v>
      </c>
      <c r="DIB338" s="42" t="s">
        <v>607</v>
      </c>
      <c r="DIC338" s="42" t="s">
        <v>607</v>
      </c>
      <c r="DID338" s="42" t="s">
        <v>607</v>
      </c>
      <c r="DIE338" s="42" t="s">
        <v>607</v>
      </c>
      <c r="DIF338" s="42" t="s">
        <v>607</v>
      </c>
      <c r="DIG338" s="42" t="s">
        <v>607</v>
      </c>
      <c r="DIH338" s="42" t="s">
        <v>607</v>
      </c>
      <c r="DII338" s="42" t="s">
        <v>607</v>
      </c>
      <c r="DIJ338" s="42" t="s">
        <v>607</v>
      </c>
      <c r="DIK338" s="42" t="s">
        <v>607</v>
      </c>
      <c r="DIL338" s="42" t="s">
        <v>607</v>
      </c>
      <c r="DIM338" s="42" t="s">
        <v>607</v>
      </c>
      <c r="DIN338" s="42" t="s">
        <v>607</v>
      </c>
      <c r="DIO338" s="42" t="s">
        <v>607</v>
      </c>
      <c r="DIP338" s="42" t="s">
        <v>607</v>
      </c>
      <c r="DIQ338" s="42" t="s">
        <v>607</v>
      </c>
      <c r="DIR338" s="42" t="s">
        <v>607</v>
      </c>
      <c r="DIS338" s="42" t="s">
        <v>607</v>
      </c>
      <c r="DIT338" s="42" t="s">
        <v>607</v>
      </c>
      <c r="DIU338" s="42" t="s">
        <v>607</v>
      </c>
      <c r="DIV338" s="42" t="s">
        <v>607</v>
      </c>
      <c r="DIW338" s="42" t="s">
        <v>607</v>
      </c>
      <c r="DIX338" s="42" t="s">
        <v>607</v>
      </c>
      <c r="DIY338" s="42" t="s">
        <v>607</v>
      </c>
      <c r="DIZ338" s="42" t="s">
        <v>607</v>
      </c>
      <c r="DJA338" s="42" t="s">
        <v>607</v>
      </c>
      <c r="DJB338" s="42" t="s">
        <v>607</v>
      </c>
      <c r="DJC338" s="42" t="s">
        <v>607</v>
      </c>
      <c r="DJD338" s="42" t="s">
        <v>607</v>
      </c>
      <c r="DJE338" s="42" t="s">
        <v>607</v>
      </c>
      <c r="DJF338" s="42" t="s">
        <v>607</v>
      </c>
      <c r="DJG338" s="42" t="s">
        <v>607</v>
      </c>
      <c r="DJH338" s="42" t="s">
        <v>607</v>
      </c>
      <c r="DJI338" s="42" t="s">
        <v>607</v>
      </c>
      <c r="DJJ338" s="42" t="s">
        <v>607</v>
      </c>
      <c r="DJK338" s="42" t="s">
        <v>607</v>
      </c>
      <c r="DJL338" s="42" t="s">
        <v>607</v>
      </c>
      <c r="DJM338" s="42" t="s">
        <v>607</v>
      </c>
      <c r="DJN338" s="42" t="s">
        <v>607</v>
      </c>
      <c r="DJO338" s="42" t="s">
        <v>607</v>
      </c>
      <c r="DJP338" s="42" t="s">
        <v>607</v>
      </c>
      <c r="DJQ338" s="42" t="s">
        <v>607</v>
      </c>
      <c r="DJR338" s="42" t="s">
        <v>607</v>
      </c>
      <c r="DJS338" s="42" t="s">
        <v>607</v>
      </c>
      <c r="DJT338" s="42" t="s">
        <v>607</v>
      </c>
      <c r="DJU338" s="42" t="s">
        <v>607</v>
      </c>
      <c r="DJV338" s="42" t="s">
        <v>607</v>
      </c>
      <c r="DJW338" s="42" t="s">
        <v>607</v>
      </c>
      <c r="DJX338" s="42" t="s">
        <v>607</v>
      </c>
      <c r="DJY338" s="42" t="s">
        <v>607</v>
      </c>
      <c r="DJZ338" s="42" t="s">
        <v>607</v>
      </c>
      <c r="DKA338" s="42" t="s">
        <v>607</v>
      </c>
      <c r="DKB338" s="42" t="s">
        <v>607</v>
      </c>
      <c r="DKC338" s="42" t="s">
        <v>607</v>
      </c>
      <c r="DKD338" s="42" t="s">
        <v>607</v>
      </c>
      <c r="DKE338" s="42" t="s">
        <v>607</v>
      </c>
      <c r="DKF338" s="42" t="s">
        <v>607</v>
      </c>
      <c r="DKG338" s="42" t="s">
        <v>607</v>
      </c>
      <c r="DKH338" s="42" t="s">
        <v>607</v>
      </c>
      <c r="DKI338" s="42" t="s">
        <v>607</v>
      </c>
      <c r="DKJ338" s="42" t="s">
        <v>607</v>
      </c>
      <c r="DKK338" s="42" t="s">
        <v>607</v>
      </c>
      <c r="DKL338" s="42" t="s">
        <v>607</v>
      </c>
      <c r="DKM338" s="42" t="s">
        <v>607</v>
      </c>
      <c r="DKN338" s="42" t="s">
        <v>607</v>
      </c>
      <c r="DKO338" s="42" t="s">
        <v>607</v>
      </c>
      <c r="DKP338" s="42" t="s">
        <v>607</v>
      </c>
      <c r="DKQ338" s="42" t="s">
        <v>607</v>
      </c>
      <c r="DKR338" s="42" t="s">
        <v>607</v>
      </c>
      <c r="DKS338" s="42" t="s">
        <v>607</v>
      </c>
      <c r="DKT338" s="42" t="s">
        <v>607</v>
      </c>
      <c r="DKU338" s="42" t="s">
        <v>607</v>
      </c>
      <c r="DKV338" s="42" t="s">
        <v>607</v>
      </c>
      <c r="DKW338" s="42" t="s">
        <v>607</v>
      </c>
      <c r="DKX338" s="42" t="s">
        <v>607</v>
      </c>
      <c r="DKY338" s="42" t="s">
        <v>607</v>
      </c>
      <c r="DKZ338" s="42" t="s">
        <v>607</v>
      </c>
      <c r="DLA338" s="42" t="s">
        <v>607</v>
      </c>
      <c r="DLB338" s="42" t="s">
        <v>607</v>
      </c>
      <c r="DLC338" s="42" t="s">
        <v>607</v>
      </c>
      <c r="DLD338" s="42" t="s">
        <v>607</v>
      </c>
      <c r="DLE338" s="42" t="s">
        <v>607</v>
      </c>
      <c r="DLF338" s="42" t="s">
        <v>607</v>
      </c>
      <c r="DLG338" s="42" t="s">
        <v>607</v>
      </c>
      <c r="DLH338" s="42" t="s">
        <v>607</v>
      </c>
      <c r="DLI338" s="42" t="s">
        <v>607</v>
      </c>
      <c r="DLJ338" s="42" t="s">
        <v>607</v>
      </c>
      <c r="DLK338" s="42" t="s">
        <v>607</v>
      </c>
      <c r="DLL338" s="42" t="s">
        <v>607</v>
      </c>
      <c r="DLM338" s="42" t="s">
        <v>607</v>
      </c>
      <c r="DLN338" s="42" t="s">
        <v>607</v>
      </c>
      <c r="DLO338" s="42" t="s">
        <v>607</v>
      </c>
      <c r="DLP338" s="42" t="s">
        <v>607</v>
      </c>
      <c r="DLQ338" s="42" t="s">
        <v>607</v>
      </c>
      <c r="DLR338" s="42" t="s">
        <v>607</v>
      </c>
      <c r="DLS338" s="42" t="s">
        <v>607</v>
      </c>
      <c r="DLT338" s="42" t="s">
        <v>607</v>
      </c>
      <c r="DLU338" s="42" t="s">
        <v>607</v>
      </c>
      <c r="DLV338" s="42" t="s">
        <v>607</v>
      </c>
      <c r="DLW338" s="42" t="s">
        <v>607</v>
      </c>
      <c r="DLX338" s="42" t="s">
        <v>607</v>
      </c>
      <c r="DLY338" s="42" t="s">
        <v>607</v>
      </c>
      <c r="DLZ338" s="42" t="s">
        <v>607</v>
      </c>
      <c r="DMA338" s="42" t="s">
        <v>607</v>
      </c>
      <c r="DMB338" s="42" t="s">
        <v>607</v>
      </c>
      <c r="DMC338" s="42" t="s">
        <v>607</v>
      </c>
      <c r="DMD338" s="42" t="s">
        <v>607</v>
      </c>
      <c r="DME338" s="42" t="s">
        <v>607</v>
      </c>
      <c r="DMF338" s="42" t="s">
        <v>607</v>
      </c>
      <c r="DMG338" s="42" t="s">
        <v>607</v>
      </c>
      <c r="DMH338" s="42" t="s">
        <v>607</v>
      </c>
      <c r="DMI338" s="42" t="s">
        <v>607</v>
      </c>
      <c r="DMJ338" s="42" t="s">
        <v>607</v>
      </c>
      <c r="DMK338" s="42" t="s">
        <v>607</v>
      </c>
      <c r="DML338" s="42" t="s">
        <v>607</v>
      </c>
      <c r="DMM338" s="42" t="s">
        <v>607</v>
      </c>
      <c r="DMN338" s="42" t="s">
        <v>607</v>
      </c>
      <c r="DMO338" s="42" t="s">
        <v>607</v>
      </c>
      <c r="DMP338" s="42" t="s">
        <v>607</v>
      </c>
      <c r="DMQ338" s="42" t="s">
        <v>607</v>
      </c>
      <c r="DMR338" s="42" t="s">
        <v>607</v>
      </c>
      <c r="DMS338" s="42" t="s">
        <v>607</v>
      </c>
      <c r="DMT338" s="42" t="s">
        <v>607</v>
      </c>
      <c r="DMU338" s="42" t="s">
        <v>607</v>
      </c>
      <c r="DMV338" s="42" t="s">
        <v>607</v>
      </c>
      <c r="DMW338" s="42" t="s">
        <v>607</v>
      </c>
      <c r="DMX338" s="42" t="s">
        <v>607</v>
      </c>
      <c r="DMY338" s="42" t="s">
        <v>607</v>
      </c>
      <c r="DMZ338" s="42" t="s">
        <v>607</v>
      </c>
      <c r="DNA338" s="42" t="s">
        <v>607</v>
      </c>
      <c r="DNB338" s="42" t="s">
        <v>607</v>
      </c>
      <c r="DNC338" s="42" t="s">
        <v>607</v>
      </c>
      <c r="DND338" s="42" t="s">
        <v>607</v>
      </c>
      <c r="DNE338" s="42" t="s">
        <v>607</v>
      </c>
      <c r="DNF338" s="42" t="s">
        <v>607</v>
      </c>
      <c r="DNG338" s="42" t="s">
        <v>607</v>
      </c>
      <c r="DNH338" s="42" t="s">
        <v>607</v>
      </c>
      <c r="DNI338" s="42" t="s">
        <v>607</v>
      </c>
      <c r="DNJ338" s="42" t="s">
        <v>607</v>
      </c>
      <c r="DNK338" s="42" t="s">
        <v>607</v>
      </c>
      <c r="DNL338" s="42" t="s">
        <v>607</v>
      </c>
      <c r="DNM338" s="42" t="s">
        <v>607</v>
      </c>
      <c r="DNN338" s="42" t="s">
        <v>607</v>
      </c>
      <c r="DNO338" s="42" t="s">
        <v>607</v>
      </c>
      <c r="DNP338" s="42" t="s">
        <v>607</v>
      </c>
      <c r="DNQ338" s="42" t="s">
        <v>607</v>
      </c>
      <c r="DNR338" s="42" t="s">
        <v>607</v>
      </c>
      <c r="DNS338" s="42" t="s">
        <v>607</v>
      </c>
      <c r="DNT338" s="42" t="s">
        <v>607</v>
      </c>
      <c r="DNU338" s="42" t="s">
        <v>607</v>
      </c>
      <c r="DNV338" s="42" t="s">
        <v>607</v>
      </c>
      <c r="DNW338" s="42" t="s">
        <v>607</v>
      </c>
      <c r="DNX338" s="42" t="s">
        <v>607</v>
      </c>
      <c r="DNY338" s="42" t="s">
        <v>607</v>
      </c>
      <c r="DNZ338" s="42" t="s">
        <v>607</v>
      </c>
      <c r="DOA338" s="42" t="s">
        <v>607</v>
      </c>
      <c r="DOB338" s="42" t="s">
        <v>607</v>
      </c>
      <c r="DOC338" s="42" t="s">
        <v>607</v>
      </c>
      <c r="DOD338" s="42" t="s">
        <v>607</v>
      </c>
      <c r="DOE338" s="42" t="s">
        <v>607</v>
      </c>
      <c r="DOF338" s="42" t="s">
        <v>607</v>
      </c>
      <c r="DOG338" s="42" t="s">
        <v>607</v>
      </c>
      <c r="DOH338" s="42" t="s">
        <v>607</v>
      </c>
      <c r="DOI338" s="42" t="s">
        <v>607</v>
      </c>
      <c r="DOJ338" s="42" t="s">
        <v>607</v>
      </c>
      <c r="DOK338" s="42" t="s">
        <v>607</v>
      </c>
      <c r="DOL338" s="42" t="s">
        <v>607</v>
      </c>
      <c r="DOM338" s="42" t="s">
        <v>607</v>
      </c>
      <c r="DON338" s="42" t="s">
        <v>607</v>
      </c>
      <c r="DOO338" s="42" t="s">
        <v>607</v>
      </c>
      <c r="DOP338" s="42" t="s">
        <v>607</v>
      </c>
      <c r="DOQ338" s="42" t="s">
        <v>607</v>
      </c>
      <c r="DOR338" s="42" t="s">
        <v>607</v>
      </c>
      <c r="DOS338" s="42" t="s">
        <v>607</v>
      </c>
      <c r="DOT338" s="42" t="s">
        <v>607</v>
      </c>
      <c r="DOU338" s="42" t="s">
        <v>607</v>
      </c>
      <c r="DOV338" s="42" t="s">
        <v>607</v>
      </c>
      <c r="DOW338" s="42" t="s">
        <v>607</v>
      </c>
      <c r="DOX338" s="42" t="s">
        <v>607</v>
      </c>
      <c r="DOY338" s="42" t="s">
        <v>607</v>
      </c>
      <c r="DOZ338" s="42" t="s">
        <v>607</v>
      </c>
      <c r="DPA338" s="42" t="s">
        <v>607</v>
      </c>
      <c r="DPB338" s="42" t="s">
        <v>607</v>
      </c>
      <c r="DPC338" s="42" t="s">
        <v>607</v>
      </c>
      <c r="DPD338" s="42" t="s">
        <v>607</v>
      </c>
      <c r="DPE338" s="42" t="s">
        <v>607</v>
      </c>
      <c r="DPF338" s="42" t="s">
        <v>607</v>
      </c>
      <c r="DPG338" s="42" t="s">
        <v>607</v>
      </c>
      <c r="DPH338" s="42" t="s">
        <v>607</v>
      </c>
      <c r="DPI338" s="42" t="s">
        <v>607</v>
      </c>
      <c r="DPJ338" s="42" t="s">
        <v>607</v>
      </c>
      <c r="DPK338" s="42" t="s">
        <v>607</v>
      </c>
      <c r="DPL338" s="42" t="s">
        <v>607</v>
      </c>
      <c r="DPM338" s="42" t="s">
        <v>607</v>
      </c>
      <c r="DPN338" s="42" t="s">
        <v>607</v>
      </c>
      <c r="DPO338" s="42" t="s">
        <v>607</v>
      </c>
      <c r="DPP338" s="42" t="s">
        <v>607</v>
      </c>
      <c r="DPQ338" s="42" t="s">
        <v>607</v>
      </c>
      <c r="DPR338" s="42" t="s">
        <v>607</v>
      </c>
      <c r="DPS338" s="42" t="s">
        <v>607</v>
      </c>
      <c r="DPT338" s="42" t="s">
        <v>607</v>
      </c>
      <c r="DPU338" s="42" t="s">
        <v>607</v>
      </c>
      <c r="DPV338" s="42" t="s">
        <v>607</v>
      </c>
      <c r="DPW338" s="42" t="s">
        <v>607</v>
      </c>
      <c r="DPX338" s="42" t="s">
        <v>607</v>
      </c>
      <c r="DPY338" s="42" t="s">
        <v>607</v>
      </c>
      <c r="DPZ338" s="42" t="s">
        <v>607</v>
      </c>
      <c r="DQA338" s="42" t="s">
        <v>607</v>
      </c>
      <c r="DQB338" s="42" t="s">
        <v>607</v>
      </c>
      <c r="DQC338" s="42" t="s">
        <v>607</v>
      </c>
      <c r="DQD338" s="42" t="s">
        <v>607</v>
      </c>
      <c r="DQE338" s="42" t="s">
        <v>607</v>
      </c>
      <c r="DQF338" s="42" t="s">
        <v>607</v>
      </c>
      <c r="DQG338" s="42" t="s">
        <v>607</v>
      </c>
      <c r="DQH338" s="42" t="s">
        <v>607</v>
      </c>
      <c r="DQI338" s="42" t="s">
        <v>607</v>
      </c>
      <c r="DQJ338" s="42" t="s">
        <v>607</v>
      </c>
      <c r="DQK338" s="42" t="s">
        <v>607</v>
      </c>
      <c r="DQL338" s="42" t="s">
        <v>607</v>
      </c>
      <c r="DQM338" s="42" t="s">
        <v>607</v>
      </c>
      <c r="DQN338" s="42" t="s">
        <v>607</v>
      </c>
      <c r="DQO338" s="42" t="s">
        <v>607</v>
      </c>
      <c r="DQP338" s="42" t="s">
        <v>607</v>
      </c>
      <c r="DQQ338" s="42" t="s">
        <v>607</v>
      </c>
      <c r="DQR338" s="42" t="s">
        <v>607</v>
      </c>
      <c r="DQS338" s="42" t="s">
        <v>607</v>
      </c>
      <c r="DQT338" s="42" t="s">
        <v>607</v>
      </c>
      <c r="DQU338" s="42" t="s">
        <v>607</v>
      </c>
      <c r="DQV338" s="42" t="s">
        <v>607</v>
      </c>
      <c r="DQW338" s="42" t="s">
        <v>607</v>
      </c>
      <c r="DQX338" s="42" t="s">
        <v>607</v>
      </c>
      <c r="DQY338" s="42" t="s">
        <v>607</v>
      </c>
      <c r="DQZ338" s="42" t="s">
        <v>607</v>
      </c>
      <c r="DRA338" s="42" t="s">
        <v>607</v>
      </c>
      <c r="DRB338" s="42" t="s">
        <v>607</v>
      </c>
      <c r="DRC338" s="42" t="s">
        <v>607</v>
      </c>
      <c r="DRD338" s="42" t="s">
        <v>607</v>
      </c>
      <c r="DRE338" s="42" t="s">
        <v>607</v>
      </c>
      <c r="DRF338" s="42" t="s">
        <v>607</v>
      </c>
      <c r="DRG338" s="42" t="s">
        <v>607</v>
      </c>
      <c r="DRH338" s="42" t="s">
        <v>607</v>
      </c>
      <c r="DRI338" s="42" t="s">
        <v>607</v>
      </c>
      <c r="DRJ338" s="42" t="s">
        <v>607</v>
      </c>
      <c r="DRK338" s="42" t="s">
        <v>607</v>
      </c>
      <c r="DRL338" s="42" t="s">
        <v>607</v>
      </c>
      <c r="DRM338" s="42" t="s">
        <v>607</v>
      </c>
      <c r="DRN338" s="42" t="s">
        <v>607</v>
      </c>
      <c r="DRO338" s="42" t="s">
        <v>607</v>
      </c>
      <c r="DRP338" s="42" t="s">
        <v>607</v>
      </c>
      <c r="DRQ338" s="42" t="s">
        <v>607</v>
      </c>
      <c r="DRR338" s="42" t="s">
        <v>607</v>
      </c>
      <c r="DRS338" s="42" t="s">
        <v>607</v>
      </c>
      <c r="DRT338" s="42" t="s">
        <v>607</v>
      </c>
      <c r="DRU338" s="42" t="s">
        <v>607</v>
      </c>
      <c r="DRV338" s="42" t="s">
        <v>607</v>
      </c>
      <c r="DRW338" s="42" t="s">
        <v>607</v>
      </c>
      <c r="DRX338" s="42" t="s">
        <v>607</v>
      </c>
      <c r="DRY338" s="42" t="s">
        <v>607</v>
      </c>
      <c r="DRZ338" s="42" t="s">
        <v>607</v>
      </c>
      <c r="DSA338" s="42" t="s">
        <v>607</v>
      </c>
      <c r="DSB338" s="42" t="s">
        <v>607</v>
      </c>
      <c r="DSC338" s="42" t="s">
        <v>607</v>
      </c>
      <c r="DSD338" s="42" t="s">
        <v>607</v>
      </c>
      <c r="DSE338" s="42" t="s">
        <v>607</v>
      </c>
      <c r="DSF338" s="42" t="s">
        <v>607</v>
      </c>
      <c r="DSG338" s="42" t="s">
        <v>607</v>
      </c>
      <c r="DSH338" s="42" t="s">
        <v>607</v>
      </c>
      <c r="DSI338" s="42" t="s">
        <v>607</v>
      </c>
      <c r="DSJ338" s="42" t="s">
        <v>607</v>
      </c>
      <c r="DSK338" s="42" t="s">
        <v>607</v>
      </c>
      <c r="DSL338" s="42" t="s">
        <v>607</v>
      </c>
      <c r="DSM338" s="42" t="s">
        <v>607</v>
      </c>
      <c r="DSN338" s="42" t="s">
        <v>607</v>
      </c>
      <c r="DSO338" s="42" t="s">
        <v>607</v>
      </c>
      <c r="DSP338" s="42" t="s">
        <v>607</v>
      </c>
      <c r="DSQ338" s="42" t="s">
        <v>607</v>
      </c>
      <c r="DSR338" s="42" t="s">
        <v>607</v>
      </c>
      <c r="DSS338" s="42" t="s">
        <v>607</v>
      </c>
      <c r="DST338" s="42" t="s">
        <v>607</v>
      </c>
      <c r="DSU338" s="42" t="s">
        <v>607</v>
      </c>
      <c r="DSV338" s="42" t="s">
        <v>607</v>
      </c>
      <c r="DSW338" s="42" t="s">
        <v>607</v>
      </c>
      <c r="DSX338" s="42" t="s">
        <v>607</v>
      </c>
      <c r="DSY338" s="42" t="s">
        <v>607</v>
      </c>
      <c r="DSZ338" s="42" t="s">
        <v>607</v>
      </c>
      <c r="DTA338" s="42" t="s">
        <v>607</v>
      </c>
      <c r="DTB338" s="42" t="s">
        <v>607</v>
      </c>
      <c r="DTC338" s="42" t="s">
        <v>607</v>
      </c>
      <c r="DTD338" s="42" t="s">
        <v>607</v>
      </c>
      <c r="DTE338" s="42" t="s">
        <v>607</v>
      </c>
      <c r="DTF338" s="42" t="s">
        <v>607</v>
      </c>
      <c r="DTG338" s="42" t="s">
        <v>607</v>
      </c>
      <c r="DTH338" s="42" t="s">
        <v>607</v>
      </c>
      <c r="DTI338" s="42" t="s">
        <v>607</v>
      </c>
      <c r="DTJ338" s="42" t="s">
        <v>607</v>
      </c>
      <c r="DTK338" s="42" t="s">
        <v>607</v>
      </c>
      <c r="DTL338" s="42" t="s">
        <v>607</v>
      </c>
      <c r="DTM338" s="42" t="s">
        <v>607</v>
      </c>
      <c r="DTN338" s="42" t="s">
        <v>607</v>
      </c>
      <c r="DTO338" s="42" t="s">
        <v>607</v>
      </c>
      <c r="DTP338" s="42" t="s">
        <v>607</v>
      </c>
      <c r="DTQ338" s="42" t="s">
        <v>607</v>
      </c>
      <c r="DTR338" s="42" t="s">
        <v>607</v>
      </c>
      <c r="DTS338" s="42" t="s">
        <v>607</v>
      </c>
      <c r="DTT338" s="42" t="s">
        <v>607</v>
      </c>
      <c r="DTU338" s="42" t="s">
        <v>607</v>
      </c>
      <c r="DTV338" s="42" t="s">
        <v>607</v>
      </c>
      <c r="DTW338" s="42" t="s">
        <v>607</v>
      </c>
      <c r="DTX338" s="42" t="s">
        <v>607</v>
      </c>
      <c r="DTY338" s="42" t="s">
        <v>607</v>
      </c>
      <c r="DTZ338" s="42" t="s">
        <v>607</v>
      </c>
      <c r="DUA338" s="42" t="s">
        <v>607</v>
      </c>
      <c r="DUB338" s="42" t="s">
        <v>607</v>
      </c>
      <c r="DUC338" s="42" t="s">
        <v>607</v>
      </c>
      <c r="DUD338" s="42" t="s">
        <v>607</v>
      </c>
      <c r="DUE338" s="42" t="s">
        <v>607</v>
      </c>
      <c r="DUF338" s="42" t="s">
        <v>607</v>
      </c>
      <c r="DUG338" s="42" t="s">
        <v>607</v>
      </c>
      <c r="DUH338" s="42" t="s">
        <v>607</v>
      </c>
      <c r="DUI338" s="42" t="s">
        <v>607</v>
      </c>
      <c r="DUJ338" s="42" t="s">
        <v>607</v>
      </c>
      <c r="DUK338" s="42" t="s">
        <v>607</v>
      </c>
      <c r="DUL338" s="42" t="s">
        <v>607</v>
      </c>
      <c r="DUM338" s="42" t="s">
        <v>607</v>
      </c>
      <c r="DUN338" s="42" t="s">
        <v>607</v>
      </c>
      <c r="DUO338" s="42" t="s">
        <v>607</v>
      </c>
      <c r="DUP338" s="42" t="s">
        <v>607</v>
      </c>
      <c r="DUQ338" s="42" t="s">
        <v>607</v>
      </c>
      <c r="DUR338" s="42" t="s">
        <v>607</v>
      </c>
      <c r="DUS338" s="42" t="s">
        <v>607</v>
      </c>
      <c r="DUT338" s="42" t="s">
        <v>607</v>
      </c>
      <c r="DUU338" s="42" t="s">
        <v>607</v>
      </c>
      <c r="DUV338" s="42" t="s">
        <v>607</v>
      </c>
      <c r="DUW338" s="42" t="s">
        <v>607</v>
      </c>
      <c r="DUX338" s="42" t="s">
        <v>607</v>
      </c>
      <c r="DUY338" s="42" t="s">
        <v>607</v>
      </c>
      <c r="DUZ338" s="42" t="s">
        <v>607</v>
      </c>
      <c r="DVA338" s="42" t="s">
        <v>607</v>
      </c>
      <c r="DVB338" s="42" t="s">
        <v>607</v>
      </c>
      <c r="DVC338" s="42" t="s">
        <v>607</v>
      </c>
      <c r="DVD338" s="42" t="s">
        <v>607</v>
      </c>
      <c r="DVE338" s="42" t="s">
        <v>607</v>
      </c>
      <c r="DVF338" s="42" t="s">
        <v>607</v>
      </c>
      <c r="DVG338" s="42" t="s">
        <v>607</v>
      </c>
      <c r="DVH338" s="42" t="s">
        <v>607</v>
      </c>
      <c r="DVI338" s="42" t="s">
        <v>607</v>
      </c>
      <c r="DVJ338" s="42" t="s">
        <v>607</v>
      </c>
      <c r="DVK338" s="42" t="s">
        <v>607</v>
      </c>
      <c r="DVL338" s="42" t="s">
        <v>607</v>
      </c>
      <c r="DVM338" s="42" t="s">
        <v>607</v>
      </c>
      <c r="DVN338" s="42" t="s">
        <v>607</v>
      </c>
      <c r="DVO338" s="42" t="s">
        <v>607</v>
      </c>
      <c r="DVP338" s="42" t="s">
        <v>607</v>
      </c>
      <c r="DVQ338" s="42" t="s">
        <v>607</v>
      </c>
      <c r="DVR338" s="42" t="s">
        <v>607</v>
      </c>
      <c r="DVS338" s="42" t="s">
        <v>607</v>
      </c>
      <c r="DVT338" s="42" t="s">
        <v>607</v>
      </c>
      <c r="DVU338" s="42" t="s">
        <v>607</v>
      </c>
      <c r="DVV338" s="42" t="s">
        <v>607</v>
      </c>
      <c r="DVW338" s="42" t="s">
        <v>607</v>
      </c>
      <c r="DVX338" s="42" t="s">
        <v>607</v>
      </c>
      <c r="DVY338" s="42" t="s">
        <v>607</v>
      </c>
      <c r="DVZ338" s="42" t="s">
        <v>607</v>
      </c>
      <c r="DWA338" s="42" t="s">
        <v>607</v>
      </c>
      <c r="DWB338" s="42" t="s">
        <v>607</v>
      </c>
      <c r="DWC338" s="42" t="s">
        <v>607</v>
      </c>
      <c r="DWD338" s="42" t="s">
        <v>607</v>
      </c>
      <c r="DWE338" s="42" t="s">
        <v>607</v>
      </c>
      <c r="DWF338" s="42" t="s">
        <v>607</v>
      </c>
      <c r="DWG338" s="42" t="s">
        <v>607</v>
      </c>
      <c r="DWH338" s="42" t="s">
        <v>607</v>
      </c>
      <c r="DWI338" s="42" t="s">
        <v>607</v>
      </c>
      <c r="DWJ338" s="42" t="s">
        <v>607</v>
      </c>
      <c r="DWK338" s="42" t="s">
        <v>607</v>
      </c>
      <c r="DWL338" s="42" t="s">
        <v>607</v>
      </c>
      <c r="DWM338" s="42" t="s">
        <v>607</v>
      </c>
      <c r="DWN338" s="42" t="s">
        <v>607</v>
      </c>
      <c r="DWO338" s="42" t="s">
        <v>607</v>
      </c>
      <c r="DWP338" s="42" t="s">
        <v>607</v>
      </c>
      <c r="DWQ338" s="42" t="s">
        <v>607</v>
      </c>
      <c r="DWR338" s="42" t="s">
        <v>607</v>
      </c>
      <c r="DWS338" s="42" t="s">
        <v>607</v>
      </c>
      <c r="DWT338" s="42" t="s">
        <v>607</v>
      </c>
      <c r="DWU338" s="42" t="s">
        <v>607</v>
      </c>
      <c r="DWV338" s="42" t="s">
        <v>607</v>
      </c>
      <c r="DWW338" s="42" t="s">
        <v>607</v>
      </c>
      <c r="DWX338" s="42" t="s">
        <v>607</v>
      </c>
      <c r="DWY338" s="42" t="s">
        <v>607</v>
      </c>
      <c r="DWZ338" s="42" t="s">
        <v>607</v>
      </c>
      <c r="DXA338" s="42" t="s">
        <v>607</v>
      </c>
      <c r="DXB338" s="42" t="s">
        <v>607</v>
      </c>
      <c r="DXC338" s="42" t="s">
        <v>607</v>
      </c>
      <c r="DXD338" s="42" t="s">
        <v>607</v>
      </c>
      <c r="DXE338" s="42" t="s">
        <v>607</v>
      </c>
      <c r="DXF338" s="42" t="s">
        <v>607</v>
      </c>
      <c r="DXG338" s="42" t="s">
        <v>607</v>
      </c>
      <c r="DXH338" s="42" t="s">
        <v>607</v>
      </c>
      <c r="DXI338" s="42" t="s">
        <v>607</v>
      </c>
      <c r="DXJ338" s="42" t="s">
        <v>607</v>
      </c>
      <c r="DXK338" s="42" t="s">
        <v>607</v>
      </c>
      <c r="DXL338" s="42" t="s">
        <v>607</v>
      </c>
      <c r="DXM338" s="42" t="s">
        <v>607</v>
      </c>
      <c r="DXN338" s="42" t="s">
        <v>607</v>
      </c>
      <c r="DXO338" s="42" t="s">
        <v>607</v>
      </c>
      <c r="DXP338" s="42" t="s">
        <v>607</v>
      </c>
      <c r="DXQ338" s="42" t="s">
        <v>607</v>
      </c>
      <c r="DXR338" s="42" t="s">
        <v>607</v>
      </c>
      <c r="DXS338" s="42" t="s">
        <v>607</v>
      </c>
      <c r="DXT338" s="42" t="s">
        <v>607</v>
      </c>
      <c r="DXU338" s="42" t="s">
        <v>607</v>
      </c>
      <c r="DXV338" s="42" t="s">
        <v>607</v>
      </c>
      <c r="DXW338" s="42" t="s">
        <v>607</v>
      </c>
      <c r="DXX338" s="42" t="s">
        <v>607</v>
      </c>
      <c r="DXY338" s="42" t="s">
        <v>607</v>
      </c>
      <c r="DXZ338" s="42" t="s">
        <v>607</v>
      </c>
      <c r="DYA338" s="42" t="s">
        <v>607</v>
      </c>
      <c r="DYB338" s="42" t="s">
        <v>607</v>
      </c>
      <c r="DYC338" s="42" t="s">
        <v>607</v>
      </c>
      <c r="DYD338" s="42" t="s">
        <v>607</v>
      </c>
      <c r="DYE338" s="42" t="s">
        <v>607</v>
      </c>
      <c r="DYF338" s="42" t="s">
        <v>607</v>
      </c>
      <c r="DYG338" s="42" t="s">
        <v>607</v>
      </c>
      <c r="DYH338" s="42" t="s">
        <v>607</v>
      </c>
      <c r="DYI338" s="42" t="s">
        <v>607</v>
      </c>
      <c r="DYJ338" s="42" t="s">
        <v>607</v>
      </c>
      <c r="DYK338" s="42" t="s">
        <v>607</v>
      </c>
      <c r="DYL338" s="42" t="s">
        <v>607</v>
      </c>
      <c r="DYM338" s="42" t="s">
        <v>607</v>
      </c>
      <c r="DYN338" s="42" t="s">
        <v>607</v>
      </c>
      <c r="DYO338" s="42" t="s">
        <v>607</v>
      </c>
      <c r="DYP338" s="42" t="s">
        <v>607</v>
      </c>
      <c r="DYQ338" s="42" t="s">
        <v>607</v>
      </c>
      <c r="DYR338" s="42" t="s">
        <v>607</v>
      </c>
      <c r="DYS338" s="42" t="s">
        <v>607</v>
      </c>
      <c r="DYT338" s="42" t="s">
        <v>607</v>
      </c>
      <c r="DYU338" s="42" t="s">
        <v>607</v>
      </c>
      <c r="DYV338" s="42" t="s">
        <v>607</v>
      </c>
      <c r="DYW338" s="42" t="s">
        <v>607</v>
      </c>
      <c r="DYX338" s="42" t="s">
        <v>607</v>
      </c>
      <c r="DYY338" s="42" t="s">
        <v>607</v>
      </c>
      <c r="DYZ338" s="42" t="s">
        <v>607</v>
      </c>
      <c r="DZA338" s="42" t="s">
        <v>607</v>
      </c>
      <c r="DZB338" s="42" t="s">
        <v>607</v>
      </c>
      <c r="DZC338" s="42" t="s">
        <v>607</v>
      </c>
      <c r="DZD338" s="42" t="s">
        <v>607</v>
      </c>
      <c r="DZE338" s="42" t="s">
        <v>607</v>
      </c>
      <c r="DZF338" s="42" t="s">
        <v>607</v>
      </c>
      <c r="DZG338" s="42" t="s">
        <v>607</v>
      </c>
      <c r="DZH338" s="42" t="s">
        <v>607</v>
      </c>
      <c r="DZI338" s="42" t="s">
        <v>607</v>
      </c>
      <c r="DZJ338" s="42" t="s">
        <v>607</v>
      </c>
      <c r="DZK338" s="42" t="s">
        <v>607</v>
      </c>
      <c r="DZL338" s="42" t="s">
        <v>607</v>
      </c>
      <c r="DZM338" s="42" t="s">
        <v>607</v>
      </c>
      <c r="DZN338" s="42" t="s">
        <v>607</v>
      </c>
      <c r="DZO338" s="42" t="s">
        <v>607</v>
      </c>
      <c r="DZP338" s="42" t="s">
        <v>607</v>
      </c>
      <c r="DZQ338" s="42" t="s">
        <v>607</v>
      </c>
      <c r="DZR338" s="42" t="s">
        <v>607</v>
      </c>
      <c r="DZS338" s="42" t="s">
        <v>607</v>
      </c>
      <c r="DZT338" s="42" t="s">
        <v>607</v>
      </c>
      <c r="DZU338" s="42" t="s">
        <v>607</v>
      </c>
      <c r="DZV338" s="42" t="s">
        <v>607</v>
      </c>
      <c r="DZW338" s="42" t="s">
        <v>607</v>
      </c>
      <c r="DZX338" s="42" t="s">
        <v>607</v>
      </c>
      <c r="DZY338" s="42" t="s">
        <v>607</v>
      </c>
      <c r="DZZ338" s="42" t="s">
        <v>607</v>
      </c>
      <c r="EAA338" s="42" t="s">
        <v>607</v>
      </c>
      <c r="EAB338" s="42" t="s">
        <v>607</v>
      </c>
      <c r="EAC338" s="42" t="s">
        <v>607</v>
      </c>
      <c r="EAD338" s="42" t="s">
        <v>607</v>
      </c>
      <c r="EAE338" s="42" t="s">
        <v>607</v>
      </c>
      <c r="EAF338" s="42" t="s">
        <v>607</v>
      </c>
      <c r="EAG338" s="42" t="s">
        <v>607</v>
      </c>
      <c r="EAH338" s="42" t="s">
        <v>607</v>
      </c>
      <c r="EAI338" s="42" t="s">
        <v>607</v>
      </c>
      <c r="EAJ338" s="42" t="s">
        <v>607</v>
      </c>
      <c r="EAK338" s="42" t="s">
        <v>607</v>
      </c>
      <c r="EAL338" s="42" t="s">
        <v>607</v>
      </c>
      <c r="EAM338" s="42" t="s">
        <v>607</v>
      </c>
      <c r="EAN338" s="42" t="s">
        <v>607</v>
      </c>
      <c r="EAO338" s="42" t="s">
        <v>607</v>
      </c>
      <c r="EAP338" s="42" t="s">
        <v>607</v>
      </c>
      <c r="EAQ338" s="42" t="s">
        <v>607</v>
      </c>
      <c r="EAR338" s="42" t="s">
        <v>607</v>
      </c>
      <c r="EAS338" s="42" t="s">
        <v>607</v>
      </c>
      <c r="EAT338" s="42" t="s">
        <v>607</v>
      </c>
      <c r="EAU338" s="42" t="s">
        <v>607</v>
      </c>
      <c r="EAV338" s="42" t="s">
        <v>607</v>
      </c>
      <c r="EAW338" s="42" t="s">
        <v>607</v>
      </c>
      <c r="EAX338" s="42" t="s">
        <v>607</v>
      </c>
      <c r="EAY338" s="42" t="s">
        <v>607</v>
      </c>
      <c r="EAZ338" s="42" t="s">
        <v>607</v>
      </c>
      <c r="EBA338" s="42" t="s">
        <v>607</v>
      </c>
      <c r="EBB338" s="42" t="s">
        <v>607</v>
      </c>
      <c r="EBC338" s="42" t="s">
        <v>607</v>
      </c>
      <c r="EBD338" s="42" t="s">
        <v>607</v>
      </c>
      <c r="EBE338" s="42" t="s">
        <v>607</v>
      </c>
      <c r="EBF338" s="42" t="s">
        <v>607</v>
      </c>
      <c r="EBG338" s="42" t="s">
        <v>607</v>
      </c>
      <c r="EBH338" s="42" t="s">
        <v>607</v>
      </c>
      <c r="EBI338" s="42" t="s">
        <v>607</v>
      </c>
      <c r="EBJ338" s="42" t="s">
        <v>607</v>
      </c>
      <c r="EBK338" s="42" t="s">
        <v>607</v>
      </c>
      <c r="EBL338" s="42" t="s">
        <v>607</v>
      </c>
      <c r="EBM338" s="42" t="s">
        <v>607</v>
      </c>
      <c r="EBN338" s="42" t="s">
        <v>607</v>
      </c>
      <c r="EBO338" s="42" t="s">
        <v>607</v>
      </c>
      <c r="EBP338" s="42" t="s">
        <v>607</v>
      </c>
      <c r="EBQ338" s="42" t="s">
        <v>607</v>
      </c>
      <c r="EBR338" s="42" t="s">
        <v>607</v>
      </c>
      <c r="EBS338" s="42" t="s">
        <v>607</v>
      </c>
      <c r="EBT338" s="42" t="s">
        <v>607</v>
      </c>
      <c r="EBU338" s="42" t="s">
        <v>607</v>
      </c>
      <c r="EBV338" s="42" t="s">
        <v>607</v>
      </c>
      <c r="EBW338" s="42" t="s">
        <v>607</v>
      </c>
      <c r="EBX338" s="42" t="s">
        <v>607</v>
      </c>
      <c r="EBY338" s="42" t="s">
        <v>607</v>
      </c>
      <c r="EBZ338" s="42" t="s">
        <v>607</v>
      </c>
      <c r="ECA338" s="42" t="s">
        <v>607</v>
      </c>
      <c r="ECB338" s="42" t="s">
        <v>607</v>
      </c>
      <c r="ECC338" s="42" t="s">
        <v>607</v>
      </c>
      <c r="ECD338" s="42" t="s">
        <v>607</v>
      </c>
      <c r="ECE338" s="42" t="s">
        <v>607</v>
      </c>
      <c r="ECF338" s="42" t="s">
        <v>607</v>
      </c>
      <c r="ECG338" s="42" t="s">
        <v>607</v>
      </c>
      <c r="ECH338" s="42" t="s">
        <v>607</v>
      </c>
      <c r="ECI338" s="42" t="s">
        <v>607</v>
      </c>
      <c r="ECJ338" s="42" t="s">
        <v>607</v>
      </c>
      <c r="ECK338" s="42" t="s">
        <v>607</v>
      </c>
      <c r="ECL338" s="42" t="s">
        <v>607</v>
      </c>
      <c r="ECM338" s="42" t="s">
        <v>607</v>
      </c>
      <c r="ECN338" s="42" t="s">
        <v>607</v>
      </c>
      <c r="ECO338" s="42" t="s">
        <v>607</v>
      </c>
      <c r="ECP338" s="42" t="s">
        <v>607</v>
      </c>
      <c r="ECQ338" s="42" t="s">
        <v>607</v>
      </c>
      <c r="ECR338" s="42" t="s">
        <v>607</v>
      </c>
      <c r="ECS338" s="42" t="s">
        <v>607</v>
      </c>
      <c r="ECT338" s="42" t="s">
        <v>607</v>
      </c>
      <c r="ECU338" s="42" t="s">
        <v>607</v>
      </c>
      <c r="ECV338" s="42" t="s">
        <v>607</v>
      </c>
      <c r="ECW338" s="42" t="s">
        <v>607</v>
      </c>
      <c r="ECX338" s="42" t="s">
        <v>607</v>
      </c>
      <c r="ECY338" s="42" t="s">
        <v>607</v>
      </c>
      <c r="ECZ338" s="42" t="s">
        <v>607</v>
      </c>
      <c r="EDA338" s="42" t="s">
        <v>607</v>
      </c>
      <c r="EDB338" s="42" t="s">
        <v>607</v>
      </c>
      <c r="EDC338" s="42" t="s">
        <v>607</v>
      </c>
      <c r="EDD338" s="42" t="s">
        <v>607</v>
      </c>
      <c r="EDE338" s="42" t="s">
        <v>607</v>
      </c>
      <c r="EDF338" s="42" t="s">
        <v>607</v>
      </c>
      <c r="EDG338" s="42" t="s">
        <v>607</v>
      </c>
      <c r="EDH338" s="42" t="s">
        <v>607</v>
      </c>
      <c r="EDI338" s="42" t="s">
        <v>607</v>
      </c>
      <c r="EDJ338" s="42" t="s">
        <v>607</v>
      </c>
      <c r="EDK338" s="42" t="s">
        <v>607</v>
      </c>
      <c r="EDL338" s="42" t="s">
        <v>607</v>
      </c>
      <c r="EDM338" s="42" t="s">
        <v>607</v>
      </c>
      <c r="EDN338" s="42" t="s">
        <v>607</v>
      </c>
      <c r="EDO338" s="42" t="s">
        <v>607</v>
      </c>
      <c r="EDP338" s="42" t="s">
        <v>607</v>
      </c>
      <c r="EDQ338" s="42" t="s">
        <v>607</v>
      </c>
      <c r="EDR338" s="42" t="s">
        <v>607</v>
      </c>
      <c r="EDS338" s="42" t="s">
        <v>607</v>
      </c>
      <c r="EDT338" s="42" t="s">
        <v>607</v>
      </c>
      <c r="EDU338" s="42" t="s">
        <v>607</v>
      </c>
      <c r="EDV338" s="42" t="s">
        <v>607</v>
      </c>
      <c r="EDW338" s="42" t="s">
        <v>607</v>
      </c>
      <c r="EDX338" s="42" t="s">
        <v>607</v>
      </c>
      <c r="EDY338" s="42" t="s">
        <v>607</v>
      </c>
      <c r="EDZ338" s="42" t="s">
        <v>607</v>
      </c>
      <c r="EEA338" s="42" t="s">
        <v>607</v>
      </c>
      <c r="EEB338" s="42" t="s">
        <v>607</v>
      </c>
      <c r="EEC338" s="42" t="s">
        <v>607</v>
      </c>
      <c r="EED338" s="42" t="s">
        <v>607</v>
      </c>
      <c r="EEE338" s="42" t="s">
        <v>607</v>
      </c>
      <c r="EEF338" s="42" t="s">
        <v>607</v>
      </c>
      <c r="EEG338" s="42" t="s">
        <v>607</v>
      </c>
      <c r="EEH338" s="42" t="s">
        <v>607</v>
      </c>
      <c r="EEI338" s="42" t="s">
        <v>607</v>
      </c>
      <c r="EEJ338" s="42" t="s">
        <v>607</v>
      </c>
      <c r="EEK338" s="42" t="s">
        <v>607</v>
      </c>
      <c r="EEL338" s="42" t="s">
        <v>607</v>
      </c>
      <c r="EEM338" s="42" t="s">
        <v>607</v>
      </c>
      <c r="EEN338" s="42" t="s">
        <v>607</v>
      </c>
      <c r="EEO338" s="42" t="s">
        <v>607</v>
      </c>
      <c r="EEP338" s="42" t="s">
        <v>607</v>
      </c>
      <c r="EEQ338" s="42" t="s">
        <v>607</v>
      </c>
      <c r="EER338" s="42" t="s">
        <v>607</v>
      </c>
      <c r="EES338" s="42" t="s">
        <v>607</v>
      </c>
      <c r="EET338" s="42" t="s">
        <v>607</v>
      </c>
      <c r="EEU338" s="42" t="s">
        <v>607</v>
      </c>
      <c r="EEV338" s="42" t="s">
        <v>607</v>
      </c>
      <c r="EEW338" s="42" t="s">
        <v>607</v>
      </c>
      <c r="EEX338" s="42" t="s">
        <v>607</v>
      </c>
      <c r="EEY338" s="42" t="s">
        <v>607</v>
      </c>
      <c r="EEZ338" s="42" t="s">
        <v>607</v>
      </c>
      <c r="EFA338" s="42" t="s">
        <v>607</v>
      </c>
      <c r="EFB338" s="42" t="s">
        <v>607</v>
      </c>
      <c r="EFC338" s="42" t="s">
        <v>607</v>
      </c>
      <c r="EFD338" s="42" t="s">
        <v>607</v>
      </c>
      <c r="EFE338" s="42" t="s">
        <v>607</v>
      </c>
      <c r="EFF338" s="42" t="s">
        <v>607</v>
      </c>
      <c r="EFG338" s="42" t="s">
        <v>607</v>
      </c>
      <c r="EFH338" s="42" t="s">
        <v>607</v>
      </c>
      <c r="EFI338" s="42" t="s">
        <v>607</v>
      </c>
      <c r="EFJ338" s="42" t="s">
        <v>607</v>
      </c>
      <c r="EFK338" s="42" t="s">
        <v>607</v>
      </c>
      <c r="EFL338" s="42" t="s">
        <v>607</v>
      </c>
      <c r="EFM338" s="42" t="s">
        <v>607</v>
      </c>
      <c r="EFN338" s="42" t="s">
        <v>607</v>
      </c>
      <c r="EFO338" s="42" t="s">
        <v>607</v>
      </c>
      <c r="EFP338" s="42" t="s">
        <v>607</v>
      </c>
      <c r="EFQ338" s="42" t="s">
        <v>607</v>
      </c>
      <c r="EFR338" s="42" t="s">
        <v>607</v>
      </c>
      <c r="EFS338" s="42" t="s">
        <v>607</v>
      </c>
      <c r="EFT338" s="42" t="s">
        <v>607</v>
      </c>
      <c r="EFU338" s="42" t="s">
        <v>607</v>
      </c>
      <c r="EFV338" s="42" t="s">
        <v>607</v>
      </c>
      <c r="EFW338" s="42" t="s">
        <v>607</v>
      </c>
      <c r="EFX338" s="42" t="s">
        <v>607</v>
      </c>
      <c r="EFY338" s="42" t="s">
        <v>607</v>
      </c>
      <c r="EFZ338" s="42" t="s">
        <v>607</v>
      </c>
      <c r="EGA338" s="42" t="s">
        <v>607</v>
      </c>
      <c r="EGB338" s="42" t="s">
        <v>607</v>
      </c>
      <c r="EGC338" s="42" t="s">
        <v>607</v>
      </c>
      <c r="EGD338" s="42" t="s">
        <v>607</v>
      </c>
      <c r="EGE338" s="42" t="s">
        <v>607</v>
      </c>
      <c r="EGF338" s="42" t="s">
        <v>607</v>
      </c>
      <c r="EGG338" s="42" t="s">
        <v>607</v>
      </c>
      <c r="EGH338" s="42" t="s">
        <v>607</v>
      </c>
      <c r="EGI338" s="42" t="s">
        <v>607</v>
      </c>
      <c r="EGJ338" s="42" t="s">
        <v>607</v>
      </c>
      <c r="EGK338" s="42" t="s">
        <v>607</v>
      </c>
      <c r="EGL338" s="42" t="s">
        <v>607</v>
      </c>
      <c r="EGM338" s="42" t="s">
        <v>607</v>
      </c>
      <c r="EGN338" s="42" t="s">
        <v>607</v>
      </c>
      <c r="EGO338" s="42" t="s">
        <v>607</v>
      </c>
      <c r="EGP338" s="42" t="s">
        <v>607</v>
      </c>
      <c r="EGQ338" s="42" t="s">
        <v>607</v>
      </c>
      <c r="EGR338" s="42" t="s">
        <v>607</v>
      </c>
      <c r="EGS338" s="42" t="s">
        <v>607</v>
      </c>
      <c r="EGT338" s="42" t="s">
        <v>607</v>
      </c>
      <c r="EGU338" s="42" t="s">
        <v>607</v>
      </c>
      <c r="EGV338" s="42" t="s">
        <v>607</v>
      </c>
      <c r="EGW338" s="42" t="s">
        <v>607</v>
      </c>
      <c r="EGX338" s="42" t="s">
        <v>607</v>
      </c>
      <c r="EGY338" s="42" t="s">
        <v>607</v>
      </c>
      <c r="EGZ338" s="42" t="s">
        <v>607</v>
      </c>
      <c r="EHA338" s="42" t="s">
        <v>607</v>
      </c>
      <c r="EHB338" s="42" t="s">
        <v>607</v>
      </c>
      <c r="EHC338" s="42" t="s">
        <v>607</v>
      </c>
      <c r="EHD338" s="42" t="s">
        <v>607</v>
      </c>
      <c r="EHE338" s="42" t="s">
        <v>607</v>
      </c>
      <c r="EHF338" s="42" t="s">
        <v>607</v>
      </c>
      <c r="EHG338" s="42" t="s">
        <v>607</v>
      </c>
      <c r="EHH338" s="42" t="s">
        <v>607</v>
      </c>
      <c r="EHI338" s="42" t="s">
        <v>607</v>
      </c>
      <c r="EHJ338" s="42" t="s">
        <v>607</v>
      </c>
      <c r="EHK338" s="42" t="s">
        <v>607</v>
      </c>
      <c r="EHL338" s="42" t="s">
        <v>607</v>
      </c>
      <c r="EHM338" s="42" t="s">
        <v>607</v>
      </c>
      <c r="EHN338" s="42" t="s">
        <v>607</v>
      </c>
      <c r="EHO338" s="42" t="s">
        <v>607</v>
      </c>
      <c r="EHP338" s="42" t="s">
        <v>607</v>
      </c>
      <c r="EHQ338" s="42" t="s">
        <v>607</v>
      </c>
      <c r="EHR338" s="42" t="s">
        <v>607</v>
      </c>
      <c r="EHS338" s="42" t="s">
        <v>607</v>
      </c>
      <c r="EHT338" s="42" t="s">
        <v>607</v>
      </c>
      <c r="EHU338" s="42" t="s">
        <v>607</v>
      </c>
      <c r="EHV338" s="42" t="s">
        <v>607</v>
      </c>
      <c r="EHW338" s="42" t="s">
        <v>607</v>
      </c>
      <c r="EHX338" s="42" t="s">
        <v>607</v>
      </c>
      <c r="EHY338" s="42" t="s">
        <v>607</v>
      </c>
      <c r="EHZ338" s="42" t="s">
        <v>607</v>
      </c>
      <c r="EIA338" s="42" t="s">
        <v>607</v>
      </c>
      <c r="EIB338" s="42" t="s">
        <v>607</v>
      </c>
      <c r="EIC338" s="42" t="s">
        <v>607</v>
      </c>
      <c r="EID338" s="42" t="s">
        <v>607</v>
      </c>
      <c r="EIE338" s="42" t="s">
        <v>607</v>
      </c>
      <c r="EIF338" s="42" t="s">
        <v>607</v>
      </c>
      <c r="EIG338" s="42" t="s">
        <v>607</v>
      </c>
      <c r="EIH338" s="42" t="s">
        <v>607</v>
      </c>
      <c r="EII338" s="42" t="s">
        <v>607</v>
      </c>
      <c r="EIJ338" s="42" t="s">
        <v>607</v>
      </c>
      <c r="EIK338" s="42" t="s">
        <v>607</v>
      </c>
      <c r="EIL338" s="42" t="s">
        <v>607</v>
      </c>
      <c r="EIM338" s="42" t="s">
        <v>607</v>
      </c>
      <c r="EIN338" s="42" t="s">
        <v>607</v>
      </c>
      <c r="EIO338" s="42" t="s">
        <v>607</v>
      </c>
      <c r="EIP338" s="42" t="s">
        <v>607</v>
      </c>
      <c r="EIQ338" s="42" t="s">
        <v>607</v>
      </c>
      <c r="EIR338" s="42" t="s">
        <v>607</v>
      </c>
      <c r="EIS338" s="42" t="s">
        <v>607</v>
      </c>
      <c r="EIT338" s="42" t="s">
        <v>607</v>
      </c>
      <c r="EIU338" s="42" t="s">
        <v>607</v>
      </c>
      <c r="EIV338" s="42" t="s">
        <v>607</v>
      </c>
      <c r="EIW338" s="42" t="s">
        <v>607</v>
      </c>
      <c r="EIX338" s="42" t="s">
        <v>607</v>
      </c>
      <c r="EIY338" s="42" t="s">
        <v>607</v>
      </c>
      <c r="EIZ338" s="42" t="s">
        <v>607</v>
      </c>
      <c r="EJA338" s="42" t="s">
        <v>607</v>
      </c>
      <c r="EJB338" s="42" t="s">
        <v>607</v>
      </c>
      <c r="EJC338" s="42" t="s">
        <v>607</v>
      </c>
      <c r="EJD338" s="42" t="s">
        <v>607</v>
      </c>
      <c r="EJE338" s="42" t="s">
        <v>607</v>
      </c>
      <c r="EJF338" s="42" t="s">
        <v>607</v>
      </c>
      <c r="EJG338" s="42" t="s">
        <v>607</v>
      </c>
      <c r="EJH338" s="42" t="s">
        <v>607</v>
      </c>
      <c r="EJI338" s="42" t="s">
        <v>607</v>
      </c>
      <c r="EJJ338" s="42" t="s">
        <v>607</v>
      </c>
      <c r="EJK338" s="42" t="s">
        <v>607</v>
      </c>
      <c r="EJL338" s="42" t="s">
        <v>607</v>
      </c>
      <c r="EJM338" s="42" t="s">
        <v>607</v>
      </c>
      <c r="EJN338" s="42" t="s">
        <v>607</v>
      </c>
      <c r="EJO338" s="42" t="s">
        <v>607</v>
      </c>
      <c r="EJP338" s="42" t="s">
        <v>607</v>
      </c>
      <c r="EJQ338" s="42" t="s">
        <v>607</v>
      </c>
      <c r="EJR338" s="42" t="s">
        <v>607</v>
      </c>
      <c r="EJS338" s="42" t="s">
        <v>607</v>
      </c>
      <c r="EJT338" s="42" t="s">
        <v>607</v>
      </c>
      <c r="EJU338" s="42" t="s">
        <v>607</v>
      </c>
      <c r="EJV338" s="42" t="s">
        <v>607</v>
      </c>
      <c r="EJW338" s="42" t="s">
        <v>607</v>
      </c>
      <c r="EJX338" s="42" t="s">
        <v>607</v>
      </c>
      <c r="EJY338" s="42" t="s">
        <v>607</v>
      </c>
      <c r="EJZ338" s="42" t="s">
        <v>607</v>
      </c>
      <c r="EKA338" s="42" t="s">
        <v>607</v>
      </c>
      <c r="EKB338" s="42" t="s">
        <v>607</v>
      </c>
      <c r="EKC338" s="42" t="s">
        <v>607</v>
      </c>
      <c r="EKD338" s="42" t="s">
        <v>607</v>
      </c>
      <c r="EKE338" s="42" t="s">
        <v>607</v>
      </c>
      <c r="EKF338" s="42" t="s">
        <v>607</v>
      </c>
      <c r="EKG338" s="42" t="s">
        <v>607</v>
      </c>
      <c r="EKH338" s="42" t="s">
        <v>607</v>
      </c>
      <c r="EKI338" s="42" t="s">
        <v>607</v>
      </c>
      <c r="EKJ338" s="42" t="s">
        <v>607</v>
      </c>
      <c r="EKK338" s="42" t="s">
        <v>607</v>
      </c>
      <c r="EKL338" s="42" t="s">
        <v>607</v>
      </c>
      <c r="EKM338" s="42" t="s">
        <v>607</v>
      </c>
      <c r="EKN338" s="42" t="s">
        <v>607</v>
      </c>
      <c r="EKO338" s="42" t="s">
        <v>607</v>
      </c>
      <c r="EKP338" s="42" t="s">
        <v>607</v>
      </c>
      <c r="EKQ338" s="42" t="s">
        <v>607</v>
      </c>
      <c r="EKR338" s="42" t="s">
        <v>607</v>
      </c>
      <c r="EKS338" s="42" t="s">
        <v>607</v>
      </c>
      <c r="EKT338" s="42" t="s">
        <v>607</v>
      </c>
      <c r="EKU338" s="42" t="s">
        <v>607</v>
      </c>
      <c r="EKV338" s="42" t="s">
        <v>607</v>
      </c>
      <c r="EKW338" s="42" t="s">
        <v>607</v>
      </c>
      <c r="EKX338" s="42" t="s">
        <v>607</v>
      </c>
      <c r="EKY338" s="42" t="s">
        <v>607</v>
      </c>
      <c r="EKZ338" s="42" t="s">
        <v>607</v>
      </c>
      <c r="ELA338" s="42" t="s">
        <v>607</v>
      </c>
      <c r="ELB338" s="42" t="s">
        <v>607</v>
      </c>
      <c r="ELC338" s="42" t="s">
        <v>607</v>
      </c>
      <c r="ELD338" s="42" t="s">
        <v>607</v>
      </c>
      <c r="ELE338" s="42" t="s">
        <v>607</v>
      </c>
      <c r="ELF338" s="42" t="s">
        <v>607</v>
      </c>
      <c r="ELG338" s="42" t="s">
        <v>607</v>
      </c>
      <c r="ELH338" s="42" t="s">
        <v>607</v>
      </c>
      <c r="ELI338" s="42" t="s">
        <v>607</v>
      </c>
      <c r="ELJ338" s="42" t="s">
        <v>607</v>
      </c>
      <c r="ELK338" s="42" t="s">
        <v>607</v>
      </c>
      <c r="ELL338" s="42" t="s">
        <v>607</v>
      </c>
      <c r="ELM338" s="42" t="s">
        <v>607</v>
      </c>
      <c r="ELN338" s="42" t="s">
        <v>607</v>
      </c>
      <c r="ELO338" s="42" t="s">
        <v>607</v>
      </c>
      <c r="ELP338" s="42" t="s">
        <v>607</v>
      </c>
      <c r="ELQ338" s="42" t="s">
        <v>607</v>
      </c>
      <c r="ELR338" s="42" t="s">
        <v>607</v>
      </c>
      <c r="ELS338" s="42" t="s">
        <v>607</v>
      </c>
      <c r="ELT338" s="42" t="s">
        <v>607</v>
      </c>
      <c r="ELU338" s="42" t="s">
        <v>607</v>
      </c>
      <c r="ELV338" s="42" t="s">
        <v>607</v>
      </c>
      <c r="ELW338" s="42" t="s">
        <v>607</v>
      </c>
      <c r="ELX338" s="42" t="s">
        <v>607</v>
      </c>
      <c r="ELY338" s="42" t="s">
        <v>607</v>
      </c>
      <c r="ELZ338" s="42" t="s">
        <v>607</v>
      </c>
      <c r="EMA338" s="42" t="s">
        <v>607</v>
      </c>
      <c r="EMB338" s="42" t="s">
        <v>607</v>
      </c>
      <c r="EMC338" s="42" t="s">
        <v>607</v>
      </c>
      <c r="EMD338" s="42" t="s">
        <v>607</v>
      </c>
      <c r="EME338" s="42" t="s">
        <v>607</v>
      </c>
      <c r="EMF338" s="42" t="s">
        <v>607</v>
      </c>
      <c r="EMG338" s="42" t="s">
        <v>607</v>
      </c>
      <c r="EMH338" s="42" t="s">
        <v>607</v>
      </c>
      <c r="EMI338" s="42" t="s">
        <v>607</v>
      </c>
      <c r="EMJ338" s="42" t="s">
        <v>607</v>
      </c>
      <c r="EMK338" s="42" t="s">
        <v>607</v>
      </c>
      <c r="EML338" s="42" t="s">
        <v>607</v>
      </c>
      <c r="EMM338" s="42" t="s">
        <v>607</v>
      </c>
      <c r="EMN338" s="42" t="s">
        <v>607</v>
      </c>
      <c r="EMO338" s="42" t="s">
        <v>607</v>
      </c>
      <c r="EMP338" s="42" t="s">
        <v>607</v>
      </c>
      <c r="EMQ338" s="42" t="s">
        <v>607</v>
      </c>
      <c r="EMR338" s="42" t="s">
        <v>607</v>
      </c>
      <c r="EMS338" s="42" t="s">
        <v>607</v>
      </c>
      <c r="EMT338" s="42" t="s">
        <v>607</v>
      </c>
      <c r="EMU338" s="42" t="s">
        <v>607</v>
      </c>
      <c r="EMV338" s="42" t="s">
        <v>607</v>
      </c>
      <c r="EMW338" s="42" t="s">
        <v>607</v>
      </c>
      <c r="EMX338" s="42" t="s">
        <v>607</v>
      </c>
      <c r="EMY338" s="42" t="s">
        <v>607</v>
      </c>
      <c r="EMZ338" s="42" t="s">
        <v>607</v>
      </c>
      <c r="ENA338" s="42" t="s">
        <v>607</v>
      </c>
      <c r="ENB338" s="42" t="s">
        <v>607</v>
      </c>
      <c r="ENC338" s="42" t="s">
        <v>607</v>
      </c>
      <c r="END338" s="42" t="s">
        <v>607</v>
      </c>
      <c r="ENE338" s="42" t="s">
        <v>607</v>
      </c>
      <c r="ENF338" s="42" t="s">
        <v>607</v>
      </c>
      <c r="ENG338" s="42" t="s">
        <v>607</v>
      </c>
      <c r="ENH338" s="42" t="s">
        <v>607</v>
      </c>
      <c r="ENI338" s="42" t="s">
        <v>607</v>
      </c>
      <c r="ENJ338" s="42" t="s">
        <v>607</v>
      </c>
      <c r="ENK338" s="42" t="s">
        <v>607</v>
      </c>
      <c r="ENL338" s="42" t="s">
        <v>607</v>
      </c>
      <c r="ENM338" s="42" t="s">
        <v>607</v>
      </c>
      <c r="ENN338" s="42" t="s">
        <v>607</v>
      </c>
      <c r="ENO338" s="42" t="s">
        <v>607</v>
      </c>
      <c r="ENP338" s="42" t="s">
        <v>607</v>
      </c>
      <c r="ENQ338" s="42" t="s">
        <v>607</v>
      </c>
      <c r="ENR338" s="42" t="s">
        <v>607</v>
      </c>
      <c r="ENS338" s="42" t="s">
        <v>607</v>
      </c>
      <c r="ENT338" s="42" t="s">
        <v>607</v>
      </c>
      <c r="ENU338" s="42" t="s">
        <v>607</v>
      </c>
      <c r="ENV338" s="42" t="s">
        <v>607</v>
      </c>
      <c r="ENW338" s="42" t="s">
        <v>607</v>
      </c>
      <c r="ENX338" s="42" t="s">
        <v>607</v>
      </c>
      <c r="ENY338" s="42" t="s">
        <v>607</v>
      </c>
      <c r="ENZ338" s="42" t="s">
        <v>607</v>
      </c>
      <c r="EOA338" s="42" t="s">
        <v>607</v>
      </c>
      <c r="EOB338" s="42" t="s">
        <v>607</v>
      </c>
      <c r="EOC338" s="42" t="s">
        <v>607</v>
      </c>
      <c r="EOD338" s="42" t="s">
        <v>607</v>
      </c>
      <c r="EOE338" s="42" t="s">
        <v>607</v>
      </c>
      <c r="EOF338" s="42" t="s">
        <v>607</v>
      </c>
      <c r="EOG338" s="42" t="s">
        <v>607</v>
      </c>
      <c r="EOH338" s="42" t="s">
        <v>607</v>
      </c>
      <c r="EOI338" s="42" t="s">
        <v>607</v>
      </c>
      <c r="EOJ338" s="42" t="s">
        <v>607</v>
      </c>
      <c r="EOK338" s="42" t="s">
        <v>607</v>
      </c>
      <c r="EOL338" s="42" t="s">
        <v>607</v>
      </c>
      <c r="EOM338" s="42" t="s">
        <v>607</v>
      </c>
      <c r="EON338" s="42" t="s">
        <v>607</v>
      </c>
      <c r="EOO338" s="42" t="s">
        <v>607</v>
      </c>
      <c r="EOP338" s="42" t="s">
        <v>607</v>
      </c>
      <c r="EOQ338" s="42" t="s">
        <v>607</v>
      </c>
      <c r="EOR338" s="42" t="s">
        <v>607</v>
      </c>
      <c r="EOS338" s="42" t="s">
        <v>607</v>
      </c>
      <c r="EOT338" s="42" t="s">
        <v>607</v>
      </c>
      <c r="EOU338" s="42" t="s">
        <v>607</v>
      </c>
      <c r="EOV338" s="42" t="s">
        <v>607</v>
      </c>
      <c r="EOW338" s="42" t="s">
        <v>607</v>
      </c>
      <c r="EOX338" s="42" t="s">
        <v>607</v>
      </c>
      <c r="EOY338" s="42" t="s">
        <v>607</v>
      </c>
      <c r="EOZ338" s="42" t="s">
        <v>607</v>
      </c>
      <c r="EPA338" s="42" t="s">
        <v>607</v>
      </c>
      <c r="EPB338" s="42" t="s">
        <v>607</v>
      </c>
      <c r="EPC338" s="42" t="s">
        <v>607</v>
      </c>
      <c r="EPD338" s="42" t="s">
        <v>607</v>
      </c>
      <c r="EPE338" s="42" t="s">
        <v>607</v>
      </c>
      <c r="EPF338" s="42" t="s">
        <v>607</v>
      </c>
      <c r="EPG338" s="42" t="s">
        <v>607</v>
      </c>
      <c r="EPH338" s="42" t="s">
        <v>607</v>
      </c>
      <c r="EPI338" s="42" t="s">
        <v>607</v>
      </c>
      <c r="EPJ338" s="42" t="s">
        <v>607</v>
      </c>
      <c r="EPK338" s="42" t="s">
        <v>607</v>
      </c>
      <c r="EPL338" s="42" t="s">
        <v>607</v>
      </c>
      <c r="EPM338" s="42" t="s">
        <v>607</v>
      </c>
      <c r="EPN338" s="42" t="s">
        <v>607</v>
      </c>
      <c r="EPO338" s="42" t="s">
        <v>607</v>
      </c>
      <c r="EPP338" s="42" t="s">
        <v>607</v>
      </c>
      <c r="EPQ338" s="42" t="s">
        <v>607</v>
      </c>
      <c r="EPR338" s="42" t="s">
        <v>607</v>
      </c>
      <c r="EPS338" s="42" t="s">
        <v>607</v>
      </c>
      <c r="EPT338" s="42" t="s">
        <v>607</v>
      </c>
      <c r="EPU338" s="42" t="s">
        <v>607</v>
      </c>
      <c r="EPV338" s="42" t="s">
        <v>607</v>
      </c>
      <c r="EPW338" s="42" t="s">
        <v>607</v>
      </c>
      <c r="EPX338" s="42" t="s">
        <v>607</v>
      </c>
      <c r="EPY338" s="42" t="s">
        <v>607</v>
      </c>
      <c r="EPZ338" s="42" t="s">
        <v>607</v>
      </c>
      <c r="EQA338" s="42" t="s">
        <v>607</v>
      </c>
      <c r="EQB338" s="42" t="s">
        <v>607</v>
      </c>
      <c r="EQC338" s="42" t="s">
        <v>607</v>
      </c>
      <c r="EQD338" s="42" t="s">
        <v>607</v>
      </c>
      <c r="EQE338" s="42" t="s">
        <v>607</v>
      </c>
      <c r="EQF338" s="42" t="s">
        <v>607</v>
      </c>
      <c r="EQG338" s="42" t="s">
        <v>607</v>
      </c>
      <c r="EQH338" s="42" t="s">
        <v>607</v>
      </c>
      <c r="EQI338" s="42" t="s">
        <v>607</v>
      </c>
      <c r="EQJ338" s="42" t="s">
        <v>607</v>
      </c>
      <c r="EQK338" s="42" t="s">
        <v>607</v>
      </c>
      <c r="EQL338" s="42" t="s">
        <v>607</v>
      </c>
      <c r="EQM338" s="42" t="s">
        <v>607</v>
      </c>
      <c r="EQN338" s="42" t="s">
        <v>607</v>
      </c>
      <c r="EQO338" s="42" t="s">
        <v>607</v>
      </c>
      <c r="EQP338" s="42" t="s">
        <v>607</v>
      </c>
      <c r="EQQ338" s="42" t="s">
        <v>607</v>
      </c>
      <c r="EQR338" s="42" t="s">
        <v>607</v>
      </c>
      <c r="EQS338" s="42" t="s">
        <v>607</v>
      </c>
      <c r="EQT338" s="42" t="s">
        <v>607</v>
      </c>
      <c r="EQU338" s="42" t="s">
        <v>607</v>
      </c>
      <c r="EQV338" s="42" t="s">
        <v>607</v>
      </c>
      <c r="EQW338" s="42" t="s">
        <v>607</v>
      </c>
      <c r="EQX338" s="42" t="s">
        <v>607</v>
      </c>
      <c r="EQY338" s="42" t="s">
        <v>607</v>
      </c>
      <c r="EQZ338" s="42" t="s">
        <v>607</v>
      </c>
      <c r="ERA338" s="42" t="s">
        <v>607</v>
      </c>
      <c r="ERB338" s="42" t="s">
        <v>607</v>
      </c>
      <c r="ERC338" s="42" t="s">
        <v>607</v>
      </c>
      <c r="ERD338" s="42" t="s">
        <v>607</v>
      </c>
      <c r="ERE338" s="42" t="s">
        <v>607</v>
      </c>
      <c r="ERF338" s="42" t="s">
        <v>607</v>
      </c>
      <c r="ERG338" s="42" t="s">
        <v>607</v>
      </c>
      <c r="ERH338" s="42" t="s">
        <v>607</v>
      </c>
      <c r="ERI338" s="42" t="s">
        <v>607</v>
      </c>
      <c r="ERJ338" s="42" t="s">
        <v>607</v>
      </c>
      <c r="ERK338" s="42" t="s">
        <v>607</v>
      </c>
      <c r="ERL338" s="42" t="s">
        <v>607</v>
      </c>
      <c r="ERM338" s="42" t="s">
        <v>607</v>
      </c>
      <c r="ERN338" s="42" t="s">
        <v>607</v>
      </c>
      <c r="ERO338" s="42" t="s">
        <v>607</v>
      </c>
      <c r="ERP338" s="42" t="s">
        <v>607</v>
      </c>
      <c r="ERQ338" s="42" t="s">
        <v>607</v>
      </c>
      <c r="ERR338" s="42" t="s">
        <v>607</v>
      </c>
      <c r="ERS338" s="42" t="s">
        <v>607</v>
      </c>
      <c r="ERT338" s="42" t="s">
        <v>607</v>
      </c>
      <c r="ERU338" s="42" t="s">
        <v>607</v>
      </c>
      <c r="ERV338" s="42" t="s">
        <v>607</v>
      </c>
      <c r="ERW338" s="42" t="s">
        <v>607</v>
      </c>
      <c r="ERX338" s="42" t="s">
        <v>607</v>
      </c>
      <c r="ERY338" s="42" t="s">
        <v>607</v>
      </c>
      <c r="ERZ338" s="42" t="s">
        <v>607</v>
      </c>
      <c r="ESA338" s="42" t="s">
        <v>607</v>
      </c>
      <c r="ESB338" s="42" t="s">
        <v>607</v>
      </c>
      <c r="ESC338" s="42" t="s">
        <v>607</v>
      </c>
      <c r="ESD338" s="42" t="s">
        <v>607</v>
      </c>
      <c r="ESE338" s="42" t="s">
        <v>607</v>
      </c>
      <c r="ESF338" s="42" t="s">
        <v>607</v>
      </c>
      <c r="ESG338" s="42" t="s">
        <v>607</v>
      </c>
      <c r="ESH338" s="42" t="s">
        <v>607</v>
      </c>
      <c r="ESI338" s="42" t="s">
        <v>607</v>
      </c>
      <c r="ESJ338" s="42" t="s">
        <v>607</v>
      </c>
      <c r="ESK338" s="42" t="s">
        <v>607</v>
      </c>
      <c r="ESL338" s="42" t="s">
        <v>607</v>
      </c>
      <c r="ESM338" s="42" t="s">
        <v>607</v>
      </c>
      <c r="ESN338" s="42" t="s">
        <v>607</v>
      </c>
      <c r="ESO338" s="42" t="s">
        <v>607</v>
      </c>
      <c r="ESP338" s="42" t="s">
        <v>607</v>
      </c>
      <c r="ESQ338" s="42" t="s">
        <v>607</v>
      </c>
      <c r="ESR338" s="42" t="s">
        <v>607</v>
      </c>
      <c r="ESS338" s="42" t="s">
        <v>607</v>
      </c>
      <c r="EST338" s="42" t="s">
        <v>607</v>
      </c>
      <c r="ESU338" s="42" t="s">
        <v>607</v>
      </c>
      <c r="ESV338" s="42" t="s">
        <v>607</v>
      </c>
      <c r="ESW338" s="42" t="s">
        <v>607</v>
      </c>
      <c r="ESX338" s="42" t="s">
        <v>607</v>
      </c>
      <c r="ESY338" s="42" t="s">
        <v>607</v>
      </c>
      <c r="ESZ338" s="42" t="s">
        <v>607</v>
      </c>
      <c r="ETA338" s="42" t="s">
        <v>607</v>
      </c>
      <c r="ETB338" s="42" t="s">
        <v>607</v>
      </c>
      <c r="ETC338" s="42" t="s">
        <v>607</v>
      </c>
      <c r="ETD338" s="42" t="s">
        <v>607</v>
      </c>
      <c r="ETE338" s="42" t="s">
        <v>607</v>
      </c>
      <c r="ETF338" s="42" t="s">
        <v>607</v>
      </c>
      <c r="ETG338" s="42" t="s">
        <v>607</v>
      </c>
      <c r="ETH338" s="42" t="s">
        <v>607</v>
      </c>
      <c r="ETI338" s="42" t="s">
        <v>607</v>
      </c>
      <c r="ETJ338" s="42" t="s">
        <v>607</v>
      </c>
      <c r="ETK338" s="42" t="s">
        <v>607</v>
      </c>
      <c r="ETL338" s="42" t="s">
        <v>607</v>
      </c>
      <c r="ETM338" s="42" t="s">
        <v>607</v>
      </c>
      <c r="ETN338" s="42" t="s">
        <v>607</v>
      </c>
      <c r="ETO338" s="42" t="s">
        <v>607</v>
      </c>
      <c r="ETP338" s="42" t="s">
        <v>607</v>
      </c>
      <c r="ETQ338" s="42" t="s">
        <v>607</v>
      </c>
      <c r="ETR338" s="42" t="s">
        <v>607</v>
      </c>
      <c r="ETS338" s="42" t="s">
        <v>607</v>
      </c>
      <c r="ETT338" s="42" t="s">
        <v>607</v>
      </c>
      <c r="ETU338" s="42" t="s">
        <v>607</v>
      </c>
      <c r="ETV338" s="42" t="s">
        <v>607</v>
      </c>
      <c r="ETW338" s="42" t="s">
        <v>607</v>
      </c>
      <c r="ETX338" s="42" t="s">
        <v>607</v>
      </c>
      <c r="ETY338" s="42" t="s">
        <v>607</v>
      </c>
      <c r="ETZ338" s="42" t="s">
        <v>607</v>
      </c>
      <c r="EUA338" s="42" t="s">
        <v>607</v>
      </c>
      <c r="EUB338" s="42" t="s">
        <v>607</v>
      </c>
      <c r="EUC338" s="42" t="s">
        <v>607</v>
      </c>
      <c r="EUD338" s="42" t="s">
        <v>607</v>
      </c>
      <c r="EUE338" s="42" t="s">
        <v>607</v>
      </c>
      <c r="EUF338" s="42" t="s">
        <v>607</v>
      </c>
      <c r="EUG338" s="42" t="s">
        <v>607</v>
      </c>
      <c r="EUH338" s="42" t="s">
        <v>607</v>
      </c>
      <c r="EUI338" s="42" t="s">
        <v>607</v>
      </c>
      <c r="EUJ338" s="42" t="s">
        <v>607</v>
      </c>
      <c r="EUK338" s="42" t="s">
        <v>607</v>
      </c>
      <c r="EUL338" s="42" t="s">
        <v>607</v>
      </c>
      <c r="EUM338" s="42" t="s">
        <v>607</v>
      </c>
      <c r="EUN338" s="42" t="s">
        <v>607</v>
      </c>
      <c r="EUO338" s="42" t="s">
        <v>607</v>
      </c>
      <c r="EUP338" s="42" t="s">
        <v>607</v>
      </c>
      <c r="EUQ338" s="42" t="s">
        <v>607</v>
      </c>
      <c r="EUR338" s="42" t="s">
        <v>607</v>
      </c>
      <c r="EUS338" s="42" t="s">
        <v>607</v>
      </c>
      <c r="EUT338" s="42" t="s">
        <v>607</v>
      </c>
      <c r="EUU338" s="42" t="s">
        <v>607</v>
      </c>
      <c r="EUV338" s="42" t="s">
        <v>607</v>
      </c>
      <c r="EUW338" s="42" t="s">
        <v>607</v>
      </c>
      <c r="EUX338" s="42" t="s">
        <v>607</v>
      </c>
      <c r="EUY338" s="42" t="s">
        <v>607</v>
      </c>
      <c r="EUZ338" s="42" t="s">
        <v>607</v>
      </c>
      <c r="EVA338" s="42" t="s">
        <v>607</v>
      </c>
      <c r="EVB338" s="42" t="s">
        <v>607</v>
      </c>
      <c r="EVC338" s="42" t="s">
        <v>607</v>
      </c>
      <c r="EVD338" s="42" t="s">
        <v>607</v>
      </c>
      <c r="EVE338" s="42" t="s">
        <v>607</v>
      </c>
      <c r="EVF338" s="42" t="s">
        <v>607</v>
      </c>
      <c r="EVG338" s="42" t="s">
        <v>607</v>
      </c>
      <c r="EVH338" s="42" t="s">
        <v>607</v>
      </c>
      <c r="EVI338" s="42" t="s">
        <v>607</v>
      </c>
      <c r="EVJ338" s="42" t="s">
        <v>607</v>
      </c>
      <c r="EVK338" s="42" t="s">
        <v>607</v>
      </c>
      <c r="EVL338" s="42" t="s">
        <v>607</v>
      </c>
      <c r="EVM338" s="42" t="s">
        <v>607</v>
      </c>
      <c r="EVN338" s="42" t="s">
        <v>607</v>
      </c>
      <c r="EVO338" s="42" t="s">
        <v>607</v>
      </c>
      <c r="EVP338" s="42" t="s">
        <v>607</v>
      </c>
      <c r="EVQ338" s="42" t="s">
        <v>607</v>
      </c>
      <c r="EVR338" s="42" t="s">
        <v>607</v>
      </c>
      <c r="EVS338" s="42" t="s">
        <v>607</v>
      </c>
      <c r="EVT338" s="42" t="s">
        <v>607</v>
      </c>
      <c r="EVU338" s="42" t="s">
        <v>607</v>
      </c>
      <c r="EVV338" s="42" t="s">
        <v>607</v>
      </c>
      <c r="EVW338" s="42" t="s">
        <v>607</v>
      </c>
      <c r="EVX338" s="42" t="s">
        <v>607</v>
      </c>
      <c r="EVY338" s="42" t="s">
        <v>607</v>
      </c>
      <c r="EVZ338" s="42" t="s">
        <v>607</v>
      </c>
      <c r="EWA338" s="42" t="s">
        <v>607</v>
      </c>
      <c r="EWB338" s="42" t="s">
        <v>607</v>
      </c>
      <c r="EWC338" s="42" t="s">
        <v>607</v>
      </c>
      <c r="EWD338" s="42" t="s">
        <v>607</v>
      </c>
      <c r="EWE338" s="42" t="s">
        <v>607</v>
      </c>
      <c r="EWF338" s="42" t="s">
        <v>607</v>
      </c>
      <c r="EWG338" s="42" t="s">
        <v>607</v>
      </c>
      <c r="EWH338" s="42" t="s">
        <v>607</v>
      </c>
      <c r="EWI338" s="42" t="s">
        <v>607</v>
      </c>
      <c r="EWJ338" s="42" t="s">
        <v>607</v>
      </c>
      <c r="EWK338" s="42" t="s">
        <v>607</v>
      </c>
      <c r="EWL338" s="42" t="s">
        <v>607</v>
      </c>
      <c r="EWM338" s="42" t="s">
        <v>607</v>
      </c>
      <c r="EWN338" s="42" t="s">
        <v>607</v>
      </c>
      <c r="EWO338" s="42" t="s">
        <v>607</v>
      </c>
      <c r="EWP338" s="42" t="s">
        <v>607</v>
      </c>
      <c r="EWQ338" s="42" t="s">
        <v>607</v>
      </c>
      <c r="EWR338" s="42" t="s">
        <v>607</v>
      </c>
      <c r="EWS338" s="42" t="s">
        <v>607</v>
      </c>
      <c r="EWT338" s="42" t="s">
        <v>607</v>
      </c>
      <c r="EWU338" s="42" t="s">
        <v>607</v>
      </c>
      <c r="EWV338" s="42" t="s">
        <v>607</v>
      </c>
      <c r="EWW338" s="42" t="s">
        <v>607</v>
      </c>
      <c r="EWX338" s="42" t="s">
        <v>607</v>
      </c>
      <c r="EWY338" s="42" t="s">
        <v>607</v>
      </c>
      <c r="EWZ338" s="42" t="s">
        <v>607</v>
      </c>
      <c r="EXA338" s="42" t="s">
        <v>607</v>
      </c>
      <c r="EXB338" s="42" t="s">
        <v>607</v>
      </c>
      <c r="EXC338" s="42" t="s">
        <v>607</v>
      </c>
      <c r="EXD338" s="42" t="s">
        <v>607</v>
      </c>
      <c r="EXE338" s="42" t="s">
        <v>607</v>
      </c>
      <c r="EXF338" s="42" t="s">
        <v>607</v>
      </c>
      <c r="EXG338" s="42" t="s">
        <v>607</v>
      </c>
      <c r="EXH338" s="42" t="s">
        <v>607</v>
      </c>
      <c r="EXI338" s="42" t="s">
        <v>607</v>
      </c>
      <c r="EXJ338" s="42" t="s">
        <v>607</v>
      </c>
      <c r="EXK338" s="42" t="s">
        <v>607</v>
      </c>
      <c r="EXL338" s="42" t="s">
        <v>607</v>
      </c>
      <c r="EXM338" s="42" t="s">
        <v>607</v>
      </c>
      <c r="EXN338" s="42" t="s">
        <v>607</v>
      </c>
      <c r="EXO338" s="42" t="s">
        <v>607</v>
      </c>
      <c r="EXP338" s="42" t="s">
        <v>607</v>
      </c>
      <c r="EXQ338" s="42" t="s">
        <v>607</v>
      </c>
      <c r="EXR338" s="42" t="s">
        <v>607</v>
      </c>
      <c r="EXS338" s="42" t="s">
        <v>607</v>
      </c>
      <c r="EXT338" s="42" t="s">
        <v>607</v>
      </c>
      <c r="EXU338" s="42" t="s">
        <v>607</v>
      </c>
      <c r="EXV338" s="42" t="s">
        <v>607</v>
      </c>
      <c r="EXW338" s="42" t="s">
        <v>607</v>
      </c>
      <c r="EXX338" s="42" t="s">
        <v>607</v>
      </c>
      <c r="EXY338" s="42" t="s">
        <v>607</v>
      </c>
      <c r="EXZ338" s="42" t="s">
        <v>607</v>
      </c>
      <c r="EYA338" s="42" t="s">
        <v>607</v>
      </c>
      <c r="EYB338" s="42" t="s">
        <v>607</v>
      </c>
      <c r="EYC338" s="42" t="s">
        <v>607</v>
      </c>
      <c r="EYD338" s="42" t="s">
        <v>607</v>
      </c>
      <c r="EYE338" s="42" t="s">
        <v>607</v>
      </c>
      <c r="EYF338" s="42" t="s">
        <v>607</v>
      </c>
      <c r="EYG338" s="42" t="s">
        <v>607</v>
      </c>
      <c r="EYH338" s="42" t="s">
        <v>607</v>
      </c>
      <c r="EYI338" s="42" t="s">
        <v>607</v>
      </c>
      <c r="EYJ338" s="42" t="s">
        <v>607</v>
      </c>
      <c r="EYK338" s="42" t="s">
        <v>607</v>
      </c>
      <c r="EYL338" s="42" t="s">
        <v>607</v>
      </c>
      <c r="EYM338" s="42" t="s">
        <v>607</v>
      </c>
      <c r="EYN338" s="42" t="s">
        <v>607</v>
      </c>
      <c r="EYO338" s="42" t="s">
        <v>607</v>
      </c>
      <c r="EYP338" s="42" t="s">
        <v>607</v>
      </c>
      <c r="EYQ338" s="42" t="s">
        <v>607</v>
      </c>
      <c r="EYR338" s="42" t="s">
        <v>607</v>
      </c>
      <c r="EYS338" s="42" t="s">
        <v>607</v>
      </c>
      <c r="EYT338" s="42" t="s">
        <v>607</v>
      </c>
      <c r="EYU338" s="42" t="s">
        <v>607</v>
      </c>
      <c r="EYV338" s="42" t="s">
        <v>607</v>
      </c>
      <c r="EYW338" s="42" t="s">
        <v>607</v>
      </c>
      <c r="EYX338" s="42" t="s">
        <v>607</v>
      </c>
      <c r="EYY338" s="42" t="s">
        <v>607</v>
      </c>
      <c r="EYZ338" s="42" t="s">
        <v>607</v>
      </c>
      <c r="EZA338" s="42" t="s">
        <v>607</v>
      </c>
      <c r="EZB338" s="42" t="s">
        <v>607</v>
      </c>
      <c r="EZC338" s="42" t="s">
        <v>607</v>
      </c>
      <c r="EZD338" s="42" t="s">
        <v>607</v>
      </c>
      <c r="EZE338" s="42" t="s">
        <v>607</v>
      </c>
      <c r="EZF338" s="42" t="s">
        <v>607</v>
      </c>
      <c r="EZG338" s="42" t="s">
        <v>607</v>
      </c>
      <c r="EZH338" s="42" t="s">
        <v>607</v>
      </c>
      <c r="EZI338" s="42" t="s">
        <v>607</v>
      </c>
      <c r="EZJ338" s="42" t="s">
        <v>607</v>
      </c>
      <c r="EZK338" s="42" t="s">
        <v>607</v>
      </c>
      <c r="EZL338" s="42" t="s">
        <v>607</v>
      </c>
      <c r="EZM338" s="42" t="s">
        <v>607</v>
      </c>
      <c r="EZN338" s="42" t="s">
        <v>607</v>
      </c>
      <c r="EZO338" s="42" t="s">
        <v>607</v>
      </c>
      <c r="EZP338" s="42" t="s">
        <v>607</v>
      </c>
      <c r="EZQ338" s="42" t="s">
        <v>607</v>
      </c>
      <c r="EZR338" s="42" t="s">
        <v>607</v>
      </c>
      <c r="EZS338" s="42" t="s">
        <v>607</v>
      </c>
      <c r="EZT338" s="42" t="s">
        <v>607</v>
      </c>
      <c r="EZU338" s="42" t="s">
        <v>607</v>
      </c>
      <c r="EZV338" s="42" t="s">
        <v>607</v>
      </c>
      <c r="EZW338" s="42" t="s">
        <v>607</v>
      </c>
      <c r="EZX338" s="42" t="s">
        <v>607</v>
      </c>
      <c r="EZY338" s="42" t="s">
        <v>607</v>
      </c>
      <c r="EZZ338" s="42" t="s">
        <v>607</v>
      </c>
      <c r="FAA338" s="42" t="s">
        <v>607</v>
      </c>
      <c r="FAB338" s="42" t="s">
        <v>607</v>
      </c>
      <c r="FAC338" s="42" t="s">
        <v>607</v>
      </c>
      <c r="FAD338" s="42" t="s">
        <v>607</v>
      </c>
      <c r="FAE338" s="42" t="s">
        <v>607</v>
      </c>
      <c r="FAF338" s="42" t="s">
        <v>607</v>
      </c>
      <c r="FAG338" s="42" t="s">
        <v>607</v>
      </c>
      <c r="FAH338" s="42" t="s">
        <v>607</v>
      </c>
      <c r="FAI338" s="42" t="s">
        <v>607</v>
      </c>
      <c r="FAJ338" s="42" t="s">
        <v>607</v>
      </c>
      <c r="FAK338" s="42" t="s">
        <v>607</v>
      </c>
      <c r="FAL338" s="42" t="s">
        <v>607</v>
      </c>
      <c r="FAM338" s="42" t="s">
        <v>607</v>
      </c>
      <c r="FAN338" s="42" t="s">
        <v>607</v>
      </c>
      <c r="FAO338" s="42" t="s">
        <v>607</v>
      </c>
      <c r="FAP338" s="42" t="s">
        <v>607</v>
      </c>
      <c r="FAQ338" s="42" t="s">
        <v>607</v>
      </c>
      <c r="FAR338" s="42" t="s">
        <v>607</v>
      </c>
      <c r="FAS338" s="42" t="s">
        <v>607</v>
      </c>
      <c r="FAT338" s="42" t="s">
        <v>607</v>
      </c>
      <c r="FAU338" s="42" t="s">
        <v>607</v>
      </c>
      <c r="FAV338" s="42" t="s">
        <v>607</v>
      </c>
      <c r="FAW338" s="42" t="s">
        <v>607</v>
      </c>
      <c r="FAX338" s="42" t="s">
        <v>607</v>
      </c>
      <c r="FAY338" s="42" t="s">
        <v>607</v>
      </c>
      <c r="FAZ338" s="42" t="s">
        <v>607</v>
      </c>
      <c r="FBA338" s="42" t="s">
        <v>607</v>
      </c>
      <c r="FBB338" s="42" t="s">
        <v>607</v>
      </c>
      <c r="FBC338" s="42" t="s">
        <v>607</v>
      </c>
      <c r="FBD338" s="42" t="s">
        <v>607</v>
      </c>
      <c r="FBE338" s="42" t="s">
        <v>607</v>
      </c>
      <c r="FBF338" s="42" t="s">
        <v>607</v>
      </c>
      <c r="FBG338" s="42" t="s">
        <v>607</v>
      </c>
      <c r="FBH338" s="42" t="s">
        <v>607</v>
      </c>
      <c r="FBI338" s="42" t="s">
        <v>607</v>
      </c>
      <c r="FBJ338" s="42" t="s">
        <v>607</v>
      </c>
      <c r="FBK338" s="42" t="s">
        <v>607</v>
      </c>
      <c r="FBL338" s="42" t="s">
        <v>607</v>
      </c>
      <c r="FBM338" s="42" t="s">
        <v>607</v>
      </c>
      <c r="FBN338" s="42" t="s">
        <v>607</v>
      </c>
      <c r="FBO338" s="42" t="s">
        <v>607</v>
      </c>
      <c r="FBP338" s="42" t="s">
        <v>607</v>
      </c>
      <c r="FBQ338" s="42" t="s">
        <v>607</v>
      </c>
      <c r="FBR338" s="42" t="s">
        <v>607</v>
      </c>
      <c r="FBS338" s="42" t="s">
        <v>607</v>
      </c>
      <c r="FBT338" s="42" t="s">
        <v>607</v>
      </c>
      <c r="FBU338" s="42" t="s">
        <v>607</v>
      </c>
      <c r="FBV338" s="42" t="s">
        <v>607</v>
      </c>
      <c r="FBW338" s="42" t="s">
        <v>607</v>
      </c>
      <c r="FBX338" s="42" t="s">
        <v>607</v>
      </c>
      <c r="FBY338" s="42" t="s">
        <v>607</v>
      </c>
      <c r="FBZ338" s="42" t="s">
        <v>607</v>
      </c>
      <c r="FCA338" s="42" t="s">
        <v>607</v>
      </c>
      <c r="FCB338" s="42" t="s">
        <v>607</v>
      </c>
      <c r="FCC338" s="42" t="s">
        <v>607</v>
      </c>
      <c r="FCD338" s="42" t="s">
        <v>607</v>
      </c>
      <c r="FCE338" s="42" t="s">
        <v>607</v>
      </c>
      <c r="FCF338" s="42" t="s">
        <v>607</v>
      </c>
      <c r="FCG338" s="42" t="s">
        <v>607</v>
      </c>
      <c r="FCH338" s="42" t="s">
        <v>607</v>
      </c>
      <c r="FCI338" s="42" t="s">
        <v>607</v>
      </c>
      <c r="FCJ338" s="42" t="s">
        <v>607</v>
      </c>
      <c r="FCK338" s="42" t="s">
        <v>607</v>
      </c>
      <c r="FCL338" s="42" t="s">
        <v>607</v>
      </c>
      <c r="FCM338" s="42" t="s">
        <v>607</v>
      </c>
      <c r="FCN338" s="42" t="s">
        <v>607</v>
      </c>
      <c r="FCO338" s="42" t="s">
        <v>607</v>
      </c>
      <c r="FCP338" s="42" t="s">
        <v>607</v>
      </c>
      <c r="FCQ338" s="42" t="s">
        <v>607</v>
      </c>
      <c r="FCR338" s="42" t="s">
        <v>607</v>
      </c>
      <c r="FCS338" s="42" t="s">
        <v>607</v>
      </c>
      <c r="FCT338" s="42" t="s">
        <v>607</v>
      </c>
      <c r="FCU338" s="42" t="s">
        <v>607</v>
      </c>
      <c r="FCV338" s="42" t="s">
        <v>607</v>
      </c>
      <c r="FCW338" s="42" t="s">
        <v>607</v>
      </c>
      <c r="FCX338" s="42" t="s">
        <v>607</v>
      </c>
      <c r="FCY338" s="42" t="s">
        <v>607</v>
      </c>
      <c r="FCZ338" s="42" t="s">
        <v>607</v>
      </c>
      <c r="FDA338" s="42" t="s">
        <v>607</v>
      </c>
      <c r="FDB338" s="42" t="s">
        <v>607</v>
      </c>
      <c r="FDC338" s="42" t="s">
        <v>607</v>
      </c>
      <c r="FDD338" s="42" t="s">
        <v>607</v>
      </c>
      <c r="FDE338" s="42" t="s">
        <v>607</v>
      </c>
      <c r="FDF338" s="42" t="s">
        <v>607</v>
      </c>
      <c r="FDG338" s="42" t="s">
        <v>607</v>
      </c>
      <c r="FDH338" s="42" t="s">
        <v>607</v>
      </c>
      <c r="FDI338" s="42" t="s">
        <v>607</v>
      </c>
      <c r="FDJ338" s="42" t="s">
        <v>607</v>
      </c>
      <c r="FDK338" s="42" t="s">
        <v>607</v>
      </c>
      <c r="FDL338" s="42" t="s">
        <v>607</v>
      </c>
      <c r="FDM338" s="42" t="s">
        <v>607</v>
      </c>
      <c r="FDN338" s="42" t="s">
        <v>607</v>
      </c>
      <c r="FDO338" s="42" t="s">
        <v>607</v>
      </c>
      <c r="FDP338" s="42" t="s">
        <v>607</v>
      </c>
      <c r="FDQ338" s="42" t="s">
        <v>607</v>
      </c>
      <c r="FDR338" s="42" t="s">
        <v>607</v>
      </c>
      <c r="FDS338" s="42" t="s">
        <v>607</v>
      </c>
      <c r="FDT338" s="42" t="s">
        <v>607</v>
      </c>
      <c r="FDU338" s="42" t="s">
        <v>607</v>
      </c>
      <c r="FDV338" s="42" t="s">
        <v>607</v>
      </c>
      <c r="FDW338" s="42" t="s">
        <v>607</v>
      </c>
      <c r="FDX338" s="42" t="s">
        <v>607</v>
      </c>
      <c r="FDY338" s="42" t="s">
        <v>607</v>
      </c>
      <c r="FDZ338" s="42" t="s">
        <v>607</v>
      </c>
      <c r="FEA338" s="42" t="s">
        <v>607</v>
      </c>
      <c r="FEB338" s="42" t="s">
        <v>607</v>
      </c>
      <c r="FEC338" s="42" t="s">
        <v>607</v>
      </c>
      <c r="FED338" s="42" t="s">
        <v>607</v>
      </c>
      <c r="FEE338" s="42" t="s">
        <v>607</v>
      </c>
      <c r="FEF338" s="42" t="s">
        <v>607</v>
      </c>
      <c r="FEG338" s="42" t="s">
        <v>607</v>
      </c>
      <c r="FEH338" s="42" t="s">
        <v>607</v>
      </c>
      <c r="FEI338" s="42" t="s">
        <v>607</v>
      </c>
      <c r="FEJ338" s="42" t="s">
        <v>607</v>
      </c>
      <c r="FEK338" s="42" t="s">
        <v>607</v>
      </c>
      <c r="FEL338" s="42" t="s">
        <v>607</v>
      </c>
      <c r="FEM338" s="42" t="s">
        <v>607</v>
      </c>
      <c r="FEN338" s="42" t="s">
        <v>607</v>
      </c>
      <c r="FEO338" s="42" t="s">
        <v>607</v>
      </c>
      <c r="FEP338" s="42" t="s">
        <v>607</v>
      </c>
      <c r="FEQ338" s="42" t="s">
        <v>607</v>
      </c>
      <c r="FER338" s="42" t="s">
        <v>607</v>
      </c>
      <c r="FES338" s="42" t="s">
        <v>607</v>
      </c>
      <c r="FET338" s="42" t="s">
        <v>607</v>
      </c>
      <c r="FEU338" s="42" t="s">
        <v>607</v>
      </c>
      <c r="FEV338" s="42" t="s">
        <v>607</v>
      </c>
      <c r="FEW338" s="42" t="s">
        <v>607</v>
      </c>
      <c r="FEX338" s="42" t="s">
        <v>607</v>
      </c>
      <c r="FEY338" s="42" t="s">
        <v>607</v>
      </c>
      <c r="FEZ338" s="42" t="s">
        <v>607</v>
      </c>
      <c r="FFA338" s="42" t="s">
        <v>607</v>
      </c>
      <c r="FFB338" s="42" t="s">
        <v>607</v>
      </c>
      <c r="FFC338" s="42" t="s">
        <v>607</v>
      </c>
      <c r="FFD338" s="42" t="s">
        <v>607</v>
      </c>
      <c r="FFE338" s="42" t="s">
        <v>607</v>
      </c>
      <c r="FFF338" s="42" t="s">
        <v>607</v>
      </c>
      <c r="FFG338" s="42" t="s">
        <v>607</v>
      </c>
      <c r="FFH338" s="42" t="s">
        <v>607</v>
      </c>
      <c r="FFI338" s="42" t="s">
        <v>607</v>
      </c>
      <c r="FFJ338" s="42" t="s">
        <v>607</v>
      </c>
      <c r="FFK338" s="42" t="s">
        <v>607</v>
      </c>
      <c r="FFL338" s="42" t="s">
        <v>607</v>
      </c>
      <c r="FFM338" s="42" t="s">
        <v>607</v>
      </c>
      <c r="FFN338" s="42" t="s">
        <v>607</v>
      </c>
      <c r="FFO338" s="42" t="s">
        <v>607</v>
      </c>
      <c r="FFP338" s="42" t="s">
        <v>607</v>
      </c>
      <c r="FFQ338" s="42" t="s">
        <v>607</v>
      </c>
      <c r="FFR338" s="42" t="s">
        <v>607</v>
      </c>
      <c r="FFS338" s="42" t="s">
        <v>607</v>
      </c>
      <c r="FFT338" s="42" t="s">
        <v>607</v>
      </c>
      <c r="FFU338" s="42" t="s">
        <v>607</v>
      </c>
      <c r="FFV338" s="42" t="s">
        <v>607</v>
      </c>
      <c r="FFW338" s="42" t="s">
        <v>607</v>
      </c>
      <c r="FFX338" s="42" t="s">
        <v>607</v>
      </c>
      <c r="FFY338" s="42" t="s">
        <v>607</v>
      </c>
      <c r="FFZ338" s="42" t="s">
        <v>607</v>
      </c>
      <c r="FGA338" s="42" t="s">
        <v>607</v>
      </c>
      <c r="FGB338" s="42" t="s">
        <v>607</v>
      </c>
      <c r="FGC338" s="42" t="s">
        <v>607</v>
      </c>
      <c r="FGD338" s="42" t="s">
        <v>607</v>
      </c>
      <c r="FGE338" s="42" t="s">
        <v>607</v>
      </c>
      <c r="FGF338" s="42" t="s">
        <v>607</v>
      </c>
      <c r="FGG338" s="42" t="s">
        <v>607</v>
      </c>
      <c r="FGH338" s="42" t="s">
        <v>607</v>
      </c>
      <c r="FGI338" s="42" t="s">
        <v>607</v>
      </c>
      <c r="FGJ338" s="42" t="s">
        <v>607</v>
      </c>
      <c r="FGK338" s="42" t="s">
        <v>607</v>
      </c>
      <c r="FGL338" s="42" t="s">
        <v>607</v>
      </c>
      <c r="FGM338" s="42" t="s">
        <v>607</v>
      </c>
      <c r="FGN338" s="42" t="s">
        <v>607</v>
      </c>
      <c r="FGO338" s="42" t="s">
        <v>607</v>
      </c>
      <c r="FGP338" s="42" t="s">
        <v>607</v>
      </c>
      <c r="FGQ338" s="42" t="s">
        <v>607</v>
      </c>
      <c r="FGR338" s="42" t="s">
        <v>607</v>
      </c>
      <c r="FGS338" s="42" t="s">
        <v>607</v>
      </c>
      <c r="FGT338" s="42" t="s">
        <v>607</v>
      </c>
      <c r="FGU338" s="42" t="s">
        <v>607</v>
      </c>
      <c r="FGV338" s="42" t="s">
        <v>607</v>
      </c>
      <c r="FGW338" s="42" t="s">
        <v>607</v>
      </c>
      <c r="FGX338" s="42" t="s">
        <v>607</v>
      </c>
      <c r="FGY338" s="42" t="s">
        <v>607</v>
      </c>
      <c r="FGZ338" s="42" t="s">
        <v>607</v>
      </c>
      <c r="FHA338" s="42" t="s">
        <v>607</v>
      </c>
      <c r="FHB338" s="42" t="s">
        <v>607</v>
      </c>
      <c r="FHC338" s="42" t="s">
        <v>607</v>
      </c>
      <c r="FHD338" s="42" t="s">
        <v>607</v>
      </c>
      <c r="FHE338" s="42" t="s">
        <v>607</v>
      </c>
      <c r="FHF338" s="42" t="s">
        <v>607</v>
      </c>
      <c r="FHG338" s="42" t="s">
        <v>607</v>
      </c>
      <c r="FHH338" s="42" t="s">
        <v>607</v>
      </c>
      <c r="FHI338" s="42" t="s">
        <v>607</v>
      </c>
      <c r="FHJ338" s="42" t="s">
        <v>607</v>
      </c>
      <c r="FHK338" s="42" t="s">
        <v>607</v>
      </c>
      <c r="FHL338" s="42" t="s">
        <v>607</v>
      </c>
      <c r="FHM338" s="42" t="s">
        <v>607</v>
      </c>
      <c r="FHN338" s="42" t="s">
        <v>607</v>
      </c>
      <c r="FHO338" s="42" t="s">
        <v>607</v>
      </c>
      <c r="FHP338" s="42" t="s">
        <v>607</v>
      </c>
      <c r="FHQ338" s="42" t="s">
        <v>607</v>
      </c>
      <c r="FHR338" s="42" t="s">
        <v>607</v>
      </c>
      <c r="FHS338" s="42" t="s">
        <v>607</v>
      </c>
      <c r="FHT338" s="42" t="s">
        <v>607</v>
      </c>
      <c r="FHU338" s="42" t="s">
        <v>607</v>
      </c>
      <c r="FHV338" s="42" t="s">
        <v>607</v>
      </c>
      <c r="FHW338" s="42" t="s">
        <v>607</v>
      </c>
      <c r="FHX338" s="42" t="s">
        <v>607</v>
      </c>
      <c r="FHY338" s="42" t="s">
        <v>607</v>
      </c>
      <c r="FHZ338" s="42" t="s">
        <v>607</v>
      </c>
      <c r="FIA338" s="42" t="s">
        <v>607</v>
      </c>
      <c r="FIB338" s="42" t="s">
        <v>607</v>
      </c>
      <c r="FIC338" s="42" t="s">
        <v>607</v>
      </c>
      <c r="FID338" s="42" t="s">
        <v>607</v>
      </c>
      <c r="FIE338" s="42" t="s">
        <v>607</v>
      </c>
      <c r="FIF338" s="42" t="s">
        <v>607</v>
      </c>
      <c r="FIG338" s="42" t="s">
        <v>607</v>
      </c>
      <c r="FIH338" s="42" t="s">
        <v>607</v>
      </c>
      <c r="FII338" s="42" t="s">
        <v>607</v>
      </c>
      <c r="FIJ338" s="42" t="s">
        <v>607</v>
      </c>
      <c r="FIK338" s="42" t="s">
        <v>607</v>
      </c>
      <c r="FIL338" s="42" t="s">
        <v>607</v>
      </c>
      <c r="FIM338" s="42" t="s">
        <v>607</v>
      </c>
      <c r="FIN338" s="42" t="s">
        <v>607</v>
      </c>
      <c r="FIO338" s="42" t="s">
        <v>607</v>
      </c>
      <c r="FIP338" s="42" t="s">
        <v>607</v>
      </c>
      <c r="FIQ338" s="42" t="s">
        <v>607</v>
      </c>
      <c r="FIR338" s="42" t="s">
        <v>607</v>
      </c>
      <c r="FIS338" s="42" t="s">
        <v>607</v>
      </c>
      <c r="FIT338" s="42" t="s">
        <v>607</v>
      </c>
      <c r="FIU338" s="42" t="s">
        <v>607</v>
      </c>
      <c r="FIV338" s="42" t="s">
        <v>607</v>
      </c>
      <c r="FIW338" s="42" t="s">
        <v>607</v>
      </c>
      <c r="FIX338" s="42" t="s">
        <v>607</v>
      </c>
      <c r="FIY338" s="42" t="s">
        <v>607</v>
      </c>
      <c r="FIZ338" s="42" t="s">
        <v>607</v>
      </c>
      <c r="FJA338" s="42" t="s">
        <v>607</v>
      </c>
      <c r="FJB338" s="42" t="s">
        <v>607</v>
      </c>
      <c r="FJC338" s="42" t="s">
        <v>607</v>
      </c>
      <c r="FJD338" s="42" t="s">
        <v>607</v>
      </c>
      <c r="FJE338" s="42" t="s">
        <v>607</v>
      </c>
      <c r="FJF338" s="42" t="s">
        <v>607</v>
      </c>
      <c r="FJG338" s="42" t="s">
        <v>607</v>
      </c>
      <c r="FJH338" s="42" t="s">
        <v>607</v>
      </c>
      <c r="FJI338" s="42" t="s">
        <v>607</v>
      </c>
      <c r="FJJ338" s="42" t="s">
        <v>607</v>
      </c>
      <c r="FJK338" s="42" t="s">
        <v>607</v>
      </c>
      <c r="FJL338" s="42" t="s">
        <v>607</v>
      </c>
      <c r="FJM338" s="42" t="s">
        <v>607</v>
      </c>
      <c r="FJN338" s="42" t="s">
        <v>607</v>
      </c>
      <c r="FJO338" s="42" t="s">
        <v>607</v>
      </c>
      <c r="FJP338" s="42" t="s">
        <v>607</v>
      </c>
      <c r="FJQ338" s="42" t="s">
        <v>607</v>
      </c>
      <c r="FJR338" s="42" t="s">
        <v>607</v>
      </c>
      <c r="FJS338" s="42" t="s">
        <v>607</v>
      </c>
      <c r="FJT338" s="42" t="s">
        <v>607</v>
      </c>
      <c r="FJU338" s="42" t="s">
        <v>607</v>
      </c>
      <c r="FJV338" s="42" t="s">
        <v>607</v>
      </c>
      <c r="FJW338" s="42" t="s">
        <v>607</v>
      </c>
      <c r="FJX338" s="42" t="s">
        <v>607</v>
      </c>
      <c r="FJY338" s="42" t="s">
        <v>607</v>
      </c>
      <c r="FJZ338" s="42" t="s">
        <v>607</v>
      </c>
      <c r="FKA338" s="42" t="s">
        <v>607</v>
      </c>
      <c r="FKB338" s="42" t="s">
        <v>607</v>
      </c>
      <c r="FKC338" s="42" t="s">
        <v>607</v>
      </c>
      <c r="FKD338" s="42" t="s">
        <v>607</v>
      </c>
      <c r="FKE338" s="42" t="s">
        <v>607</v>
      </c>
      <c r="FKF338" s="42" t="s">
        <v>607</v>
      </c>
      <c r="FKG338" s="42" t="s">
        <v>607</v>
      </c>
      <c r="FKH338" s="42" t="s">
        <v>607</v>
      </c>
      <c r="FKI338" s="42" t="s">
        <v>607</v>
      </c>
      <c r="FKJ338" s="42" t="s">
        <v>607</v>
      </c>
      <c r="FKK338" s="42" t="s">
        <v>607</v>
      </c>
      <c r="FKL338" s="42" t="s">
        <v>607</v>
      </c>
      <c r="FKM338" s="42" t="s">
        <v>607</v>
      </c>
      <c r="FKN338" s="42" t="s">
        <v>607</v>
      </c>
      <c r="FKO338" s="42" t="s">
        <v>607</v>
      </c>
      <c r="FKP338" s="42" t="s">
        <v>607</v>
      </c>
      <c r="FKQ338" s="42" t="s">
        <v>607</v>
      </c>
      <c r="FKR338" s="42" t="s">
        <v>607</v>
      </c>
      <c r="FKS338" s="42" t="s">
        <v>607</v>
      </c>
      <c r="FKT338" s="42" t="s">
        <v>607</v>
      </c>
      <c r="FKU338" s="42" t="s">
        <v>607</v>
      </c>
      <c r="FKV338" s="42" t="s">
        <v>607</v>
      </c>
      <c r="FKW338" s="42" t="s">
        <v>607</v>
      </c>
      <c r="FKX338" s="42" t="s">
        <v>607</v>
      </c>
      <c r="FKY338" s="42" t="s">
        <v>607</v>
      </c>
      <c r="FKZ338" s="42" t="s">
        <v>607</v>
      </c>
      <c r="FLA338" s="42" t="s">
        <v>607</v>
      </c>
      <c r="FLB338" s="42" t="s">
        <v>607</v>
      </c>
      <c r="FLC338" s="42" t="s">
        <v>607</v>
      </c>
      <c r="FLD338" s="42" t="s">
        <v>607</v>
      </c>
      <c r="FLE338" s="42" t="s">
        <v>607</v>
      </c>
      <c r="FLF338" s="42" t="s">
        <v>607</v>
      </c>
      <c r="FLG338" s="42" t="s">
        <v>607</v>
      </c>
      <c r="FLH338" s="42" t="s">
        <v>607</v>
      </c>
      <c r="FLI338" s="42" t="s">
        <v>607</v>
      </c>
      <c r="FLJ338" s="42" t="s">
        <v>607</v>
      </c>
      <c r="FLK338" s="42" t="s">
        <v>607</v>
      </c>
      <c r="FLL338" s="42" t="s">
        <v>607</v>
      </c>
      <c r="FLM338" s="42" t="s">
        <v>607</v>
      </c>
      <c r="FLN338" s="42" t="s">
        <v>607</v>
      </c>
      <c r="FLO338" s="42" t="s">
        <v>607</v>
      </c>
      <c r="FLP338" s="42" t="s">
        <v>607</v>
      </c>
      <c r="FLQ338" s="42" t="s">
        <v>607</v>
      </c>
      <c r="FLR338" s="42" t="s">
        <v>607</v>
      </c>
      <c r="FLS338" s="42" t="s">
        <v>607</v>
      </c>
      <c r="FLT338" s="42" t="s">
        <v>607</v>
      </c>
      <c r="FLU338" s="42" t="s">
        <v>607</v>
      </c>
      <c r="FLV338" s="42" t="s">
        <v>607</v>
      </c>
      <c r="FLW338" s="42" t="s">
        <v>607</v>
      </c>
      <c r="FLX338" s="42" t="s">
        <v>607</v>
      </c>
      <c r="FLY338" s="42" t="s">
        <v>607</v>
      </c>
      <c r="FLZ338" s="42" t="s">
        <v>607</v>
      </c>
      <c r="FMA338" s="42" t="s">
        <v>607</v>
      </c>
      <c r="FMB338" s="42" t="s">
        <v>607</v>
      </c>
      <c r="FMC338" s="42" t="s">
        <v>607</v>
      </c>
      <c r="FMD338" s="42" t="s">
        <v>607</v>
      </c>
      <c r="FME338" s="42" t="s">
        <v>607</v>
      </c>
      <c r="FMF338" s="42" t="s">
        <v>607</v>
      </c>
      <c r="FMG338" s="42" t="s">
        <v>607</v>
      </c>
      <c r="FMH338" s="42" t="s">
        <v>607</v>
      </c>
      <c r="FMI338" s="42" t="s">
        <v>607</v>
      </c>
      <c r="FMJ338" s="42" t="s">
        <v>607</v>
      </c>
      <c r="FMK338" s="42" t="s">
        <v>607</v>
      </c>
      <c r="FML338" s="42" t="s">
        <v>607</v>
      </c>
      <c r="FMM338" s="42" t="s">
        <v>607</v>
      </c>
      <c r="FMN338" s="42" t="s">
        <v>607</v>
      </c>
      <c r="FMO338" s="42" t="s">
        <v>607</v>
      </c>
      <c r="FMP338" s="42" t="s">
        <v>607</v>
      </c>
      <c r="FMQ338" s="42" t="s">
        <v>607</v>
      </c>
      <c r="FMR338" s="42" t="s">
        <v>607</v>
      </c>
      <c r="FMS338" s="42" t="s">
        <v>607</v>
      </c>
      <c r="FMT338" s="42" t="s">
        <v>607</v>
      </c>
      <c r="FMU338" s="42" t="s">
        <v>607</v>
      </c>
      <c r="FMV338" s="42" t="s">
        <v>607</v>
      </c>
      <c r="FMW338" s="42" t="s">
        <v>607</v>
      </c>
      <c r="FMX338" s="42" t="s">
        <v>607</v>
      </c>
      <c r="FMY338" s="42" t="s">
        <v>607</v>
      </c>
      <c r="FMZ338" s="42" t="s">
        <v>607</v>
      </c>
      <c r="FNA338" s="42" t="s">
        <v>607</v>
      </c>
      <c r="FNB338" s="42" t="s">
        <v>607</v>
      </c>
      <c r="FNC338" s="42" t="s">
        <v>607</v>
      </c>
      <c r="FND338" s="42" t="s">
        <v>607</v>
      </c>
      <c r="FNE338" s="42" t="s">
        <v>607</v>
      </c>
      <c r="FNF338" s="42" t="s">
        <v>607</v>
      </c>
      <c r="FNG338" s="42" t="s">
        <v>607</v>
      </c>
      <c r="FNH338" s="42" t="s">
        <v>607</v>
      </c>
      <c r="FNI338" s="42" t="s">
        <v>607</v>
      </c>
      <c r="FNJ338" s="42" t="s">
        <v>607</v>
      </c>
      <c r="FNK338" s="42" t="s">
        <v>607</v>
      </c>
      <c r="FNL338" s="42" t="s">
        <v>607</v>
      </c>
      <c r="FNM338" s="42" t="s">
        <v>607</v>
      </c>
      <c r="FNN338" s="42" t="s">
        <v>607</v>
      </c>
      <c r="FNO338" s="42" t="s">
        <v>607</v>
      </c>
      <c r="FNP338" s="42" t="s">
        <v>607</v>
      </c>
      <c r="FNQ338" s="42" t="s">
        <v>607</v>
      </c>
      <c r="FNR338" s="42" t="s">
        <v>607</v>
      </c>
      <c r="FNS338" s="42" t="s">
        <v>607</v>
      </c>
      <c r="FNT338" s="42" t="s">
        <v>607</v>
      </c>
      <c r="FNU338" s="42" t="s">
        <v>607</v>
      </c>
      <c r="FNV338" s="42" t="s">
        <v>607</v>
      </c>
      <c r="FNW338" s="42" t="s">
        <v>607</v>
      </c>
      <c r="FNX338" s="42" t="s">
        <v>607</v>
      </c>
      <c r="FNY338" s="42" t="s">
        <v>607</v>
      </c>
      <c r="FNZ338" s="42" t="s">
        <v>607</v>
      </c>
      <c r="FOA338" s="42" t="s">
        <v>607</v>
      </c>
      <c r="FOB338" s="42" t="s">
        <v>607</v>
      </c>
      <c r="FOC338" s="42" t="s">
        <v>607</v>
      </c>
      <c r="FOD338" s="42" t="s">
        <v>607</v>
      </c>
      <c r="FOE338" s="42" t="s">
        <v>607</v>
      </c>
      <c r="FOF338" s="42" t="s">
        <v>607</v>
      </c>
      <c r="FOG338" s="42" t="s">
        <v>607</v>
      </c>
      <c r="FOH338" s="42" t="s">
        <v>607</v>
      </c>
      <c r="FOI338" s="42" t="s">
        <v>607</v>
      </c>
      <c r="FOJ338" s="42" t="s">
        <v>607</v>
      </c>
      <c r="FOK338" s="42" t="s">
        <v>607</v>
      </c>
      <c r="FOL338" s="42" t="s">
        <v>607</v>
      </c>
      <c r="FOM338" s="42" t="s">
        <v>607</v>
      </c>
      <c r="FON338" s="42" t="s">
        <v>607</v>
      </c>
      <c r="FOO338" s="42" t="s">
        <v>607</v>
      </c>
      <c r="FOP338" s="42" t="s">
        <v>607</v>
      </c>
      <c r="FOQ338" s="42" t="s">
        <v>607</v>
      </c>
      <c r="FOR338" s="42" t="s">
        <v>607</v>
      </c>
      <c r="FOS338" s="42" t="s">
        <v>607</v>
      </c>
      <c r="FOT338" s="42" t="s">
        <v>607</v>
      </c>
      <c r="FOU338" s="42" t="s">
        <v>607</v>
      </c>
      <c r="FOV338" s="42" t="s">
        <v>607</v>
      </c>
      <c r="FOW338" s="42" t="s">
        <v>607</v>
      </c>
      <c r="FOX338" s="42" t="s">
        <v>607</v>
      </c>
      <c r="FOY338" s="42" t="s">
        <v>607</v>
      </c>
      <c r="FOZ338" s="42" t="s">
        <v>607</v>
      </c>
      <c r="FPA338" s="42" t="s">
        <v>607</v>
      </c>
      <c r="FPB338" s="42" t="s">
        <v>607</v>
      </c>
      <c r="FPC338" s="42" t="s">
        <v>607</v>
      </c>
      <c r="FPD338" s="42" t="s">
        <v>607</v>
      </c>
      <c r="FPE338" s="42" t="s">
        <v>607</v>
      </c>
      <c r="FPF338" s="42" t="s">
        <v>607</v>
      </c>
      <c r="FPG338" s="42" t="s">
        <v>607</v>
      </c>
      <c r="FPH338" s="42" t="s">
        <v>607</v>
      </c>
      <c r="FPI338" s="42" t="s">
        <v>607</v>
      </c>
      <c r="FPJ338" s="42" t="s">
        <v>607</v>
      </c>
      <c r="FPK338" s="42" t="s">
        <v>607</v>
      </c>
      <c r="FPL338" s="42" t="s">
        <v>607</v>
      </c>
      <c r="FPM338" s="42" t="s">
        <v>607</v>
      </c>
      <c r="FPN338" s="42" t="s">
        <v>607</v>
      </c>
      <c r="FPO338" s="42" t="s">
        <v>607</v>
      </c>
      <c r="FPP338" s="42" t="s">
        <v>607</v>
      </c>
      <c r="FPQ338" s="42" t="s">
        <v>607</v>
      </c>
      <c r="FPR338" s="42" t="s">
        <v>607</v>
      </c>
      <c r="FPS338" s="42" t="s">
        <v>607</v>
      </c>
      <c r="FPT338" s="42" t="s">
        <v>607</v>
      </c>
      <c r="FPU338" s="42" t="s">
        <v>607</v>
      </c>
      <c r="FPV338" s="42" t="s">
        <v>607</v>
      </c>
      <c r="FPW338" s="42" t="s">
        <v>607</v>
      </c>
      <c r="FPX338" s="42" t="s">
        <v>607</v>
      </c>
      <c r="FPY338" s="42" t="s">
        <v>607</v>
      </c>
      <c r="FPZ338" s="42" t="s">
        <v>607</v>
      </c>
      <c r="FQA338" s="42" t="s">
        <v>607</v>
      </c>
      <c r="FQB338" s="42" t="s">
        <v>607</v>
      </c>
      <c r="FQC338" s="42" t="s">
        <v>607</v>
      </c>
      <c r="FQD338" s="42" t="s">
        <v>607</v>
      </c>
      <c r="FQE338" s="42" t="s">
        <v>607</v>
      </c>
      <c r="FQF338" s="42" t="s">
        <v>607</v>
      </c>
      <c r="FQG338" s="42" t="s">
        <v>607</v>
      </c>
      <c r="FQH338" s="42" t="s">
        <v>607</v>
      </c>
      <c r="FQI338" s="42" t="s">
        <v>607</v>
      </c>
      <c r="FQJ338" s="42" t="s">
        <v>607</v>
      </c>
      <c r="FQK338" s="42" t="s">
        <v>607</v>
      </c>
      <c r="FQL338" s="42" t="s">
        <v>607</v>
      </c>
      <c r="FQM338" s="42" t="s">
        <v>607</v>
      </c>
      <c r="FQN338" s="42" t="s">
        <v>607</v>
      </c>
      <c r="FQO338" s="42" t="s">
        <v>607</v>
      </c>
      <c r="FQP338" s="42" t="s">
        <v>607</v>
      </c>
      <c r="FQQ338" s="42" t="s">
        <v>607</v>
      </c>
      <c r="FQR338" s="42" t="s">
        <v>607</v>
      </c>
      <c r="FQS338" s="42" t="s">
        <v>607</v>
      </c>
      <c r="FQT338" s="42" t="s">
        <v>607</v>
      </c>
      <c r="FQU338" s="42" t="s">
        <v>607</v>
      </c>
      <c r="FQV338" s="42" t="s">
        <v>607</v>
      </c>
      <c r="FQW338" s="42" t="s">
        <v>607</v>
      </c>
      <c r="FQX338" s="42" t="s">
        <v>607</v>
      </c>
      <c r="FQY338" s="42" t="s">
        <v>607</v>
      </c>
      <c r="FQZ338" s="42" t="s">
        <v>607</v>
      </c>
      <c r="FRA338" s="42" t="s">
        <v>607</v>
      </c>
      <c r="FRB338" s="42" t="s">
        <v>607</v>
      </c>
      <c r="FRC338" s="42" t="s">
        <v>607</v>
      </c>
      <c r="FRD338" s="42" t="s">
        <v>607</v>
      </c>
      <c r="FRE338" s="42" t="s">
        <v>607</v>
      </c>
      <c r="FRF338" s="42" t="s">
        <v>607</v>
      </c>
      <c r="FRG338" s="42" t="s">
        <v>607</v>
      </c>
      <c r="FRH338" s="42" t="s">
        <v>607</v>
      </c>
      <c r="FRI338" s="42" t="s">
        <v>607</v>
      </c>
      <c r="FRJ338" s="42" t="s">
        <v>607</v>
      </c>
      <c r="FRK338" s="42" t="s">
        <v>607</v>
      </c>
      <c r="FRL338" s="42" t="s">
        <v>607</v>
      </c>
      <c r="FRM338" s="42" t="s">
        <v>607</v>
      </c>
      <c r="FRN338" s="42" t="s">
        <v>607</v>
      </c>
      <c r="FRO338" s="42" t="s">
        <v>607</v>
      </c>
      <c r="FRP338" s="42" t="s">
        <v>607</v>
      </c>
      <c r="FRQ338" s="42" t="s">
        <v>607</v>
      </c>
      <c r="FRR338" s="42" t="s">
        <v>607</v>
      </c>
      <c r="FRS338" s="42" t="s">
        <v>607</v>
      </c>
      <c r="FRT338" s="42" t="s">
        <v>607</v>
      </c>
      <c r="FRU338" s="42" t="s">
        <v>607</v>
      </c>
      <c r="FRV338" s="42" t="s">
        <v>607</v>
      </c>
      <c r="FRW338" s="42" t="s">
        <v>607</v>
      </c>
      <c r="FRX338" s="42" t="s">
        <v>607</v>
      </c>
      <c r="FRY338" s="42" t="s">
        <v>607</v>
      </c>
      <c r="FRZ338" s="42" t="s">
        <v>607</v>
      </c>
      <c r="FSA338" s="42" t="s">
        <v>607</v>
      </c>
      <c r="FSB338" s="42" t="s">
        <v>607</v>
      </c>
      <c r="FSC338" s="42" t="s">
        <v>607</v>
      </c>
      <c r="FSD338" s="42" t="s">
        <v>607</v>
      </c>
      <c r="FSE338" s="42" t="s">
        <v>607</v>
      </c>
      <c r="FSF338" s="42" t="s">
        <v>607</v>
      </c>
      <c r="FSG338" s="42" t="s">
        <v>607</v>
      </c>
      <c r="FSH338" s="42" t="s">
        <v>607</v>
      </c>
      <c r="FSI338" s="42" t="s">
        <v>607</v>
      </c>
      <c r="FSJ338" s="42" t="s">
        <v>607</v>
      </c>
      <c r="FSK338" s="42" t="s">
        <v>607</v>
      </c>
      <c r="FSL338" s="42" t="s">
        <v>607</v>
      </c>
      <c r="FSM338" s="42" t="s">
        <v>607</v>
      </c>
      <c r="FSN338" s="42" t="s">
        <v>607</v>
      </c>
      <c r="FSO338" s="42" t="s">
        <v>607</v>
      </c>
      <c r="FSP338" s="42" t="s">
        <v>607</v>
      </c>
      <c r="FSQ338" s="42" t="s">
        <v>607</v>
      </c>
      <c r="FSR338" s="42" t="s">
        <v>607</v>
      </c>
      <c r="FSS338" s="42" t="s">
        <v>607</v>
      </c>
      <c r="FST338" s="42" t="s">
        <v>607</v>
      </c>
      <c r="FSU338" s="42" t="s">
        <v>607</v>
      </c>
      <c r="FSV338" s="42" t="s">
        <v>607</v>
      </c>
      <c r="FSW338" s="42" t="s">
        <v>607</v>
      </c>
      <c r="FSX338" s="42" t="s">
        <v>607</v>
      </c>
      <c r="FSY338" s="42" t="s">
        <v>607</v>
      </c>
      <c r="FSZ338" s="42" t="s">
        <v>607</v>
      </c>
      <c r="FTA338" s="42" t="s">
        <v>607</v>
      </c>
      <c r="FTB338" s="42" t="s">
        <v>607</v>
      </c>
      <c r="FTC338" s="42" t="s">
        <v>607</v>
      </c>
      <c r="FTD338" s="42" t="s">
        <v>607</v>
      </c>
      <c r="FTE338" s="42" t="s">
        <v>607</v>
      </c>
      <c r="FTF338" s="42" t="s">
        <v>607</v>
      </c>
      <c r="FTG338" s="42" t="s">
        <v>607</v>
      </c>
      <c r="FTH338" s="42" t="s">
        <v>607</v>
      </c>
      <c r="FTI338" s="42" t="s">
        <v>607</v>
      </c>
      <c r="FTJ338" s="42" t="s">
        <v>607</v>
      </c>
      <c r="FTK338" s="42" t="s">
        <v>607</v>
      </c>
      <c r="FTL338" s="42" t="s">
        <v>607</v>
      </c>
      <c r="FTM338" s="42" t="s">
        <v>607</v>
      </c>
      <c r="FTN338" s="42" t="s">
        <v>607</v>
      </c>
      <c r="FTO338" s="42" t="s">
        <v>607</v>
      </c>
      <c r="FTP338" s="42" t="s">
        <v>607</v>
      </c>
      <c r="FTQ338" s="42" t="s">
        <v>607</v>
      </c>
      <c r="FTR338" s="42" t="s">
        <v>607</v>
      </c>
      <c r="FTS338" s="42" t="s">
        <v>607</v>
      </c>
      <c r="FTT338" s="42" t="s">
        <v>607</v>
      </c>
      <c r="FTU338" s="42" t="s">
        <v>607</v>
      </c>
      <c r="FTV338" s="42" t="s">
        <v>607</v>
      </c>
      <c r="FTW338" s="42" t="s">
        <v>607</v>
      </c>
      <c r="FTX338" s="42" t="s">
        <v>607</v>
      </c>
      <c r="FTY338" s="42" t="s">
        <v>607</v>
      </c>
      <c r="FTZ338" s="42" t="s">
        <v>607</v>
      </c>
      <c r="FUA338" s="42" t="s">
        <v>607</v>
      </c>
      <c r="FUB338" s="42" t="s">
        <v>607</v>
      </c>
      <c r="FUC338" s="42" t="s">
        <v>607</v>
      </c>
      <c r="FUD338" s="42" t="s">
        <v>607</v>
      </c>
      <c r="FUE338" s="42" t="s">
        <v>607</v>
      </c>
      <c r="FUF338" s="42" t="s">
        <v>607</v>
      </c>
      <c r="FUG338" s="42" t="s">
        <v>607</v>
      </c>
      <c r="FUH338" s="42" t="s">
        <v>607</v>
      </c>
      <c r="FUI338" s="42" t="s">
        <v>607</v>
      </c>
      <c r="FUJ338" s="42" t="s">
        <v>607</v>
      </c>
      <c r="FUK338" s="42" t="s">
        <v>607</v>
      </c>
      <c r="FUL338" s="42" t="s">
        <v>607</v>
      </c>
      <c r="FUM338" s="42" t="s">
        <v>607</v>
      </c>
      <c r="FUN338" s="42" t="s">
        <v>607</v>
      </c>
      <c r="FUO338" s="42" t="s">
        <v>607</v>
      </c>
      <c r="FUP338" s="42" t="s">
        <v>607</v>
      </c>
      <c r="FUQ338" s="42" t="s">
        <v>607</v>
      </c>
      <c r="FUR338" s="42" t="s">
        <v>607</v>
      </c>
      <c r="FUS338" s="42" t="s">
        <v>607</v>
      </c>
      <c r="FUT338" s="42" t="s">
        <v>607</v>
      </c>
      <c r="FUU338" s="42" t="s">
        <v>607</v>
      </c>
      <c r="FUV338" s="42" t="s">
        <v>607</v>
      </c>
      <c r="FUW338" s="42" t="s">
        <v>607</v>
      </c>
      <c r="FUX338" s="42" t="s">
        <v>607</v>
      </c>
      <c r="FUY338" s="42" t="s">
        <v>607</v>
      </c>
      <c r="FUZ338" s="42" t="s">
        <v>607</v>
      </c>
      <c r="FVA338" s="42" t="s">
        <v>607</v>
      </c>
      <c r="FVB338" s="42" t="s">
        <v>607</v>
      </c>
      <c r="FVC338" s="42" t="s">
        <v>607</v>
      </c>
      <c r="FVD338" s="42" t="s">
        <v>607</v>
      </c>
      <c r="FVE338" s="42" t="s">
        <v>607</v>
      </c>
      <c r="FVF338" s="42" t="s">
        <v>607</v>
      </c>
      <c r="FVG338" s="42" t="s">
        <v>607</v>
      </c>
      <c r="FVH338" s="42" t="s">
        <v>607</v>
      </c>
      <c r="FVI338" s="42" t="s">
        <v>607</v>
      </c>
      <c r="FVJ338" s="42" t="s">
        <v>607</v>
      </c>
      <c r="FVK338" s="42" t="s">
        <v>607</v>
      </c>
      <c r="FVL338" s="42" t="s">
        <v>607</v>
      </c>
      <c r="FVM338" s="42" t="s">
        <v>607</v>
      </c>
      <c r="FVN338" s="42" t="s">
        <v>607</v>
      </c>
      <c r="FVO338" s="42" t="s">
        <v>607</v>
      </c>
      <c r="FVP338" s="42" t="s">
        <v>607</v>
      </c>
      <c r="FVQ338" s="42" t="s">
        <v>607</v>
      </c>
      <c r="FVR338" s="42" t="s">
        <v>607</v>
      </c>
      <c r="FVS338" s="42" t="s">
        <v>607</v>
      </c>
      <c r="FVT338" s="42" t="s">
        <v>607</v>
      </c>
      <c r="FVU338" s="42" t="s">
        <v>607</v>
      </c>
      <c r="FVV338" s="42" t="s">
        <v>607</v>
      </c>
      <c r="FVW338" s="42" t="s">
        <v>607</v>
      </c>
      <c r="FVX338" s="42" t="s">
        <v>607</v>
      </c>
      <c r="FVY338" s="42" t="s">
        <v>607</v>
      </c>
      <c r="FVZ338" s="42" t="s">
        <v>607</v>
      </c>
      <c r="FWA338" s="42" t="s">
        <v>607</v>
      </c>
      <c r="FWB338" s="42" t="s">
        <v>607</v>
      </c>
      <c r="FWC338" s="42" t="s">
        <v>607</v>
      </c>
      <c r="FWD338" s="42" t="s">
        <v>607</v>
      </c>
      <c r="FWE338" s="42" t="s">
        <v>607</v>
      </c>
      <c r="FWF338" s="42" t="s">
        <v>607</v>
      </c>
      <c r="FWG338" s="42" t="s">
        <v>607</v>
      </c>
      <c r="FWH338" s="42" t="s">
        <v>607</v>
      </c>
      <c r="FWI338" s="42" t="s">
        <v>607</v>
      </c>
      <c r="FWJ338" s="42" t="s">
        <v>607</v>
      </c>
      <c r="FWK338" s="42" t="s">
        <v>607</v>
      </c>
      <c r="FWL338" s="42" t="s">
        <v>607</v>
      </c>
      <c r="FWM338" s="42" t="s">
        <v>607</v>
      </c>
      <c r="FWN338" s="42" t="s">
        <v>607</v>
      </c>
      <c r="FWO338" s="42" t="s">
        <v>607</v>
      </c>
      <c r="FWP338" s="42" t="s">
        <v>607</v>
      </c>
      <c r="FWQ338" s="42" t="s">
        <v>607</v>
      </c>
      <c r="FWR338" s="42" t="s">
        <v>607</v>
      </c>
      <c r="FWS338" s="42" t="s">
        <v>607</v>
      </c>
      <c r="FWT338" s="42" t="s">
        <v>607</v>
      </c>
      <c r="FWU338" s="42" t="s">
        <v>607</v>
      </c>
      <c r="FWV338" s="42" t="s">
        <v>607</v>
      </c>
      <c r="FWW338" s="42" t="s">
        <v>607</v>
      </c>
      <c r="FWX338" s="42" t="s">
        <v>607</v>
      </c>
      <c r="FWY338" s="42" t="s">
        <v>607</v>
      </c>
      <c r="FWZ338" s="42" t="s">
        <v>607</v>
      </c>
      <c r="FXA338" s="42" t="s">
        <v>607</v>
      </c>
      <c r="FXB338" s="42" t="s">
        <v>607</v>
      </c>
      <c r="FXC338" s="42" t="s">
        <v>607</v>
      </c>
      <c r="FXD338" s="42" t="s">
        <v>607</v>
      </c>
      <c r="FXE338" s="42" t="s">
        <v>607</v>
      </c>
      <c r="FXF338" s="42" t="s">
        <v>607</v>
      </c>
      <c r="FXG338" s="42" t="s">
        <v>607</v>
      </c>
      <c r="FXH338" s="42" t="s">
        <v>607</v>
      </c>
      <c r="FXI338" s="42" t="s">
        <v>607</v>
      </c>
      <c r="FXJ338" s="42" t="s">
        <v>607</v>
      </c>
      <c r="FXK338" s="42" t="s">
        <v>607</v>
      </c>
      <c r="FXL338" s="42" t="s">
        <v>607</v>
      </c>
      <c r="FXM338" s="42" t="s">
        <v>607</v>
      </c>
      <c r="FXN338" s="42" t="s">
        <v>607</v>
      </c>
      <c r="FXO338" s="42" t="s">
        <v>607</v>
      </c>
      <c r="FXP338" s="42" t="s">
        <v>607</v>
      </c>
      <c r="FXQ338" s="42" t="s">
        <v>607</v>
      </c>
      <c r="FXR338" s="42" t="s">
        <v>607</v>
      </c>
      <c r="FXS338" s="42" t="s">
        <v>607</v>
      </c>
      <c r="FXT338" s="42" t="s">
        <v>607</v>
      </c>
      <c r="FXU338" s="42" t="s">
        <v>607</v>
      </c>
      <c r="FXV338" s="42" t="s">
        <v>607</v>
      </c>
      <c r="FXW338" s="42" t="s">
        <v>607</v>
      </c>
      <c r="FXX338" s="42" t="s">
        <v>607</v>
      </c>
      <c r="FXY338" s="42" t="s">
        <v>607</v>
      </c>
      <c r="FXZ338" s="42" t="s">
        <v>607</v>
      </c>
      <c r="FYA338" s="42" t="s">
        <v>607</v>
      </c>
      <c r="FYB338" s="42" t="s">
        <v>607</v>
      </c>
      <c r="FYC338" s="42" t="s">
        <v>607</v>
      </c>
      <c r="FYD338" s="42" t="s">
        <v>607</v>
      </c>
      <c r="FYE338" s="42" t="s">
        <v>607</v>
      </c>
      <c r="FYF338" s="42" t="s">
        <v>607</v>
      </c>
      <c r="FYG338" s="42" t="s">
        <v>607</v>
      </c>
      <c r="FYH338" s="42" t="s">
        <v>607</v>
      </c>
      <c r="FYI338" s="42" t="s">
        <v>607</v>
      </c>
      <c r="FYJ338" s="42" t="s">
        <v>607</v>
      </c>
      <c r="FYK338" s="42" t="s">
        <v>607</v>
      </c>
      <c r="FYL338" s="42" t="s">
        <v>607</v>
      </c>
      <c r="FYM338" s="42" t="s">
        <v>607</v>
      </c>
      <c r="FYN338" s="42" t="s">
        <v>607</v>
      </c>
      <c r="FYO338" s="42" t="s">
        <v>607</v>
      </c>
      <c r="FYP338" s="42" t="s">
        <v>607</v>
      </c>
      <c r="FYQ338" s="42" t="s">
        <v>607</v>
      </c>
      <c r="FYR338" s="42" t="s">
        <v>607</v>
      </c>
      <c r="FYS338" s="42" t="s">
        <v>607</v>
      </c>
      <c r="FYT338" s="42" t="s">
        <v>607</v>
      </c>
      <c r="FYU338" s="42" t="s">
        <v>607</v>
      </c>
      <c r="FYV338" s="42" t="s">
        <v>607</v>
      </c>
      <c r="FYW338" s="42" t="s">
        <v>607</v>
      </c>
      <c r="FYX338" s="42" t="s">
        <v>607</v>
      </c>
      <c r="FYY338" s="42" t="s">
        <v>607</v>
      </c>
      <c r="FYZ338" s="42" t="s">
        <v>607</v>
      </c>
      <c r="FZA338" s="42" t="s">
        <v>607</v>
      </c>
      <c r="FZB338" s="42" t="s">
        <v>607</v>
      </c>
      <c r="FZC338" s="42" t="s">
        <v>607</v>
      </c>
      <c r="FZD338" s="42" t="s">
        <v>607</v>
      </c>
      <c r="FZE338" s="42" t="s">
        <v>607</v>
      </c>
      <c r="FZF338" s="42" t="s">
        <v>607</v>
      </c>
      <c r="FZG338" s="42" t="s">
        <v>607</v>
      </c>
      <c r="FZH338" s="42" t="s">
        <v>607</v>
      </c>
      <c r="FZI338" s="42" t="s">
        <v>607</v>
      </c>
      <c r="FZJ338" s="42" t="s">
        <v>607</v>
      </c>
      <c r="FZK338" s="42" t="s">
        <v>607</v>
      </c>
      <c r="FZL338" s="42" t="s">
        <v>607</v>
      </c>
      <c r="FZM338" s="42" t="s">
        <v>607</v>
      </c>
      <c r="FZN338" s="42" t="s">
        <v>607</v>
      </c>
      <c r="FZO338" s="42" t="s">
        <v>607</v>
      </c>
      <c r="FZP338" s="42" t="s">
        <v>607</v>
      </c>
      <c r="FZQ338" s="42" t="s">
        <v>607</v>
      </c>
      <c r="FZR338" s="42" t="s">
        <v>607</v>
      </c>
      <c r="FZS338" s="42" t="s">
        <v>607</v>
      </c>
      <c r="FZT338" s="42" t="s">
        <v>607</v>
      </c>
      <c r="FZU338" s="42" t="s">
        <v>607</v>
      </c>
      <c r="FZV338" s="42" t="s">
        <v>607</v>
      </c>
      <c r="FZW338" s="42" t="s">
        <v>607</v>
      </c>
      <c r="FZX338" s="42" t="s">
        <v>607</v>
      </c>
      <c r="FZY338" s="42" t="s">
        <v>607</v>
      </c>
      <c r="FZZ338" s="42" t="s">
        <v>607</v>
      </c>
      <c r="GAA338" s="42" t="s">
        <v>607</v>
      </c>
      <c r="GAB338" s="42" t="s">
        <v>607</v>
      </c>
      <c r="GAC338" s="42" t="s">
        <v>607</v>
      </c>
      <c r="GAD338" s="42" t="s">
        <v>607</v>
      </c>
      <c r="GAE338" s="42" t="s">
        <v>607</v>
      </c>
      <c r="GAF338" s="42" t="s">
        <v>607</v>
      </c>
      <c r="GAG338" s="42" t="s">
        <v>607</v>
      </c>
      <c r="GAH338" s="42" t="s">
        <v>607</v>
      </c>
      <c r="GAI338" s="42" t="s">
        <v>607</v>
      </c>
      <c r="GAJ338" s="42" t="s">
        <v>607</v>
      </c>
      <c r="GAK338" s="42" t="s">
        <v>607</v>
      </c>
      <c r="GAL338" s="42" t="s">
        <v>607</v>
      </c>
      <c r="GAM338" s="42" t="s">
        <v>607</v>
      </c>
      <c r="GAN338" s="42" t="s">
        <v>607</v>
      </c>
      <c r="GAO338" s="42" t="s">
        <v>607</v>
      </c>
      <c r="GAP338" s="42" t="s">
        <v>607</v>
      </c>
      <c r="GAQ338" s="42" t="s">
        <v>607</v>
      </c>
      <c r="GAR338" s="42" t="s">
        <v>607</v>
      </c>
      <c r="GAS338" s="42" t="s">
        <v>607</v>
      </c>
      <c r="GAT338" s="42" t="s">
        <v>607</v>
      </c>
      <c r="GAU338" s="42" t="s">
        <v>607</v>
      </c>
      <c r="GAV338" s="42" t="s">
        <v>607</v>
      </c>
      <c r="GAW338" s="42" t="s">
        <v>607</v>
      </c>
      <c r="GAX338" s="42" t="s">
        <v>607</v>
      </c>
      <c r="GAY338" s="42" t="s">
        <v>607</v>
      </c>
      <c r="GAZ338" s="42" t="s">
        <v>607</v>
      </c>
      <c r="GBA338" s="42" t="s">
        <v>607</v>
      </c>
      <c r="GBB338" s="42" t="s">
        <v>607</v>
      </c>
      <c r="GBC338" s="42" t="s">
        <v>607</v>
      </c>
      <c r="GBD338" s="42" t="s">
        <v>607</v>
      </c>
      <c r="GBE338" s="42" t="s">
        <v>607</v>
      </c>
      <c r="GBF338" s="42" t="s">
        <v>607</v>
      </c>
      <c r="GBG338" s="42" t="s">
        <v>607</v>
      </c>
      <c r="GBH338" s="42" t="s">
        <v>607</v>
      </c>
      <c r="GBI338" s="42" t="s">
        <v>607</v>
      </c>
      <c r="GBJ338" s="42" t="s">
        <v>607</v>
      </c>
      <c r="GBK338" s="42" t="s">
        <v>607</v>
      </c>
      <c r="GBL338" s="42" t="s">
        <v>607</v>
      </c>
      <c r="GBM338" s="42" t="s">
        <v>607</v>
      </c>
      <c r="GBN338" s="42" t="s">
        <v>607</v>
      </c>
      <c r="GBO338" s="42" t="s">
        <v>607</v>
      </c>
      <c r="GBP338" s="42" t="s">
        <v>607</v>
      </c>
      <c r="GBQ338" s="42" t="s">
        <v>607</v>
      </c>
      <c r="GBR338" s="42" t="s">
        <v>607</v>
      </c>
      <c r="GBS338" s="42" t="s">
        <v>607</v>
      </c>
      <c r="GBT338" s="42" t="s">
        <v>607</v>
      </c>
      <c r="GBU338" s="42" t="s">
        <v>607</v>
      </c>
      <c r="GBV338" s="42" t="s">
        <v>607</v>
      </c>
      <c r="GBW338" s="42" t="s">
        <v>607</v>
      </c>
      <c r="GBX338" s="42" t="s">
        <v>607</v>
      </c>
      <c r="GBY338" s="42" t="s">
        <v>607</v>
      </c>
      <c r="GBZ338" s="42" t="s">
        <v>607</v>
      </c>
      <c r="GCA338" s="42" t="s">
        <v>607</v>
      </c>
      <c r="GCB338" s="42" t="s">
        <v>607</v>
      </c>
      <c r="GCC338" s="42" t="s">
        <v>607</v>
      </c>
      <c r="GCD338" s="42" t="s">
        <v>607</v>
      </c>
      <c r="GCE338" s="42" t="s">
        <v>607</v>
      </c>
      <c r="GCF338" s="42" t="s">
        <v>607</v>
      </c>
      <c r="GCG338" s="42" t="s">
        <v>607</v>
      </c>
      <c r="GCH338" s="42" t="s">
        <v>607</v>
      </c>
      <c r="GCI338" s="42" t="s">
        <v>607</v>
      </c>
      <c r="GCJ338" s="42" t="s">
        <v>607</v>
      </c>
      <c r="GCK338" s="42" t="s">
        <v>607</v>
      </c>
      <c r="GCL338" s="42" t="s">
        <v>607</v>
      </c>
      <c r="GCM338" s="42" t="s">
        <v>607</v>
      </c>
      <c r="GCN338" s="42" t="s">
        <v>607</v>
      </c>
      <c r="GCO338" s="42" t="s">
        <v>607</v>
      </c>
      <c r="GCP338" s="42" t="s">
        <v>607</v>
      </c>
      <c r="GCQ338" s="42" t="s">
        <v>607</v>
      </c>
      <c r="GCR338" s="42" t="s">
        <v>607</v>
      </c>
      <c r="GCS338" s="42" t="s">
        <v>607</v>
      </c>
      <c r="GCT338" s="42" t="s">
        <v>607</v>
      </c>
      <c r="GCU338" s="42" t="s">
        <v>607</v>
      </c>
      <c r="GCV338" s="42" t="s">
        <v>607</v>
      </c>
      <c r="GCW338" s="42" t="s">
        <v>607</v>
      </c>
      <c r="GCX338" s="42" t="s">
        <v>607</v>
      </c>
      <c r="GCY338" s="42" t="s">
        <v>607</v>
      </c>
      <c r="GCZ338" s="42" t="s">
        <v>607</v>
      </c>
      <c r="GDA338" s="42" t="s">
        <v>607</v>
      </c>
      <c r="GDB338" s="42" t="s">
        <v>607</v>
      </c>
      <c r="GDC338" s="42" t="s">
        <v>607</v>
      </c>
      <c r="GDD338" s="42" t="s">
        <v>607</v>
      </c>
      <c r="GDE338" s="42" t="s">
        <v>607</v>
      </c>
      <c r="GDF338" s="42" t="s">
        <v>607</v>
      </c>
      <c r="GDG338" s="42" t="s">
        <v>607</v>
      </c>
      <c r="GDH338" s="42" t="s">
        <v>607</v>
      </c>
      <c r="GDI338" s="42" t="s">
        <v>607</v>
      </c>
      <c r="GDJ338" s="42" t="s">
        <v>607</v>
      </c>
      <c r="GDK338" s="42" t="s">
        <v>607</v>
      </c>
      <c r="GDL338" s="42" t="s">
        <v>607</v>
      </c>
      <c r="GDM338" s="42" t="s">
        <v>607</v>
      </c>
      <c r="GDN338" s="42" t="s">
        <v>607</v>
      </c>
      <c r="GDO338" s="42" t="s">
        <v>607</v>
      </c>
      <c r="GDP338" s="42" t="s">
        <v>607</v>
      </c>
      <c r="GDQ338" s="42" t="s">
        <v>607</v>
      </c>
      <c r="GDR338" s="42" t="s">
        <v>607</v>
      </c>
      <c r="GDS338" s="42" t="s">
        <v>607</v>
      </c>
      <c r="GDT338" s="42" t="s">
        <v>607</v>
      </c>
      <c r="GDU338" s="42" t="s">
        <v>607</v>
      </c>
      <c r="GDV338" s="42" t="s">
        <v>607</v>
      </c>
      <c r="GDW338" s="42" t="s">
        <v>607</v>
      </c>
      <c r="GDX338" s="42" t="s">
        <v>607</v>
      </c>
      <c r="GDY338" s="42" t="s">
        <v>607</v>
      </c>
      <c r="GDZ338" s="42" t="s">
        <v>607</v>
      </c>
      <c r="GEA338" s="42" t="s">
        <v>607</v>
      </c>
      <c r="GEB338" s="42" t="s">
        <v>607</v>
      </c>
      <c r="GEC338" s="42" t="s">
        <v>607</v>
      </c>
      <c r="GED338" s="42" t="s">
        <v>607</v>
      </c>
      <c r="GEE338" s="42" t="s">
        <v>607</v>
      </c>
      <c r="GEF338" s="42" t="s">
        <v>607</v>
      </c>
      <c r="GEG338" s="42" t="s">
        <v>607</v>
      </c>
      <c r="GEH338" s="42" t="s">
        <v>607</v>
      </c>
      <c r="GEI338" s="42" t="s">
        <v>607</v>
      </c>
      <c r="GEJ338" s="42" t="s">
        <v>607</v>
      </c>
      <c r="GEK338" s="42" t="s">
        <v>607</v>
      </c>
      <c r="GEL338" s="42" t="s">
        <v>607</v>
      </c>
      <c r="GEM338" s="42" t="s">
        <v>607</v>
      </c>
      <c r="GEN338" s="42" t="s">
        <v>607</v>
      </c>
      <c r="GEO338" s="42" t="s">
        <v>607</v>
      </c>
      <c r="GEP338" s="42" t="s">
        <v>607</v>
      </c>
      <c r="GEQ338" s="42" t="s">
        <v>607</v>
      </c>
      <c r="GER338" s="42" t="s">
        <v>607</v>
      </c>
      <c r="GES338" s="42" t="s">
        <v>607</v>
      </c>
      <c r="GET338" s="42" t="s">
        <v>607</v>
      </c>
      <c r="GEU338" s="42" t="s">
        <v>607</v>
      </c>
      <c r="GEV338" s="42" t="s">
        <v>607</v>
      </c>
      <c r="GEW338" s="42" t="s">
        <v>607</v>
      </c>
      <c r="GEX338" s="42" t="s">
        <v>607</v>
      </c>
      <c r="GEY338" s="42" t="s">
        <v>607</v>
      </c>
      <c r="GEZ338" s="42" t="s">
        <v>607</v>
      </c>
      <c r="GFA338" s="42" t="s">
        <v>607</v>
      </c>
      <c r="GFB338" s="42" t="s">
        <v>607</v>
      </c>
      <c r="GFC338" s="42" t="s">
        <v>607</v>
      </c>
      <c r="GFD338" s="42" t="s">
        <v>607</v>
      </c>
      <c r="GFE338" s="42" t="s">
        <v>607</v>
      </c>
      <c r="GFF338" s="42" t="s">
        <v>607</v>
      </c>
      <c r="GFG338" s="42" t="s">
        <v>607</v>
      </c>
      <c r="GFH338" s="42" t="s">
        <v>607</v>
      </c>
      <c r="GFI338" s="42" t="s">
        <v>607</v>
      </c>
      <c r="GFJ338" s="42" t="s">
        <v>607</v>
      </c>
      <c r="GFK338" s="42" t="s">
        <v>607</v>
      </c>
      <c r="GFL338" s="42" t="s">
        <v>607</v>
      </c>
      <c r="GFM338" s="42" t="s">
        <v>607</v>
      </c>
      <c r="GFN338" s="42" t="s">
        <v>607</v>
      </c>
      <c r="GFO338" s="42" t="s">
        <v>607</v>
      </c>
      <c r="GFP338" s="42" t="s">
        <v>607</v>
      </c>
      <c r="GFQ338" s="42" t="s">
        <v>607</v>
      </c>
      <c r="GFR338" s="42" t="s">
        <v>607</v>
      </c>
      <c r="GFS338" s="42" t="s">
        <v>607</v>
      </c>
      <c r="GFT338" s="42" t="s">
        <v>607</v>
      </c>
      <c r="GFU338" s="42" t="s">
        <v>607</v>
      </c>
      <c r="GFV338" s="42" t="s">
        <v>607</v>
      </c>
      <c r="GFW338" s="42" t="s">
        <v>607</v>
      </c>
      <c r="GFX338" s="42" t="s">
        <v>607</v>
      </c>
      <c r="GFY338" s="42" t="s">
        <v>607</v>
      </c>
      <c r="GFZ338" s="42" t="s">
        <v>607</v>
      </c>
      <c r="GGA338" s="42" t="s">
        <v>607</v>
      </c>
      <c r="GGB338" s="42" t="s">
        <v>607</v>
      </c>
      <c r="GGC338" s="42" t="s">
        <v>607</v>
      </c>
      <c r="GGD338" s="42" t="s">
        <v>607</v>
      </c>
      <c r="GGE338" s="42" t="s">
        <v>607</v>
      </c>
      <c r="GGF338" s="42" t="s">
        <v>607</v>
      </c>
      <c r="GGG338" s="42" t="s">
        <v>607</v>
      </c>
      <c r="GGH338" s="42" t="s">
        <v>607</v>
      </c>
      <c r="GGI338" s="42" t="s">
        <v>607</v>
      </c>
      <c r="GGJ338" s="42" t="s">
        <v>607</v>
      </c>
      <c r="GGK338" s="42" t="s">
        <v>607</v>
      </c>
      <c r="GGL338" s="42" t="s">
        <v>607</v>
      </c>
      <c r="GGM338" s="42" t="s">
        <v>607</v>
      </c>
      <c r="GGN338" s="42" t="s">
        <v>607</v>
      </c>
      <c r="GGO338" s="42" t="s">
        <v>607</v>
      </c>
      <c r="GGP338" s="42" t="s">
        <v>607</v>
      </c>
      <c r="GGQ338" s="42" t="s">
        <v>607</v>
      </c>
      <c r="GGR338" s="42" t="s">
        <v>607</v>
      </c>
      <c r="GGS338" s="42" t="s">
        <v>607</v>
      </c>
      <c r="GGT338" s="42" t="s">
        <v>607</v>
      </c>
      <c r="GGU338" s="42" t="s">
        <v>607</v>
      </c>
      <c r="GGV338" s="42" t="s">
        <v>607</v>
      </c>
      <c r="GGW338" s="42" t="s">
        <v>607</v>
      </c>
      <c r="GGX338" s="42" t="s">
        <v>607</v>
      </c>
      <c r="GGY338" s="42" t="s">
        <v>607</v>
      </c>
      <c r="GGZ338" s="42" t="s">
        <v>607</v>
      </c>
      <c r="GHA338" s="42" t="s">
        <v>607</v>
      </c>
      <c r="GHB338" s="42" t="s">
        <v>607</v>
      </c>
      <c r="GHC338" s="42" t="s">
        <v>607</v>
      </c>
      <c r="GHD338" s="42" t="s">
        <v>607</v>
      </c>
      <c r="GHE338" s="42" t="s">
        <v>607</v>
      </c>
      <c r="GHF338" s="42" t="s">
        <v>607</v>
      </c>
      <c r="GHG338" s="42" t="s">
        <v>607</v>
      </c>
      <c r="GHH338" s="42" t="s">
        <v>607</v>
      </c>
      <c r="GHI338" s="42" t="s">
        <v>607</v>
      </c>
      <c r="GHJ338" s="42" t="s">
        <v>607</v>
      </c>
      <c r="GHK338" s="42" t="s">
        <v>607</v>
      </c>
      <c r="GHL338" s="42" t="s">
        <v>607</v>
      </c>
      <c r="GHM338" s="42" t="s">
        <v>607</v>
      </c>
      <c r="GHN338" s="42" t="s">
        <v>607</v>
      </c>
      <c r="GHO338" s="42" t="s">
        <v>607</v>
      </c>
      <c r="GHP338" s="42" t="s">
        <v>607</v>
      </c>
      <c r="GHQ338" s="42" t="s">
        <v>607</v>
      </c>
      <c r="GHR338" s="42" t="s">
        <v>607</v>
      </c>
      <c r="GHS338" s="42" t="s">
        <v>607</v>
      </c>
      <c r="GHT338" s="42" t="s">
        <v>607</v>
      </c>
      <c r="GHU338" s="42" t="s">
        <v>607</v>
      </c>
      <c r="GHV338" s="42" t="s">
        <v>607</v>
      </c>
      <c r="GHW338" s="42" t="s">
        <v>607</v>
      </c>
      <c r="GHX338" s="42" t="s">
        <v>607</v>
      </c>
      <c r="GHY338" s="42" t="s">
        <v>607</v>
      </c>
      <c r="GHZ338" s="42" t="s">
        <v>607</v>
      </c>
      <c r="GIA338" s="42" t="s">
        <v>607</v>
      </c>
      <c r="GIB338" s="42" t="s">
        <v>607</v>
      </c>
      <c r="GIC338" s="42" t="s">
        <v>607</v>
      </c>
      <c r="GID338" s="42" t="s">
        <v>607</v>
      </c>
      <c r="GIE338" s="42" t="s">
        <v>607</v>
      </c>
      <c r="GIF338" s="42" t="s">
        <v>607</v>
      </c>
      <c r="GIG338" s="42" t="s">
        <v>607</v>
      </c>
      <c r="GIH338" s="42" t="s">
        <v>607</v>
      </c>
      <c r="GII338" s="42" t="s">
        <v>607</v>
      </c>
      <c r="GIJ338" s="42" t="s">
        <v>607</v>
      </c>
      <c r="GIK338" s="42" t="s">
        <v>607</v>
      </c>
      <c r="GIL338" s="42" t="s">
        <v>607</v>
      </c>
      <c r="GIM338" s="42" t="s">
        <v>607</v>
      </c>
      <c r="GIN338" s="42" t="s">
        <v>607</v>
      </c>
      <c r="GIO338" s="42" t="s">
        <v>607</v>
      </c>
      <c r="GIP338" s="42" t="s">
        <v>607</v>
      </c>
      <c r="GIQ338" s="42" t="s">
        <v>607</v>
      </c>
      <c r="GIR338" s="42" t="s">
        <v>607</v>
      </c>
      <c r="GIS338" s="42" t="s">
        <v>607</v>
      </c>
      <c r="GIT338" s="42" t="s">
        <v>607</v>
      </c>
      <c r="GIU338" s="42" t="s">
        <v>607</v>
      </c>
      <c r="GIV338" s="42" t="s">
        <v>607</v>
      </c>
      <c r="GIW338" s="42" t="s">
        <v>607</v>
      </c>
      <c r="GIX338" s="42" t="s">
        <v>607</v>
      </c>
      <c r="GIY338" s="42" t="s">
        <v>607</v>
      </c>
      <c r="GIZ338" s="42" t="s">
        <v>607</v>
      </c>
      <c r="GJA338" s="42" t="s">
        <v>607</v>
      </c>
      <c r="GJB338" s="42" t="s">
        <v>607</v>
      </c>
      <c r="GJC338" s="42" t="s">
        <v>607</v>
      </c>
      <c r="GJD338" s="42" t="s">
        <v>607</v>
      </c>
      <c r="GJE338" s="42" t="s">
        <v>607</v>
      </c>
      <c r="GJF338" s="42" t="s">
        <v>607</v>
      </c>
      <c r="GJG338" s="42" t="s">
        <v>607</v>
      </c>
      <c r="GJH338" s="42" t="s">
        <v>607</v>
      </c>
      <c r="GJI338" s="42" t="s">
        <v>607</v>
      </c>
      <c r="GJJ338" s="42" t="s">
        <v>607</v>
      </c>
      <c r="GJK338" s="42" t="s">
        <v>607</v>
      </c>
      <c r="GJL338" s="42" t="s">
        <v>607</v>
      </c>
      <c r="GJM338" s="42" t="s">
        <v>607</v>
      </c>
      <c r="GJN338" s="42" t="s">
        <v>607</v>
      </c>
      <c r="GJO338" s="42" t="s">
        <v>607</v>
      </c>
      <c r="GJP338" s="42" t="s">
        <v>607</v>
      </c>
      <c r="GJQ338" s="42" t="s">
        <v>607</v>
      </c>
      <c r="GJR338" s="42" t="s">
        <v>607</v>
      </c>
      <c r="GJS338" s="42" t="s">
        <v>607</v>
      </c>
      <c r="GJT338" s="42" t="s">
        <v>607</v>
      </c>
      <c r="GJU338" s="42" t="s">
        <v>607</v>
      </c>
      <c r="GJV338" s="42" t="s">
        <v>607</v>
      </c>
      <c r="GJW338" s="42" t="s">
        <v>607</v>
      </c>
      <c r="GJX338" s="42" t="s">
        <v>607</v>
      </c>
      <c r="GJY338" s="42" t="s">
        <v>607</v>
      </c>
      <c r="GJZ338" s="42" t="s">
        <v>607</v>
      </c>
      <c r="GKA338" s="42" t="s">
        <v>607</v>
      </c>
      <c r="GKB338" s="42" t="s">
        <v>607</v>
      </c>
      <c r="GKC338" s="42" t="s">
        <v>607</v>
      </c>
      <c r="GKD338" s="42" t="s">
        <v>607</v>
      </c>
      <c r="GKE338" s="42" t="s">
        <v>607</v>
      </c>
      <c r="GKF338" s="42" t="s">
        <v>607</v>
      </c>
      <c r="GKG338" s="42" t="s">
        <v>607</v>
      </c>
      <c r="GKH338" s="42" t="s">
        <v>607</v>
      </c>
      <c r="GKI338" s="42" t="s">
        <v>607</v>
      </c>
      <c r="GKJ338" s="42" t="s">
        <v>607</v>
      </c>
      <c r="GKK338" s="42" t="s">
        <v>607</v>
      </c>
      <c r="GKL338" s="42" t="s">
        <v>607</v>
      </c>
      <c r="GKM338" s="42" t="s">
        <v>607</v>
      </c>
      <c r="GKN338" s="42" t="s">
        <v>607</v>
      </c>
      <c r="GKO338" s="42" t="s">
        <v>607</v>
      </c>
      <c r="GKP338" s="42" t="s">
        <v>607</v>
      </c>
      <c r="GKQ338" s="42" t="s">
        <v>607</v>
      </c>
      <c r="GKR338" s="42" t="s">
        <v>607</v>
      </c>
      <c r="GKS338" s="42" t="s">
        <v>607</v>
      </c>
      <c r="GKT338" s="42" t="s">
        <v>607</v>
      </c>
      <c r="GKU338" s="42" t="s">
        <v>607</v>
      </c>
      <c r="GKV338" s="42" t="s">
        <v>607</v>
      </c>
      <c r="GKW338" s="42" t="s">
        <v>607</v>
      </c>
      <c r="GKX338" s="42" t="s">
        <v>607</v>
      </c>
      <c r="GKY338" s="42" t="s">
        <v>607</v>
      </c>
      <c r="GKZ338" s="42" t="s">
        <v>607</v>
      </c>
      <c r="GLA338" s="42" t="s">
        <v>607</v>
      </c>
      <c r="GLB338" s="42" t="s">
        <v>607</v>
      </c>
      <c r="GLC338" s="42" t="s">
        <v>607</v>
      </c>
      <c r="GLD338" s="42" t="s">
        <v>607</v>
      </c>
      <c r="GLE338" s="42" t="s">
        <v>607</v>
      </c>
      <c r="GLF338" s="42" t="s">
        <v>607</v>
      </c>
      <c r="GLG338" s="42" t="s">
        <v>607</v>
      </c>
      <c r="GLH338" s="42" t="s">
        <v>607</v>
      </c>
      <c r="GLI338" s="42" t="s">
        <v>607</v>
      </c>
      <c r="GLJ338" s="42" t="s">
        <v>607</v>
      </c>
      <c r="GLK338" s="42" t="s">
        <v>607</v>
      </c>
      <c r="GLL338" s="42" t="s">
        <v>607</v>
      </c>
      <c r="GLM338" s="42" t="s">
        <v>607</v>
      </c>
      <c r="GLN338" s="42" t="s">
        <v>607</v>
      </c>
      <c r="GLO338" s="42" t="s">
        <v>607</v>
      </c>
      <c r="GLP338" s="42" t="s">
        <v>607</v>
      </c>
      <c r="GLQ338" s="42" t="s">
        <v>607</v>
      </c>
      <c r="GLR338" s="42" t="s">
        <v>607</v>
      </c>
      <c r="GLS338" s="42" t="s">
        <v>607</v>
      </c>
      <c r="GLT338" s="42" t="s">
        <v>607</v>
      </c>
      <c r="GLU338" s="42" t="s">
        <v>607</v>
      </c>
      <c r="GLV338" s="42" t="s">
        <v>607</v>
      </c>
      <c r="GLW338" s="42" t="s">
        <v>607</v>
      </c>
      <c r="GLX338" s="42" t="s">
        <v>607</v>
      </c>
      <c r="GLY338" s="42" t="s">
        <v>607</v>
      </c>
      <c r="GLZ338" s="42" t="s">
        <v>607</v>
      </c>
      <c r="GMA338" s="42" t="s">
        <v>607</v>
      </c>
      <c r="GMB338" s="42" t="s">
        <v>607</v>
      </c>
      <c r="GMC338" s="42" t="s">
        <v>607</v>
      </c>
      <c r="GMD338" s="42" t="s">
        <v>607</v>
      </c>
      <c r="GME338" s="42" t="s">
        <v>607</v>
      </c>
      <c r="GMF338" s="42" t="s">
        <v>607</v>
      </c>
      <c r="GMG338" s="42" t="s">
        <v>607</v>
      </c>
      <c r="GMH338" s="42" t="s">
        <v>607</v>
      </c>
      <c r="GMI338" s="42" t="s">
        <v>607</v>
      </c>
      <c r="GMJ338" s="42" t="s">
        <v>607</v>
      </c>
      <c r="GMK338" s="42" t="s">
        <v>607</v>
      </c>
      <c r="GML338" s="42" t="s">
        <v>607</v>
      </c>
      <c r="GMM338" s="42" t="s">
        <v>607</v>
      </c>
      <c r="GMN338" s="42" t="s">
        <v>607</v>
      </c>
      <c r="GMO338" s="42" t="s">
        <v>607</v>
      </c>
      <c r="GMP338" s="42" t="s">
        <v>607</v>
      </c>
      <c r="GMQ338" s="42" t="s">
        <v>607</v>
      </c>
      <c r="GMR338" s="42" t="s">
        <v>607</v>
      </c>
      <c r="GMS338" s="42" t="s">
        <v>607</v>
      </c>
      <c r="GMT338" s="42" t="s">
        <v>607</v>
      </c>
      <c r="GMU338" s="42" t="s">
        <v>607</v>
      </c>
      <c r="GMV338" s="42" t="s">
        <v>607</v>
      </c>
      <c r="GMW338" s="42" t="s">
        <v>607</v>
      </c>
      <c r="GMX338" s="42" t="s">
        <v>607</v>
      </c>
      <c r="GMY338" s="42" t="s">
        <v>607</v>
      </c>
      <c r="GMZ338" s="42" t="s">
        <v>607</v>
      </c>
      <c r="GNA338" s="42" t="s">
        <v>607</v>
      </c>
      <c r="GNB338" s="42" t="s">
        <v>607</v>
      </c>
      <c r="GNC338" s="42" t="s">
        <v>607</v>
      </c>
      <c r="GND338" s="42" t="s">
        <v>607</v>
      </c>
      <c r="GNE338" s="42" t="s">
        <v>607</v>
      </c>
      <c r="GNF338" s="42" t="s">
        <v>607</v>
      </c>
      <c r="GNG338" s="42" t="s">
        <v>607</v>
      </c>
      <c r="GNH338" s="42" t="s">
        <v>607</v>
      </c>
      <c r="GNI338" s="42" t="s">
        <v>607</v>
      </c>
      <c r="GNJ338" s="42" t="s">
        <v>607</v>
      </c>
      <c r="GNK338" s="42" t="s">
        <v>607</v>
      </c>
      <c r="GNL338" s="42" t="s">
        <v>607</v>
      </c>
      <c r="GNM338" s="42" t="s">
        <v>607</v>
      </c>
      <c r="GNN338" s="42" t="s">
        <v>607</v>
      </c>
      <c r="GNO338" s="42" t="s">
        <v>607</v>
      </c>
      <c r="GNP338" s="42" t="s">
        <v>607</v>
      </c>
      <c r="GNQ338" s="42" t="s">
        <v>607</v>
      </c>
      <c r="GNR338" s="42" t="s">
        <v>607</v>
      </c>
      <c r="GNS338" s="42" t="s">
        <v>607</v>
      </c>
      <c r="GNT338" s="42" t="s">
        <v>607</v>
      </c>
      <c r="GNU338" s="42" t="s">
        <v>607</v>
      </c>
      <c r="GNV338" s="42" t="s">
        <v>607</v>
      </c>
      <c r="GNW338" s="42" t="s">
        <v>607</v>
      </c>
      <c r="GNX338" s="42" t="s">
        <v>607</v>
      </c>
      <c r="GNY338" s="42" t="s">
        <v>607</v>
      </c>
      <c r="GNZ338" s="42" t="s">
        <v>607</v>
      </c>
      <c r="GOA338" s="42" t="s">
        <v>607</v>
      </c>
      <c r="GOB338" s="42" t="s">
        <v>607</v>
      </c>
      <c r="GOC338" s="42" t="s">
        <v>607</v>
      </c>
      <c r="GOD338" s="42" t="s">
        <v>607</v>
      </c>
      <c r="GOE338" s="42" t="s">
        <v>607</v>
      </c>
      <c r="GOF338" s="42" t="s">
        <v>607</v>
      </c>
      <c r="GOG338" s="42" t="s">
        <v>607</v>
      </c>
      <c r="GOH338" s="42" t="s">
        <v>607</v>
      </c>
      <c r="GOI338" s="42" t="s">
        <v>607</v>
      </c>
      <c r="GOJ338" s="42" t="s">
        <v>607</v>
      </c>
      <c r="GOK338" s="42" t="s">
        <v>607</v>
      </c>
      <c r="GOL338" s="42" t="s">
        <v>607</v>
      </c>
      <c r="GOM338" s="42" t="s">
        <v>607</v>
      </c>
      <c r="GON338" s="42" t="s">
        <v>607</v>
      </c>
      <c r="GOO338" s="42" t="s">
        <v>607</v>
      </c>
      <c r="GOP338" s="42" t="s">
        <v>607</v>
      </c>
      <c r="GOQ338" s="42" t="s">
        <v>607</v>
      </c>
      <c r="GOR338" s="42" t="s">
        <v>607</v>
      </c>
      <c r="GOS338" s="42" t="s">
        <v>607</v>
      </c>
      <c r="GOT338" s="42" t="s">
        <v>607</v>
      </c>
      <c r="GOU338" s="42" t="s">
        <v>607</v>
      </c>
      <c r="GOV338" s="42" t="s">
        <v>607</v>
      </c>
      <c r="GOW338" s="42" t="s">
        <v>607</v>
      </c>
      <c r="GOX338" s="42" t="s">
        <v>607</v>
      </c>
      <c r="GOY338" s="42" t="s">
        <v>607</v>
      </c>
      <c r="GOZ338" s="42" t="s">
        <v>607</v>
      </c>
      <c r="GPA338" s="42" t="s">
        <v>607</v>
      </c>
      <c r="GPB338" s="42" t="s">
        <v>607</v>
      </c>
      <c r="GPC338" s="42" t="s">
        <v>607</v>
      </c>
      <c r="GPD338" s="42" t="s">
        <v>607</v>
      </c>
      <c r="GPE338" s="42" t="s">
        <v>607</v>
      </c>
      <c r="GPF338" s="42" t="s">
        <v>607</v>
      </c>
      <c r="GPG338" s="42" t="s">
        <v>607</v>
      </c>
      <c r="GPH338" s="42" t="s">
        <v>607</v>
      </c>
      <c r="GPI338" s="42" t="s">
        <v>607</v>
      </c>
      <c r="GPJ338" s="42" t="s">
        <v>607</v>
      </c>
      <c r="GPK338" s="42" t="s">
        <v>607</v>
      </c>
      <c r="GPL338" s="42" t="s">
        <v>607</v>
      </c>
      <c r="GPM338" s="42" t="s">
        <v>607</v>
      </c>
      <c r="GPN338" s="42" t="s">
        <v>607</v>
      </c>
      <c r="GPO338" s="42" t="s">
        <v>607</v>
      </c>
      <c r="GPP338" s="42" t="s">
        <v>607</v>
      </c>
      <c r="GPQ338" s="42" t="s">
        <v>607</v>
      </c>
      <c r="GPR338" s="42" t="s">
        <v>607</v>
      </c>
      <c r="GPS338" s="42" t="s">
        <v>607</v>
      </c>
      <c r="GPT338" s="42" t="s">
        <v>607</v>
      </c>
      <c r="GPU338" s="42" t="s">
        <v>607</v>
      </c>
      <c r="GPV338" s="42" t="s">
        <v>607</v>
      </c>
      <c r="GPW338" s="42" t="s">
        <v>607</v>
      </c>
      <c r="GPX338" s="42" t="s">
        <v>607</v>
      </c>
      <c r="GPY338" s="42" t="s">
        <v>607</v>
      </c>
      <c r="GPZ338" s="42" t="s">
        <v>607</v>
      </c>
      <c r="GQA338" s="42" t="s">
        <v>607</v>
      </c>
      <c r="GQB338" s="42" t="s">
        <v>607</v>
      </c>
      <c r="GQC338" s="42" t="s">
        <v>607</v>
      </c>
      <c r="GQD338" s="42" t="s">
        <v>607</v>
      </c>
      <c r="GQE338" s="42" t="s">
        <v>607</v>
      </c>
      <c r="GQF338" s="42" t="s">
        <v>607</v>
      </c>
      <c r="GQG338" s="42" t="s">
        <v>607</v>
      </c>
      <c r="GQH338" s="42" t="s">
        <v>607</v>
      </c>
      <c r="GQI338" s="42" t="s">
        <v>607</v>
      </c>
      <c r="GQJ338" s="42" t="s">
        <v>607</v>
      </c>
      <c r="GQK338" s="42" t="s">
        <v>607</v>
      </c>
      <c r="GQL338" s="42" t="s">
        <v>607</v>
      </c>
      <c r="GQM338" s="42" t="s">
        <v>607</v>
      </c>
      <c r="GQN338" s="42" t="s">
        <v>607</v>
      </c>
      <c r="GQO338" s="42" t="s">
        <v>607</v>
      </c>
      <c r="GQP338" s="42" t="s">
        <v>607</v>
      </c>
      <c r="GQQ338" s="42" t="s">
        <v>607</v>
      </c>
      <c r="GQR338" s="42" t="s">
        <v>607</v>
      </c>
      <c r="GQS338" s="42" t="s">
        <v>607</v>
      </c>
      <c r="GQT338" s="42" t="s">
        <v>607</v>
      </c>
      <c r="GQU338" s="42" t="s">
        <v>607</v>
      </c>
      <c r="GQV338" s="42" t="s">
        <v>607</v>
      </c>
      <c r="GQW338" s="42" t="s">
        <v>607</v>
      </c>
      <c r="GQX338" s="42" t="s">
        <v>607</v>
      </c>
      <c r="GQY338" s="42" t="s">
        <v>607</v>
      </c>
      <c r="GQZ338" s="42" t="s">
        <v>607</v>
      </c>
      <c r="GRA338" s="42" t="s">
        <v>607</v>
      </c>
      <c r="GRB338" s="42" t="s">
        <v>607</v>
      </c>
      <c r="GRC338" s="42" t="s">
        <v>607</v>
      </c>
      <c r="GRD338" s="42" t="s">
        <v>607</v>
      </c>
      <c r="GRE338" s="42" t="s">
        <v>607</v>
      </c>
      <c r="GRF338" s="42" t="s">
        <v>607</v>
      </c>
      <c r="GRG338" s="42" t="s">
        <v>607</v>
      </c>
      <c r="GRH338" s="42" t="s">
        <v>607</v>
      </c>
      <c r="GRI338" s="42" t="s">
        <v>607</v>
      </c>
      <c r="GRJ338" s="42" t="s">
        <v>607</v>
      </c>
      <c r="GRK338" s="42" t="s">
        <v>607</v>
      </c>
      <c r="GRL338" s="42" t="s">
        <v>607</v>
      </c>
      <c r="GRM338" s="42" t="s">
        <v>607</v>
      </c>
      <c r="GRN338" s="42" t="s">
        <v>607</v>
      </c>
      <c r="GRO338" s="42" t="s">
        <v>607</v>
      </c>
      <c r="GRP338" s="42" t="s">
        <v>607</v>
      </c>
      <c r="GRQ338" s="42" t="s">
        <v>607</v>
      </c>
      <c r="GRR338" s="42" t="s">
        <v>607</v>
      </c>
      <c r="GRS338" s="42" t="s">
        <v>607</v>
      </c>
      <c r="GRT338" s="42" t="s">
        <v>607</v>
      </c>
      <c r="GRU338" s="42" t="s">
        <v>607</v>
      </c>
      <c r="GRV338" s="42" t="s">
        <v>607</v>
      </c>
      <c r="GRW338" s="42" t="s">
        <v>607</v>
      </c>
      <c r="GRX338" s="42" t="s">
        <v>607</v>
      </c>
      <c r="GRY338" s="42" t="s">
        <v>607</v>
      </c>
      <c r="GRZ338" s="42" t="s">
        <v>607</v>
      </c>
      <c r="GSA338" s="42" t="s">
        <v>607</v>
      </c>
      <c r="GSB338" s="42" t="s">
        <v>607</v>
      </c>
      <c r="GSC338" s="42" t="s">
        <v>607</v>
      </c>
      <c r="GSD338" s="42" t="s">
        <v>607</v>
      </c>
      <c r="GSE338" s="42" t="s">
        <v>607</v>
      </c>
      <c r="GSF338" s="42" t="s">
        <v>607</v>
      </c>
      <c r="GSG338" s="42" t="s">
        <v>607</v>
      </c>
      <c r="GSH338" s="42" t="s">
        <v>607</v>
      </c>
      <c r="GSI338" s="42" t="s">
        <v>607</v>
      </c>
      <c r="GSJ338" s="42" t="s">
        <v>607</v>
      </c>
      <c r="GSK338" s="42" t="s">
        <v>607</v>
      </c>
      <c r="GSL338" s="42" t="s">
        <v>607</v>
      </c>
      <c r="GSM338" s="42" t="s">
        <v>607</v>
      </c>
      <c r="GSN338" s="42" t="s">
        <v>607</v>
      </c>
      <c r="GSO338" s="42" t="s">
        <v>607</v>
      </c>
      <c r="GSP338" s="42" t="s">
        <v>607</v>
      </c>
      <c r="GSQ338" s="42" t="s">
        <v>607</v>
      </c>
      <c r="GSR338" s="42" t="s">
        <v>607</v>
      </c>
      <c r="GSS338" s="42" t="s">
        <v>607</v>
      </c>
      <c r="GST338" s="42" t="s">
        <v>607</v>
      </c>
      <c r="GSU338" s="42" t="s">
        <v>607</v>
      </c>
      <c r="GSV338" s="42" t="s">
        <v>607</v>
      </c>
      <c r="GSW338" s="42" t="s">
        <v>607</v>
      </c>
      <c r="GSX338" s="42" t="s">
        <v>607</v>
      </c>
      <c r="GSY338" s="42" t="s">
        <v>607</v>
      </c>
      <c r="GSZ338" s="42" t="s">
        <v>607</v>
      </c>
      <c r="GTA338" s="42" t="s">
        <v>607</v>
      </c>
      <c r="GTB338" s="42" t="s">
        <v>607</v>
      </c>
      <c r="GTC338" s="42" t="s">
        <v>607</v>
      </c>
      <c r="GTD338" s="42" t="s">
        <v>607</v>
      </c>
      <c r="GTE338" s="42" t="s">
        <v>607</v>
      </c>
      <c r="GTF338" s="42" t="s">
        <v>607</v>
      </c>
      <c r="GTG338" s="42" t="s">
        <v>607</v>
      </c>
      <c r="GTH338" s="42" t="s">
        <v>607</v>
      </c>
      <c r="GTI338" s="42" t="s">
        <v>607</v>
      </c>
      <c r="GTJ338" s="42" t="s">
        <v>607</v>
      </c>
      <c r="GTK338" s="42" t="s">
        <v>607</v>
      </c>
      <c r="GTL338" s="42" t="s">
        <v>607</v>
      </c>
      <c r="GTM338" s="42" t="s">
        <v>607</v>
      </c>
      <c r="GTN338" s="42" t="s">
        <v>607</v>
      </c>
      <c r="GTO338" s="42" t="s">
        <v>607</v>
      </c>
      <c r="GTP338" s="42" t="s">
        <v>607</v>
      </c>
      <c r="GTQ338" s="42" t="s">
        <v>607</v>
      </c>
      <c r="GTR338" s="42" t="s">
        <v>607</v>
      </c>
      <c r="GTS338" s="42" t="s">
        <v>607</v>
      </c>
      <c r="GTT338" s="42" t="s">
        <v>607</v>
      </c>
      <c r="GTU338" s="42" t="s">
        <v>607</v>
      </c>
      <c r="GTV338" s="42" t="s">
        <v>607</v>
      </c>
      <c r="GTW338" s="42" t="s">
        <v>607</v>
      </c>
      <c r="GTX338" s="42" t="s">
        <v>607</v>
      </c>
      <c r="GTY338" s="42" t="s">
        <v>607</v>
      </c>
      <c r="GTZ338" s="42" t="s">
        <v>607</v>
      </c>
      <c r="GUA338" s="42" t="s">
        <v>607</v>
      </c>
      <c r="GUB338" s="42" t="s">
        <v>607</v>
      </c>
      <c r="GUC338" s="42" t="s">
        <v>607</v>
      </c>
      <c r="GUD338" s="42" t="s">
        <v>607</v>
      </c>
      <c r="GUE338" s="42" t="s">
        <v>607</v>
      </c>
      <c r="GUF338" s="42" t="s">
        <v>607</v>
      </c>
      <c r="GUG338" s="42" t="s">
        <v>607</v>
      </c>
      <c r="GUH338" s="42" t="s">
        <v>607</v>
      </c>
      <c r="GUI338" s="42" t="s">
        <v>607</v>
      </c>
      <c r="GUJ338" s="42" t="s">
        <v>607</v>
      </c>
      <c r="GUK338" s="42" t="s">
        <v>607</v>
      </c>
      <c r="GUL338" s="42" t="s">
        <v>607</v>
      </c>
      <c r="GUM338" s="42" t="s">
        <v>607</v>
      </c>
      <c r="GUN338" s="42" t="s">
        <v>607</v>
      </c>
      <c r="GUO338" s="42" t="s">
        <v>607</v>
      </c>
      <c r="GUP338" s="42" t="s">
        <v>607</v>
      </c>
      <c r="GUQ338" s="42" t="s">
        <v>607</v>
      </c>
      <c r="GUR338" s="42" t="s">
        <v>607</v>
      </c>
      <c r="GUS338" s="42" t="s">
        <v>607</v>
      </c>
      <c r="GUT338" s="42" t="s">
        <v>607</v>
      </c>
      <c r="GUU338" s="42" t="s">
        <v>607</v>
      </c>
      <c r="GUV338" s="42" t="s">
        <v>607</v>
      </c>
      <c r="GUW338" s="42" t="s">
        <v>607</v>
      </c>
      <c r="GUX338" s="42" t="s">
        <v>607</v>
      </c>
      <c r="GUY338" s="42" t="s">
        <v>607</v>
      </c>
      <c r="GUZ338" s="42" t="s">
        <v>607</v>
      </c>
      <c r="GVA338" s="42" t="s">
        <v>607</v>
      </c>
      <c r="GVB338" s="42" t="s">
        <v>607</v>
      </c>
      <c r="GVC338" s="42" t="s">
        <v>607</v>
      </c>
      <c r="GVD338" s="42" t="s">
        <v>607</v>
      </c>
      <c r="GVE338" s="42" t="s">
        <v>607</v>
      </c>
      <c r="GVF338" s="42" t="s">
        <v>607</v>
      </c>
      <c r="GVG338" s="42" t="s">
        <v>607</v>
      </c>
      <c r="GVH338" s="42" t="s">
        <v>607</v>
      </c>
      <c r="GVI338" s="42" t="s">
        <v>607</v>
      </c>
      <c r="GVJ338" s="42" t="s">
        <v>607</v>
      </c>
      <c r="GVK338" s="42" t="s">
        <v>607</v>
      </c>
      <c r="GVL338" s="42" t="s">
        <v>607</v>
      </c>
      <c r="GVM338" s="42" t="s">
        <v>607</v>
      </c>
      <c r="GVN338" s="42" t="s">
        <v>607</v>
      </c>
      <c r="GVO338" s="42" t="s">
        <v>607</v>
      </c>
      <c r="GVP338" s="42" t="s">
        <v>607</v>
      </c>
      <c r="GVQ338" s="42" t="s">
        <v>607</v>
      </c>
      <c r="GVR338" s="42" t="s">
        <v>607</v>
      </c>
      <c r="GVS338" s="42" t="s">
        <v>607</v>
      </c>
      <c r="GVT338" s="42" t="s">
        <v>607</v>
      </c>
      <c r="GVU338" s="42" t="s">
        <v>607</v>
      </c>
      <c r="GVV338" s="42" t="s">
        <v>607</v>
      </c>
      <c r="GVW338" s="42" t="s">
        <v>607</v>
      </c>
      <c r="GVX338" s="42" t="s">
        <v>607</v>
      </c>
      <c r="GVY338" s="42" t="s">
        <v>607</v>
      </c>
      <c r="GVZ338" s="42" t="s">
        <v>607</v>
      </c>
      <c r="GWA338" s="42" t="s">
        <v>607</v>
      </c>
      <c r="GWB338" s="42" t="s">
        <v>607</v>
      </c>
      <c r="GWC338" s="42" t="s">
        <v>607</v>
      </c>
      <c r="GWD338" s="42" t="s">
        <v>607</v>
      </c>
      <c r="GWE338" s="42" t="s">
        <v>607</v>
      </c>
      <c r="GWF338" s="42" t="s">
        <v>607</v>
      </c>
      <c r="GWG338" s="42" t="s">
        <v>607</v>
      </c>
      <c r="GWH338" s="42" t="s">
        <v>607</v>
      </c>
      <c r="GWI338" s="42" t="s">
        <v>607</v>
      </c>
      <c r="GWJ338" s="42" t="s">
        <v>607</v>
      </c>
      <c r="GWK338" s="42" t="s">
        <v>607</v>
      </c>
      <c r="GWL338" s="42" t="s">
        <v>607</v>
      </c>
      <c r="GWM338" s="42" t="s">
        <v>607</v>
      </c>
      <c r="GWN338" s="42" t="s">
        <v>607</v>
      </c>
      <c r="GWO338" s="42" t="s">
        <v>607</v>
      </c>
      <c r="GWP338" s="42" t="s">
        <v>607</v>
      </c>
      <c r="GWQ338" s="42" t="s">
        <v>607</v>
      </c>
      <c r="GWR338" s="42" t="s">
        <v>607</v>
      </c>
      <c r="GWS338" s="42" t="s">
        <v>607</v>
      </c>
      <c r="GWT338" s="42" t="s">
        <v>607</v>
      </c>
      <c r="GWU338" s="42" t="s">
        <v>607</v>
      </c>
      <c r="GWV338" s="42" t="s">
        <v>607</v>
      </c>
      <c r="GWW338" s="42" t="s">
        <v>607</v>
      </c>
      <c r="GWX338" s="42" t="s">
        <v>607</v>
      </c>
      <c r="GWY338" s="42" t="s">
        <v>607</v>
      </c>
      <c r="GWZ338" s="42" t="s">
        <v>607</v>
      </c>
      <c r="GXA338" s="42" t="s">
        <v>607</v>
      </c>
      <c r="GXB338" s="42" t="s">
        <v>607</v>
      </c>
      <c r="GXC338" s="42" t="s">
        <v>607</v>
      </c>
      <c r="GXD338" s="42" t="s">
        <v>607</v>
      </c>
      <c r="GXE338" s="42" t="s">
        <v>607</v>
      </c>
      <c r="GXF338" s="42" t="s">
        <v>607</v>
      </c>
      <c r="GXG338" s="42" t="s">
        <v>607</v>
      </c>
      <c r="GXH338" s="42" t="s">
        <v>607</v>
      </c>
      <c r="GXI338" s="42" t="s">
        <v>607</v>
      </c>
      <c r="GXJ338" s="42" t="s">
        <v>607</v>
      </c>
      <c r="GXK338" s="42" t="s">
        <v>607</v>
      </c>
      <c r="GXL338" s="42" t="s">
        <v>607</v>
      </c>
      <c r="GXM338" s="42" t="s">
        <v>607</v>
      </c>
      <c r="GXN338" s="42" t="s">
        <v>607</v>
      </c>
      <c r="GXO338" s="42" t="s">
        <v>607</v>
      </c>
      <c r="GXP338" s="42" t="s">
        <v>607</v>
      </c>
      <c r="GXQ338" s="42" t="s">
        <v>607</v>
      </c>
      <c r="GXR338" s="42" t="s">
        <v>607</v>
      </c>
      <c r="GXS338" s="42" t="s">
        <v>607</v>
      </c>
      <c r="GXT338" s="42" t="s">
        <v>607</v>
      </c>
      <c r="GXU338" s="42" t="s">
        <v>607</v>
      </c>
      <c r="GXV338" s="42" t="s">
        <v>607</v>
      </c>
      <c r="GXW338" s="42" t="s">
        <v>607</v>
      </c>
      <c r="GXX338" s="42" t="s">
        <v>607</v>
      </c>
      <c r="GXY338" s="42" t="s">
        <v>607</v>
      </c>
      <c r="GXZ338" s="42" t="s">
        <v>607</v>
      </c>
      <c r="GYA338" s="42" t="s">
        <v>607</v>
      </c>
      <c r="GYB338" s="42" t="s">
        <v>607</v>
      </c>
      <c r="GYC338" s="42" t="s">
        <v>607</v>
      </c>
      <c r="GYD338" s="42" t="s">
        <v>607</v>
      </c>
      <c r="GYE338" s="42" t="s">
        <v>607</v>
      </c>
      <c r="GYF338" s="42" t="s">
        <v>607</v>
      </c>
      <c r="GYG338" s="42" t="s">
        <v>607</v>
      </c>
      <c r="GYH338" s="42" t="s">
        <v>607</v>
      </c>
      <c r="GYI338" s="42" t="s">
        <v>607</v>
      </c>
      <c r="GYJ338" s="42" t="s">
        <v>607</v>
      </c>
      <c r="GYK338" s="42" t="s">
        <v>607</v>
      </c>
      <c r="GYL338" s="42" t="s">
        <v>607</v>
      </c>
      <c r="GYM338" s="42" t="s">
        <v>607</v>
      </c>
      <c r="GYN338" s="42" t="s">
        <v>607</v>
      </c>
      <c r="GYO338" s="42" t="s">
        <v>607</v>
      </c>
      <c r="GYP338" s="42" t="s">
        <v>607</v>
      </c>
      <c r="GYQ338" s="42" t="s">
        <v>607</v>
      </c>
      <c r="GYR338" s="42" t="s">
        <v>607</v>
      </c>
      <c r="GYS338" s="42" t="s">
        <v>607</v>
      </c>
      <c r="GYT338" s="42" t="s">
        <v>607</v>
      </c>
      <c r="GYU338" s="42" t="s">
        <v>607</v>
      </c>
      <c r="GYV338" s="42" t="s">
        <v>607</v>
      </c>
      <c r="GYW338" s="42" t="s">
        <v>607</v>
      </c>
      <c r="GYX338" s="42" t="s">
        <v>607</v>
      </c>
      <c r="GYY338" s="42" t="s">
        <v>607</v>
      </c>
      <c r="GYZ338" s="42" t="s">
        <v>607</v>
      </c>
      <c r="GZA338" s="42" t="s">
        <v>607</v>
      </c>
      <c r="GZB338" s="42" t="s">
        <v>607</v>
      </c>
      <c r="GZC338" s="42" t="s">
        <v>607</v>
      </c>
      <c r="GZD338" s="42" t="s">
        <v>607</v>
      </c>
      <c r="GZE338" s="42" t="s">
        <v>607</v>
      </c>
      <c r="GZF338" s="42" t="s">
        <v>607</v>
      </c>
      <c r="GZG338" s="42" t="s">
        <v>607</v>
      </c>
      <c r="GZH338" s="42" t="s">
        <v>607</v>
      </c>
      <c r="GZI338" s="42" t="s">
        <v>607</v>
      </c>
      <c r="GZJ338" s="42" t="s">
        <v>607</v>
      </c>
      <c r="GZK338" s="42" t="s">
        <v>607</v>
      </c>
      <c r="GZL338" s="42" t="s">
        <v>607</v>
      </c>
      <c r="GZM338" s="42" t="s">
        <v>607</v>
      </c>
      <c r="GZN338" s="42" t="s">
        <v>607</v>
      </c>
      <c r="GZO338" s="42" t="s">
        <v>607</v>
      </c>
      <c r="GZP338" s="42" t="s">
        <v>607</v>
      </c>
      <c r="GZQ338" s="42" t="s">
        <v>607</v>
      </c>
      <c r="GZR338" s="42" t="s">
        <v>607</v>
      </c>
      <c r="GZS338" s="42" t="s">
        <v>607</v>
      </c>
      <c r="GZT338" s="42" t="s">
        <v>607</v>
      </c>
      <c r="GZU338" s="42" t="s">
        <v>607</v>
      </c>
      <c r="GZV338" s="42" t="s">
        <v>607</v>
      </c>
      <c r="GZW338" s="42" t="s">
        <v>607</v>
      </c>
      <c r="GZX338" s="42" t="s">
        <v>607</v>
      </c>
      <c r="GZY338" s="42" t="s">
        <v>607</v>
      </c>
      <c r="GZZ338" s="42" t="s">
        <v>607</v>
      </c>
      <c r="HAA338" s="42" t="s">
        <v>607</v>
      </c>
      <c r="HAB338" s="42" t="s">
        <v>607</v>
      </c>
      <c r="HAC338" s="42" t="s">
        <v>607</v>
      </c>
      <c r="HAD338" s="42" t="s">
        <v>607</v>
      </c>
      <c r="HAE338" s="42" t="s">
        <v>607</v>
      </c>
      <c r="HAF338" s="42" t="s">
        <v>607</v>
      </c>
      <c r="HAG338" s="42" t="s">
        <v>607</v>
      </c>
      <c r="HAH338" s="42" t="s">
        <v>607</v>
      </c>
      <c r="HAI338" s="42" t="s">
        <v>607</v>
      </c>
      <c r="HAJ338" s="42" t="s">
        <v>607</v>
      </c>
      <c r="HAK338" s="42" t="s">
        <v>607</v>
      </c>
      <c r="HAL338" s="42" t="s">
        <v>607</v>
      </c>
      <c r="HAM338" s="42" t="s">
        <v>607</v>
      </c>
      <c r="HAN338" s="42" t="s">
        <v>607</v>
      </c>
      <c r="HAO338" s="42" t="s">
        <v>607</v>
      </c>
      <c r="HAP338" s="42" t="s">
        <v>607</v>
      </c>
      <c r="HAQ338" s="42" t="s">
        <v>607</v>
      </c>
      <c r="HAR338" s="42" t="s">
        <v>607</v>
      </c>
      <c r="HAS338" s="42" t="s">
        <v>607</v>
      </c>
      <c r="HAT338" s="42" t="s">
        <v>607</v>
      </c>
      <c r="HAU338" s="42" t="s">
        <v>607</v>
      </c>
      <c r="HAV338" s="42" t="s">
        <v>607</v>
      </c>
      <c r="HAW338" s="42" t="s">
        <v>607</v>
      </c>
      <c r="HAX338" s="42" t="s">
        <v>607</v>
      </c>
      <c r="HAY338" s="42" t="s">
        <v>607</v>
      </c>
      <c r="HAZ338" s="42" t="s">
        <v>607</v>
      </c>
      <c r="HBA338" s="42" t="s">
        <v>607</v>
      </c>
      <c r="HBB338" s="42" t="s">
        <v>607</v>
      </c>
      <c r="HBC338" s="42" t="s">
        <v>607</v>
      </c>
      <c r="HBD338" s="42" t="s">
        <v>607</v>
      </c>
      <c r="HBE338" s="42" t="s">
        <v>607</v>
      </c>
      <c r="HBF338" s="42" t="s">
        <v>607</v>
      </c>
      <c r="HBG338" s="42" t="s">
        <v>607</v>
      </c>
      <c r="HBH338" s="42" t="s">
        <v>607</v>
      </c>
      <c r="HBI338" s="42" t="s">
        <v>607</v>
      </c>
      <c r="HBJ338" s="42" t="s">
        <v>607</v>
      </c>
      <c r="HBK338" s="42" t="s">
        <v>607</v>
      </c>
      <c r="HBL338" s="42" t="s">
        <v>607</v>
      </c>
      <c r="HBM338" s="42" t="s">
        <v>607</v>
      </c>
      <c r="HBN338" s="42" t="s">
        <v>607</v>
      </c>
      <c r="HBO338" s="42" t="s">
        <v>607</v>
      </c>
      <c r="HBP338" s="42" t="s">
        <v>607</v>
      </c>
      <c r="HBQ338" s="42" t="s">
        <v>607</v>
      </c>
      <c r="HBR338" s="42" t="s">
        <v>607</v>
      </c>
      <c r="HBS338" s="42" t="s">
        <v>607</v>
      </c>
      <c r="HBT338" s="42" t="s">
        <v>607</v>
      </c>
      <c r="HBU338" s="42" t="s">
        <v>607</v>
      </c>
      <c r="HBV338" s="42" t="s">
        <v>607</v>
      </c>
      <c r="HBW338" s="42" t="s">
        <v>607</v>
      </c>
      <c r="HBX338" s="42" t="s">
        <v>607</v>
      </c>
      <c r="HBY338" s="42" t="s">
        <v>607</v>
      </c>
      <c r="HBZ338" s="42" t="s">
        <v>607</v>
      </c>
      <c r="HCA338" s="42" t="s">
        <v>607</v>
      </c>
      <c r="HCB338" s="42" t="s">
        <v>607</v>
      </c>
      <c r="HCC338" s="42" t="s">
        <v>607</v>
      </c>
      <c r="HCD338" s="42" t="s">
        <v>607</v>
      </c>
      <c r="HCE338" s="42" t="s">
        <v>607</v>
      </c>
      <c r="HCF338" s="42" t="s">
        <v>607</v>
      </c>
      <c r="HCG338" s="42" t="s">
        <v>607</v>
      </c>
      <c r="HCH338" s="42" t="s">
        <v>607</v>
      </c>
      <c r="HCI338" s="42" t="s">
        <v>607</v>
      </c>
      <c r="HCJ338" s="42" t="s">
        <v>607</v>
      </c>
      <c r="HCK338" s="42" t="s">
        <v>607</v>
      </c>
      <c r="HCL338" s="42" t="s">
        <v>607</v>
      </c>
      <c r="HCM338" s="42" t="s">
        <v>607</v>
      </c>
      <c r="HCN338" s="42" t="s">
        <v>607</v>
      </c>
      <c r="HCO338" s="42" t="s">
        <v>607</v>
      </c>
      <c r="HCP338" s="42" t="s">
        <v>607</v>
      </c>
      <c r="HCQ338" s="42" t="s">
        <v>607</v>
      </c>
      <c r="HCR338" s="42" t="s">
        <v>607</v>
      </c>
      <c r="HCS338" s="42" t="s">
        <v>607</v>
      </c>
      <c r="HCT338" s="42" t="s">
        <v>607</v>
      </c>
      <c r="HCU338" s="42" t="s">
        <v>607</v>
      </c>
      <c r="HCV338" s="42" t="s">
        <v>607</v>
      </c>
      <c r="HCW338" s="42" t="s">
        <v>607</v>
      </c>
      <c r="HCX338" s="42" t="s">
        <v>607</v>
      </c>
      <c r="HCY338" s="42" t="s">
        <v>607</v>
      </c>
      <c r="HCZ338" s="42" t="s">
        <v>607</v>
      </c>
      <c r="HDA338" s="42" t="s">
        <v>607</v>
      </c>
      <c r="HDB338" s="42" t="s">
        <v>607</v>
      </c>
      <c r="HDC338" s="42" t="s">
        <v>607</v>
      </c>
      <c r="HDD338" s="42" t="s">
        <v>607</v>
      </c>
      <c r="HDE338" s="42" t="s">
        <v>607</v>
      </c>
      <c r="HDF338" s="42" t="s">
        <v>607</v>
      </c>
      <c r="HDG338" s="42" t="s">
        <v>607</v>
      </c>
      <c r="HDH338" s="42" t="s">
        <v>607</v>
      </c>
      <c r="HDI338" s="42" t="s">
        <v>607</v>
      </c>
      <c r="HDJ338" s="42" t="s">
        <v>607</v>
      </c>
      <c r="HDK338" s="42" t="s">
        <v>607</v>
      </c>
      <c r="HDL338" s="42" t="s">
        <v>607</v>
      </c>
      <c r="HDM338" s="42" t="s">
        <v>607</v>
      </c>
      <c r="HDN338" s="42" t="s">
        <v>607</v>
      </c>
      <c r="HDO338" s="42" t="s">
        <v>607</v>
      </c>
      <c r="HDP338" s="42" t="s">
        <v>607</v>
      </c>
      <c r="HDQ338" s="42" t="s">
        <v>607</v>
      </c>
      <c r="HDR338" s="42" t="s">
        <v>607</v>
      </c>
      <c r="HDS338" s="42" t="s">
        <v>607</v>
      </c>
      <c r="HDT338" s="42" t="s">
        <v>607</v>
      </c>
      <c r="HDU338" s="42" t="s">
        <v>607</v>
      </c>
      <c r="HDV338" s="42" t="s">
        <v>607</v>
      </c>
      <c r="HDW338" s="42" t="s">
        <v>607</v>
      </c>
      <c r="HDX338" s="42" t="s">
        <v>607</v>
      </c>
      <c r="HDY338" s="42" t="s">
        <v>607</v>
      </c>
      <c r="HDZ338" s="42" t="s">
        <v>607</v>
      </c>
      <c r="HEA338" s="42" t="s">
        <v>607</v>
      </c>
      <c r="HEB338" s="42" t="s">
        <v>607</v>
      </c>
      <c r="HEC338" s="42" t="s">
        <v>607</v>
      </c>
      <c r="HED338" s="42" t="s">
        <v>607</v>
      </c>
      <c r="HEE338" s="42" t="s">
        <v>607</v>
      </c>
      <c r="HEF338" s="42" t="s">
        <v>607</v>
      </c>
      <c r="HEG338" s="42" t="s">
        <v>607</v>
      </c>
      <c r="HEH338" s="42" t="s">
        <v>607</v>
      </c>
      <c r="HEI338" s="42" t="s">
        <v>607</v>
      </c>
      <c r="HEJ338" s="42" t="s">
        <v>607</v>
      </c>
      <c r="HEK338" s="42" t="s">
        <v>607</v>
      </c>
      <c r="HEL338" s="42" t="s">
        <v>607</v>
      </c>
      <c r="HEM338" s="42" t="s">
        <v>607</v>
      </c>
      <c r="HEN338" s="42" t="s">
        <v>607</v>
      </c>
      <c r="HEO338" s="42" t="s">
        <v>607</v>
      </c>
      <c r="HEP338" s="42" t="s">
        <v>607</v>
      </c>
      <c r="HEQ338" s="42" t="s">
        <v>607</v>
      </c>
      <c r="HER338" s="42" t="s">
        <v>607</v>
      </c>
      <c r="HES338" s="42" t="s">
        <v>607</v>
      </c>
      <c r="HET338" s="42" t="s">
        <v>607</v>
      </c>
      <c r="HEU338" s="42" t="s">
        <v>607</v>
      </c>
      <c r="HEV338" s="42" t="s">
        <v>607</v>
      </c>
      <c r="HEW338" s="42" t="s">
        <v>607</v>
      </c>
      <c r="HEX338" s="42" t="s">
        <v>607</v>
      </c>
      <c r="HEY338" s="42" t="s">
        <v>607</v>
      </c>
      <c r="HEZ338" s="42" t="s">
        <v>607</v>
      </c>
      <c r="HFA338" s="42" t="s">
        <v>607</v>
      </c>
      <c r="HFB338" s="42" t="s">
        <v>607</v>
      </c>
      <c r="HFC338" s="42" t="s">
        <v>607</v>
      </c>
      <c r="HFD338" s="42" t="s">
        <v>607</v>
      </c>
      <c r="HFE338" s="42" t="s">
        <v>607</v>
      </c>
      <c r="HFF338" s="42" t="s">
        <v>607</v>
      </c>
      <c r="HFG338" s="42" t="s">
        <v>607</v>
      </c>
      <c r="HFH338" s="42" t="s">
        <v>607</v>
      </c>
      <c r="HFI338" s="42" t="s">
        <v>607</v>
      </c>
      <c r="HFJ338" s="42" t="s">
        <v>607</v>
      </c>
      <c r="HFK338" s="42" t="s">
        <v>607</v>
      </c>
      <c r="HFL338" s="42" t="s">
        <v>607</v>
      </c>
      <c r="HFM338" s="42" t="s">
        <v>607</v>
      </c>
      <c r="HFN338" s="42" t="s">
        <v>607</v>
      </c>
      <c r="HFO338" s="42" t="s">
        <v>607</v>
      </c>
      <c r="HFP338" s="42" t="s">
        <v>607</v>
      </c>
      <c r="HFQ338" s="42" t="s">
        <v>607</v>
      </c>
      <c r="HFR338" s="42" t="s">
        <v>607</v>
      </c>
      <c r="HFS338" s="42" t="s">
        <v>607</v>
      </c>
      <c r="HFT338" s="42" t="s">
        <v>607</v>
      </c>
      <c r="HFU338" s="42" t="s">
        <v>607</v>
      </c>
      <c r="HFV338" s="42" t="s">
        <v>607</v>
      </c>
      <c r="HFW338" s="42" t="s">
        <v>607</v>
      </c>
      <c r="HFX338" s="42" t="s">
        <v>607</v>
      </c>
      <c r="HFY338" s="42" t="s">
        <v>607</v>
      </c>
      <c r="HFZ338" s="42" t="s">
        <v>607</v>
      </c>
      <c r="HGA338" s="42" t="s">
        <v>607</v>
      </c>
      <c r="HGB338" s="42" t="s">
        <v>607</v>
      </c>
      <c r="HGC338" s="42" t="s">
        <v>607</v>
      </c>
      <c r="HGD338" s="42" t="s">
        <v>607</v>
      </c>
      <c r="HGE338" s="42" t="s">
        <v>607</v>
      </c>
      <c r="HGF338" s="42" t="s">
        <v>607</v>
      </c>
      <c r="HGG338" s="42" t="s">
        <v>607</v>
      </c>
      <c r="HGH338" s="42" t="s">
        <v>607</v>
      </c>
      <c r="HGI338" s="42" t="s">
        <v>607</v>
      </c>
      <c r="HGJ338" s="42" t="s">
        <v>607</v>
      </c>
      <c r="HGK338" s="42" t="s">
        <v>607</v>
      </c>
      <c r="HGL338" s="42" t="s">
        <v>607</v>
      </c>
      <c r="HGM338" s="42" t="s">
        <v>607</v>
      </c>
      <c r="HGN338" s="42" t="s">
        <v>607</v>
      </c>
      <c r="HGO338" s="42" t="s">
        <v>607</v>
      </c>
      <c r="HGP338" s="42" t="s">
        <v>607</v>
      </c>
      <c r="HGQ338" s="42" t="s">
        <v>607</v>
      </c>
      <c r="HGR338" s="42" t="s">
        <v>607</v>
      </c>
      <c r="HGS338" s="42" t="s">
        <v>607</v>
      </c>
      <c r="HGT338" s="42" t="s">
        <v>607</v>
      </c>
      <c r="HGU338" s="42" t="s">
        <v>607</v>
      </c>
      <c r="HGV338" s="42" t="s">
        <v>607</v>
      </c>
      <c r="HGW338" s="42" t="s">
        <v>607</v>
      </c>
      <c r="HGX338" s="42" t="s">
        <v>607</v>
      </c>
      <c r="HGY338" s="42" t="s">
        <v>607</v>
      </c>
      <c r="HGZ338" s="42" t="s">
        <v>607</v>
      </c>
      <c r="HHA338" s="42" t="s">
        <v>607</v>
      </c>
      <c r="HHB338" s="42" t="s">
        <v>607</v>
      </c>
      <c r="HHC338" s="42" t="s">
        <v>607</v>
      </c>
      <c r="HHD338" s="42" t="s">
        <v>607</v>
      </c>
      <c r="HHE338" s="42" t="s">
        <v>607</v>
      </c>
      <c r="HHF338" s="42" t="s">
        <v>607</v>
      </c>
      <c r="HHG338" s="42" t="s">
        <v>607</v>
      </c>
      <c r="HHH338" s="42" t="s">
        <v>607</v>
      </c>
      <c r="HHI338" s="42" t="s">
        <v>607</v>
      </c>
      <c r="HHJ338" s="42" t="s">
        <v>607</v>
      </c>
      <c r="HHK338" s="42" t="s">
        <v>607</v>
      </c>
      <c r="HHL338" s="42" t="s">
        <v>607</v>
      </c>
      <c r="HHM338" s="42" t="s">
        <v>607</v>
      </c>
      <c r="HHN338" s="42" t="s">
        <v>607</v>
      </c>
      <c r="HHO338" s="42" t="s">
        <v>607</v>
      </c>
      <c r="HHP338" s="42" t="s">
        <v>607</v>
      </c>
      <c r="HHQ338" s="42" t="s">
        <v>607</v>
      </c>
      <c r="HHR338" s="42" t="s">
        <v>607</v>
      </c>
      <c r="HHS338" s="42" t="s">
        <v>607</v>
      </c>
      <c r="HHT338" s="42" t="s">
        <v>607</v>
      </c>
      <c r="HHU338" s="42" t="s">
        <v>607</v>
      </c>
      <c r="HHV338" s="42" t="s">
        <v>607</v>
      </c>
      <c r="HHW338" s="42" t="s">
        <v>607</v>
      </c>
      <c r="HHX338" s="42" t="s">
        <v>607</v>
      </c>
      <c r="HHY338" s="42" t="s">
        <v>607</v>
      </c>
      <c r="HHZ338" s="42" t="s">
        <v>607</v>
      </c>
      <c r="HIA338" s="42" t="s">
        <v>607</v>
      </c>
      <c r="HIB338" s="42" t="s">
        <v>607</v>
      </c>
      <c r="HIC338" s="42" t="s">
        <v>607</v>
      </c>
      <c r="HID338" s="42" t="s">
        <v>607</v>
      </c>
      <c r="HIE338" s="42" t="s">
        <v>607</v>
      </c>
      <c r="HIF338" s="42" t="s">
        <v>607</v>
      </c>
      <c r="HIG338" s="42" t="s">
        <v>607</v>
      </c>
      <c r="HIH338" s="42" t="s">
        <v>607</v>
      </c>
      <c r="HII338" s="42" t="s">
        <v>607</v>
      </c>
      <c r="HIJ338" s="42" t="s">
        <v>607</v>
      </c>
      <c r="HIK338" s="42" t="s">
        <v>607</v>
      </c>
      <c r="HIL338" s="42" t="s">
        <v>607</v>
      </c>
      <c r="HIM338" s="42" t="s">
        <v>607</v>
      </c>
      <c r="HIN338" s="42" t="s">
        <v>607</v>
      </c>
      <c r="HIO338" s="42" t="s">
        <v>607</v>
      </c>
      <c r="HIP338" s="42" t="s">
        <v>607</v>
      </c>
      <c r="HIQ338" s="42" t="s">
        <v>607</v>
      </c>
      <c r="HIR338" s="42" t="s">
        <v>607</v>
      </c>
      <c r="HIS338" s="42" t="s">
        <v>607</v>
      </c>
      <c r="HIT338" s="42" t="s">
        <v>607</v>
      </c>
      <c r="HIU338" s="42" t="s">
        <v>607</v>
      </c>
      <c r="HIV338" s="42" t="s">
        <v>607</v>
      </c>
      <c r="HIW338" s="42" t="s">
        <v>607</v>
      </c>
      <c r="HIX338" s="42" t="s">
        <v>607</v>
      </c>
      <c r="HIY338" s="42" t="s">
        <v>607</v>
      </c>
      <c r="HIZ338" s="42" t="s">
        <v>607</v>
      </c>
      <c r="HJA338" s="42" t="s">
        <v>607</v>
      </c>
      <c r="HJB338" s="42" t="s">
        <v>607</v>
      </c>
      <c r="HJC338" s="42" t="s">
        <v>607</v>
      </c>
      <c r="HJD338" s="42" t="s">
        <v>607</v>
      </c>
      <c r="HJE338" s="42" t="s">
        <v>607</v>
      </c>
      <c r="HJF338" s="42" t="s">
        <v>607</v>
      </c>
      <c r="HJG338" s="42" t="s">
        <v>607</v>
      </c>
      <c r="HJH338" s="42" t="s">
        <v>607</v>
      </c>
      <c r="HJI338" s="42" t="s">
        <v>607</v>
      </c>
      <c r="HJJ338" s="42" t="s">
        <v>607</v>
      </c>
      <c r="HJK338" s="42" t="s">
        <v>607</v>
      </c>
      <c r="HJL338" s="42" t="s">
        <v>607</v>
      </c>
      <c r="HJM338" s="42" t="s">
        <v>607</v>
      </c>
      <c r="HJN338" s="42" t="s">
        <v>607</v>
      </c>
      <c r="HJO338" s="42" t="s">
        <v>607</v>
      </c>
      <c r="HJP338" s="42" t="s">
        <v>607</v>
      </c>
      <c r="HJQ338" s="42" t="s">
        <v>607</v>
      </c>
      <c r="HJR338" s="42" t="s">
        <v>607</v>
      </c>
      <c r="HJS338" s="42" t="s">
        <v>607</v>
      </c>
      <c r="HJT338" s="42" t="s">
        <v>607</v>
      </c>
      <c r="HJU338" s="42" t="s">
        <v>607</v>
      </c>
      <c r="HJV338" s="42" t="s">
        <v>607</v>
      </c>
      <c r="HJW338" s="42" t="s">
        <v>607</v>
      </c>
      <c r="HJX338" s="42" t="s">
        <v>607</v>
      </c>
      <c r="HJY338" s="42" t="s">
        <v>607</v>
      </c>
      <c r="HJZ338" s="42" t="s">
        <v>607</v>
      </c>
      <c r="HKA338" s="42" t="s">
        <v>607</v>
      </c>
      <c r="HKB338" s="42" t="s">
        <v>607</v>
      </c>
      <c r="HKC338" s="42" t="s">
        <v>607</v>
      </c>
      <c r="HKD338" s="42" t="s">
        <v>607</v>
      </c>
      <c r="HKE338" s="42" t="s">
        <v>607</v>
      </c>
      <c r="HKF338" s="42" t="s">
        <v>607</v>
      </c>
      <c r="HKG338" s="42" t="s">
        <v>607</v>
      </c>
      <c r="HKH338" s="42" t="s">
        <v>607</v>
      </c>
      <c r="HKI338" s="42" t="s">
        <v>607</v>
      </c>
      <c r="HKJ338" s="42" t="s">
        <v>607</v>
      </c>
      <c r="HKK338" s="42" t="s">
        <v>607</v>
      </c>
      <c r="HKL338" s="42" t="s">
        <v>607</v>
      </c>
      <c r="HKM338" s="42" t="s">
        <v>607</v>
      </c>
      <c r="HKN338" s="42" t="s">
        <v>607</v>
      </c>
      <c r="HKO338" s="42" t="s">
        <v>607</v>
      </c>
      <c r="HKP338" s="42" t="s">
        <v>607</v>
      </c>
      <c r="HKQ338" s="42" t="s">
        <v>607</v>
      </c>
      <c r="HKR338" s="42" t="s">
        <v>607</v>
      </c>
      <c r="HKS338" s="42" t="s">
        <v>607</v>
      </c>
      <c r="HKT338" s="42" t="s">
        <v>607</v>
      </c>
      <c r="HKU338" s="42" t="s">
        <v>607</v>
      </c>
      <c r="HKV338" s="42" t="s">
        <v>607</v>
      </c>
      <c r="HKW338" s="42" t="s">
        <v>607</v>
      </c>
      <c r="HKX338" s="42" t="s">
        <v>607</v>
      </c>
      <c r="HKY338" s="42" t="s">
        <v>607</v>
      </c>
      <c r="HKZ338" s="42" t="s">
        <v>607</v>
      </c>
      <c r="HLA338" s="42" t="s">
        <v>607</v>
      </c>
      <c r="HLB338" s="42" t="s">
        <v>607</v>
      </c>
      <c r="HLC338" s="42" t="s">
        <v>607</v>
      </c>
      <c r="HLD338" s="42" t="s">
        <v>607</v>
      </c>
      <c r="HLE338" s="42" t="s">
        <v>607</v>
      </c>
      <c r="HLF338" s="42" t="s">
        <v>607</v>
      </c>
      <c r="HLG338" s="42" t="s">
        <v>607</v>
      </c>
      <c r="HLH338" s="42" t="s">
        <v>607</v>
      </c>
      <c r="HLI338" s="42" t="s">
        <v>607</v>
      </c>
      <c r="HLJ338" s="42" t="s">
        <v>607</v>
      </c>
      <c r="HLK338" s="42" t="s">
        <v>607</v>
      </c>
      <c r="HLL338" s="42" t="s">
        <v>607</v>
      </c>
      <c r="HLM338" s="42" t="s">
        <v>607</v>
      </c>
      <c r="HLN338" s="42" t="s">
        <v>607</v>
      </c>
      <c r="HLO338" s="42" t="s">
        <v>607</v>
      </c>
      <c r="HLP338" s="42" t="s">
        <v>607</v>
      </c>
      <c r="HLQ338" s="42" t="s">
        <v>607</v>
      </c>
      <c r="HLR338" s="42" t="s">
        <v>607</v>
      </c>
      <c r="HLS338" s="42" t="s">
        <v>607</v>
      </c>
      <c r="HLT338" s="42" t="s">
        <v>607</v>
      </c>
      <c r="HLU338" s="42" t="s">
        <v>607</v>
      </c>
      <c r="HLV338" s="42" t="s">
        <v>607</v>
      </c>
      <c r="HLW338" s="42" t="s">
        <v>607</v>
      </c>
      <c r="HLX338" s="42" t="s">
        <v>607</v>
      </c>
      <c r="HLY338" s="42" t="s">
        <v>607</v>
      </c>
      <c r="HLZ338" s="42" t="s">
        <v>607</v>
      </c>
      <c r="HMA338" s="42" t="s">
        <v>607</v>
      </c>
      <c r="HMB338" s="42" t="s">
        <v>607</v>
      </c>
      <c r="HMC338" s="42" t="s">
        <v>607</v>
      </c>
      <c r="HMD338" s="42" t="s">
        <v>607</v>
      </c>
      <c r="HME338" s="42" t="s">
        <v>607</v>
      </c>
      <c r="HMF338" s="42" t="s">
        <v>607</v>
      </c>
      <c r="HMG338" s="42" t="s">
        <v>607</v>
      </c>
      <c r="HMH338" s="42" t="s">
        <v>607</v>
      </c>
      <c r="HMI338" s="42" t="s">
        <v>607</v>
      </c>
      <c r="HMJ338" s="42" t="s">
        <v>607</v>
      </c>
      <c r="HMK338" s="42" t="s">
        <v>607</v>
      </c>
      <c r="HML338" s="42" t="s">
        <v>607</v>
      </c>
      <c r="HMM338" s="42" t="s">
        <v>607</v>
      </c>
      <c r="HMN338" s="42" t="s">
        <v>607</v>
      </c>
      <c r="HMO338" s="42" t="s">
        <v>607</v>
      </c>
      <c r="HMP338" s="42" t="s">
        <v>607</v>
      </c>
      <c r="HMQ338" s="42" t="s">
        <v>607</v>
      </c>
      <c r="HMR338" s="42" t="s">
        <v>607</v>
      </c>
      <c r="HMS338" s="42" t="s">
        <v>607</v>
      </c>
      <c r="HMT338" s="42" t="s">
        <v>607</v>
      </c>
      <c r="HMU338" s="42" t="s">
        <v>607</v>
      </c>
      <c r="HMV338" s="42" t="s">
        <v>607</v>
      </c>
      <c r="HMW338" s="42" t="s">
        <v>607</v>
      </c>
      <c r="HMX338" s="42" t="s">
        <v>607</v>
      </c>
      <c r="HMY338" s="42" t="s">
        <v>607</v>
      </c>
      <c r="HMZ338" s="42" t="s">
        <v>607</v>
      </c>
      <c r="HNA338" s="42" t="s">
        <v>607</v>
      </c>
      <c r="HNB338" s="42" t="s">
        <v>607</v>
      </c>
      <c r="HNC338" s="42" t="s">
        <v>607</v>
      </c>
      <c r="HND338" s="42" t="s">
        <v>607</v>
      </c>
      <c r="HNE338" s="42" t="s">
        <v>607</v>
      </c>
      <c r="HNF338" s="42" t="s">
        <v>607</v>
      </c>
      <c r="HNG338" s="42" t="s">
        <v>607</v>
      </c>
      <c r="HNH338" s="42" t="s">
        <v>607</v>
      </c>
      <c r="HNI338" s="42" t="s">
        <v>607</v>
      </c>
      <c r="HNJ338" s="42" t="s">
        <v>607</v>
      </c>
      <c r="HNK338" s="42" t="s">
        <v>607</v>
      </c>
      <c r="HNL338" s="42" t="s">
        <v>607</v>
      </c>
      <c r="HNM338" s="42" t="s">
        <v>607</v>
      </c>
      <c r="HNN338" s="42" t="s">
        <v>607</v>
      </c>
      <c r="HNO338" s="42" t="s">
        <v>607</v>
      </c>
      <c r="HNP338" s="42" t="s">
        <v>607</v>
      </c>
      <c r="HNQ338" s="42" t="s">
        <v>607</v>
      </c>
      <c r="HNR338" s="42" t="s">
        <v>607</v>
      </c>
      <c r="HNS338" s="42" t="s">
        <v>607</v>
      </c>
      <c r="HNT338" s="42" t="s">
        <v>607</v>
      </c>
      <c r="HNU338" s="42" t="s">
        <v>607</v>
      </c>
      <c r="HNV338" s="42" t="s">
        <v>607</v>
      </c>
      <c r="HNW338" s="42" t="s">
        <v>607</v>
      </c>
      <c r="HNX338" s="42" t="s">
        <v>607</v>
      </c>
      <c r="HNY338" s="42" t="s">
        <v>607</v>
      </c>
      <c r="HNZ338" s="42" t="s">
        <v>607</v>
      </c>
      <c r="HOA338" s="42" t="s">
        <v>607</v>
      </c>
      <c r="HOB338" s="42" t="s">
        <v>607</v>
      </c>
      <c r="HOC338" s="42" t="s">
        <v>607</v>
      </c>
      <c r="HOD338" s="42" t="s">
        <v>607</v>
      </c>
      <c r="HOE338" s="42" t="s">
        <v>607</v>
      </c>
      <c r="HOF338" s="42" t="s">
        <v>607</v>
      </c>
      <c r="HOG338" s="42" t="s">
        <v>607</v>
      </c>
      <c r="HOH338" s="42" t="s">
        <v>607</v>
      </c>
      <c r="HOI338" s="42" t="s">
        <v>607</v>
      </c>
      <c r="HOJ338" s="42" t="s">
        <v>607</v>
      </c>
      <c r="HOK338" s="42" t="s">
        <v>607</v>
      </c>
      <c r="HOL338" s="42" t="s">
        <v>607</v>
      </c>
      <c r="HOM338" s="42" t="s">
        <v>607</v>
      </c>
      <c r="HON338" s="42" t="s">
        <v>607</v>
      </c>
      <c r="HOO338" s="42" t="s">
        <v>607</v>
      </c>
      <c r="HOP338" s="42" t="s">
        <v>607</v>
      </c>
      <c r="HOQ338" s="42" t="s">
        <v>607</v>
      </c>
      <c r="HOR338" s="42" t="s">
        <v>607</v>
      </c>
      <c r="HOS338" s="42" t="s">
        <v>607</v>
      </c>
      <c r="HOT338" s="42" t="s">
        <v>607</v>
      </c>
      <c r="HOU338" s="42" t="s">
        <v>607</v>
      </c>
      <c r="HOV338" s="42" t="s">
        <v>607</v>
      </c>
      <c r="HOW338" s="42" t="s">
        <v>607</v>
      </c>
      <c r="HOX338" s="42" t="s">
        <v>607</v>
      </c>
      <c r="HOY338" s="42" t="s">
        <v>607</v>
      </c>
      <c r="HOZ338" s="42" t="s">
        <v>607</v>
      </c>
      <c r="HPA338" s="42" t="s">
        <v>607</v>
      </c>
      <c r="HPB338" s="42" t="s">
        <v>607</v>
      </c>
      <c r="HPC338" s="42" t="s">
        <v>607</v>
      </c>
      <c r="HPD338" s="42" t="s">
        <v>607</v>
      </c>
      <c r="HPE338" s="42" t="s">
        <v>607</v>
      </c>
      <c r="HPF338" s="42" t="s">
        <v>607</v>
      </c>
      <c r="HPG338" s="42" t="s">
        <v>607</v>
      </c>
      <c r="HPH338" s="42" t="s">
        <v>607</v>
      </c>
      <c r="HPI338" s="42" t="s">
        <v>607</v>
      </c>
      <c r="HPJ338" s="42" t="s">
        <v>607</v>
      </c>
      <c r="HPK338" s="42" t="s">
        <v>607</v>
      </c>
      <c r="HPL338" s="42" t="s">
        <v>607</v>
      </c>
      <c r="HPM338" s="42" t="s">
        <v>607</v>
      </c>
      <c r="HPN338" s="42" t="s">
        <v>607</v>
      </c>
      <c r="HPO338" s="42" t="s">
        <v>607</v>
      </c>
      <c r="HPP338" s="42" t="s">
        <v>607</v>
      </c>
      <c r="HPQ338" s="42" t="s">
        <v>607</v>
      </c>
      <c r="HPR338" s="42" t="s">
        <v>607</v>
      </c>
      <c r="HPS338" s="42" t="s">
        <v>607</v>
      </c>
      <c r="HPT338" s="42" t="s">
        <v>607</v>
      </c>
      <c r="HPU338" s="42" t="s">
        <v>607</v>
      </c>
      <c r="HPV338" s="42" t="s">
        <v>607</v>
      </c>
      <c r="HPW338" s="42" t="s">
        <v>607</v>
      </c>
      <c r="HPX338" s="42" t="s">
        <v>607</v>
      </c>
      <c r="HPY338" s="42" t="s">
        <v>607</v>
      </c>
      <c r="HPZ338" s="42" t="s">
        <v>607</v>
      </c>
      <c r="HQA338" s="42" t="s">
        <v>607</v>
      </c>
      <c r="HQB338" s="42" t="s">
        <v>607</v>
      </c>
      <c r="HQC338" s="42" t="s">
        <v>607</v>
      </c>
      <c r="HQD338" s="42" t="s">
        <v>607</v>
      </c>
      <c r="HQE338" s="42" t="s">
        <v>607</v>
      </c>
      <c r="HQF338" s="42" t="s">
        <v>607</v>
      </c>
      <c r="HQG338" s="42" t="s">
        <v>607</v>
      </c>
      <c r="HQH338" s="42" t="s">
        <v>607</v>
      </c>
      <c r="HQI338" s="42" t="s">
        <v>607</v>
      </c>
      <c r="HQJ338" s="42" t="s">
        <v>607</v>
      </c>
      <c r="HQK338" s="42" t="s">
        <v>607</v>
      </c>
      <c r="HQL338" s="42" t="s">
        <v>607</v>
      </c>
      <c r="HQM338" s="42" t="s">
        <v>607</v>
      </c>
      <c r="HQN338" s="42" t="s">
        <v>607</v>
      </c>
      <c r="HQO338" s="42" t="s">
        <v>607</v>
      </c>
      <c r="HQP338" s="42" t="s">
        <v>607</v>
      </c>
      <c r="HQQ338" s="42" t="s">
        <v>607</v>
      </c>
      <c r="HQR338" s="42" t="s">
        <v>607</v>
      </c>
      <c r="HQS338" s="42" t="s">
        <v>607</v>
      </c>
      <c r="HQT338" s="42" t="s">
        <v>607</v>
      </c>
      <c r="HQU338" s="42" t="s">
        <v>607</v>
      </c>
      <c r="HQV338" s="42" t="s">
        <v>607</v>
      </c>
      <c r="HQW338" s="42" t="s">
        <v>607</v>
      </c>
      <c r="HQX338" s="42" t="s">
        <v>607</v>
      </c>
      <c r="HQY338" s="42" t="s">
        <v>607</v>
      </c>
      <c r="HQZ338" s="42" t="s">
        <v>607</v>
      </c>
      <c r="HRA338" s="42" t="s">
        <v>607</v>
      </c>
      <c r="HRB338" s="42" t="s">
        <v>607</v>
      </c>
      <c r="HRC338" s="42" t="s">
        <v>607</v>
      </c>
      <c r="HRD338" s="42" t="s">
        <v>607</v>
      </c>
      <c r="HRE338" s="42" t="s">
        <v>607</v>
      </c>
      <c r="HRF338" s="42" t="s">
        <v>607</v>
      </c>
      <c r="HRG338" s="42" t="s">
        <v>607</v>
      </c>
      <c r="HRH338" s="42" t="s">
        <v>607</v>
      </c>
      <c r="HRI338" s="42" t="s">
        <v>607</v>
      </c>
      <c r="HRJ338" s="42" t="s">
        <v>607</v>
      </c>
      <c r="HRK338" s="42" t="s">
        <v>607</v>
      </c>
      <c r="HRL338" s="42" t="s">
        <v>607</v>
      </c>
      <c r="HRM338" s="42" t="s">
        <v>607</v>
      </c>
      <c r="HRN338" s="42" t="s">
        <v>607</v>
      </c>
      <c r="HRO338" s="42" t="s">
        <v>607</v>
      </c>
      <c r="HRP338" s="42" t="s">
        <v>607</v>
      </c>
      <c r="HRQ338" s="42" t="s">
        <v>607</v>
      </c>
      <c r="HRR338" s="42" t="s">
        <v>607</v>
      </c>
      <c r="HRS338" s="42" t="s">
        <v>607</v>
      </c>
      <c r="HRT338" s="42" t="s">
        <v>607</v>
      </c>
      <c r="HRU338" s="42" t="s">
        <v>607</v>
      </c>
      <c r="HRV338" s="42" t="s">
        <v>607</v>
      </c>
      <c r="HRW338" s="42" t="s">
        <v>607</v>
      </c>
      <c r="HRX338" s="42" t="s">
        <v>607</v>
      </c>
      <c r="HRY338" s="42" t="s">
        <v>607</v>
      </c>
      <c r="HRZ338" s="42" t="s">
        <v>607</v>
      </c>
      <c r="HSA338" s="42" t="s">
        <v>607</v>
      </c>
      <c r="HSB338" s="42" t="s">
        <v>607</v>
      </c>
      <c r="HSC338" s="42" t="s">
        <v>607</v>
      </c>
      <c r="HSD338" s="42" t="s">
        <v>607</v>
      </c>
      <c r="HSE338" s="42" t="s">
        <v>607</v>
      </c>
      <c r="HSF338" s="42" t="s">
        <v>607</v>
      </c>
      <c r="HSG338" s="42" t="s">
        <v>607</v>
      </c>
      <c r="HSH338" s="42" t="s">
        <v>607</v>
      </c>
      <c r="HSI338" s="42" t="s">
        <v>607</v>
      </c>
      <c r="HSJ338" s="42" t="s">
        <v>607</v>
      </c>
      <c r="HSK338" s="42" t="s">
        <v>607</v>
      </c>
      <c r="HSL338" s="42" t="s">
        <v>607</v>
      </c>
      <c r="HSM338" s="42" t="s">
        <v>607</v>
      </c>
      <c r="HSN338" s="42" t="s">
        <v>607</v>
      </c>
      <c r="HSO338" s="42" t="s">
        <v>607</v>
      </c>
      <c r="HSP338" s="42" t="s">
        <v>607</v>
      </c>
      <c r="HSQ338" s="42" t="s">
        <v>607</v>
      </c>
      <c r="HSR338" s="42" t="s">
        <v>607</v>
      </c>
      <c r="HSS338" s="42" t="s">
        <v>607</v>
      </c>
      <c r="HST338" s="42" t="s">
        <v>607</v>
      </c>
      <c r="HSU338" s="42" t="s">
        <v>607</v>
      </c>
      <c r="HSV338" s="42" t="s">
        <v>607</v>
      </c>
      <c r="HSW338" s="42" t="s">
        <v>607</v>
      </c>
      <c r="HSX338" s="42" t="s">
        <v>607</v>
      </c>
      <c r="HSY338" s="42" t="s">
        <v>607</v>
      </c>
      <c r="HSZ338" s="42" t="s">
        <v>607</v>
      </c>
      <c r="HTA338" s="42" t="s">
        <v>607</v>
      </c>
      <c r="HTB338" s="42" t="s">
        <v>607</v>
      </c>
      <c r="HTC338" s="42" t="s">
        <v>607</v>
      </c>
      <c r="HTD338" s="42" t="s">
        <v>607</v>
      </c>
      <c r="HTE338" s="42" t="s">
        <v>607</v>
      </c>
      <c r="HTF338" s="42" t="s">
        <v>607</v>
      </c>
      <c r="HTG338" s="42" t="s">
        <v>607</v>
      </c>
      <c r="HTH338" s="42" t="s">
        <v>607</v>
      </c>
      <c r="HTI338" s="42" t="s">
        <v>607</v>
      </c>
      <c r="HTJ338" s="42" t="s">
        <v>607</v>
      </c>
      <c r="HTK338" s="42" t="s">
        <v>607</v>
      </c>
      <c r="HTL338" s="42" t="s">
        <v>607</v>
      </c>
      <c r="HTM338" s="42" t="s">
        <v>607</v>
      </c>
      <c r="HTN338" s="42" t="s">
        <v>607</v>
      </c>
      <c r="HTO338" s="42" t="s">
        <v>607</v>
      </c>
      <c r="HTP338" s="42" t="s">
        <v>607</v>
      </c>
      <c r="HTQ338" s="42" t="s">
        <v>607</v>
      </c>
      <c r="HTR338" s="42" t="s">
        <v>607</v>
      </c>
      <c r="HTS338" s="42" t="s">
        <v>607</v>
      </c>
      <c r="HTT338" s="42" t="s">
        <v>607</v>
      </c>
      <c r="HTU338" s="42" t="s">
        <v>607</v>
      </c>
      <c r="HTV338" s="42" t="s">
        <v>607</v>
      </c>
      <c r="HTW338" s="42" t="s">
        <v>607</v>
      </c>
      <c r="HTX338" s="42" t="s">
        <v>607</v>
      </c>
      <c r="HTY338" s="42" t="s">
        <v>607</v>
      </c>
      <c r="HTZ338" s="42" t="s">
        <v>607</v>
      </c>
      <c r="HUA338" s="42" t="s">
        <v>607</v>
      </c>
      <c r="HUB338" s="42" t="s">
        <v>607</v>
      </c>
      <c r="HUC338" s="42" t="s">
        <v>607</v>
      </c>
      <c r="HUD338" s="42" t="s">
        <v>607</v>
      </c>
      <c r="HUE338" s="42" t="s">
        <v>607</v>
      </c>
      <c r="HUF338" s="42" t="s">
        <v>607</v>
      </c>
      <c r="HUG338" s="42" t="s">
        <v>607</v>
      </c>
      <c r="HUH338" s="42" t="s">
        <v>607</v>
      </c>
      <c r="HUI338" s="42" t="s">
        <v>607</v>
      </c>
      <c r="HUJ338" s="42" t="s">
        <v>607</v>
      </c>
      <c r="HUK338" s="42" t="s">
        <v>607</v>
      </c>
      <c r="HUL338" s="42" t="s">
        <v>607</v>
      </c>
      <c r="HUM338" s="42" t="s">
        <v>607</v>
      </c>
      <c r="HUN338" s="42" t="s">
        <v>607</v>
      </c>
      <c r="HUO338" s="42" t="s">
        <v>607</v>
      </c>
      <c r="HUP338" s="42" t="s">
        <v>607</v>
      </c>
      <c r="HUQ338" s="42" t="s">
        <v>607</v>
      </c>
      <c r="HUR338" s="42" t="s">
        <v>607</v>
      </c>
      <c r="HUS338" s="42" t="s">
        <v>607</v>
      </c>
      <c r="HUT338" s="42" t="s">
        <v>607</v>
      </c>
      <c r="HUU338" s="42" t="s">
        <v>607</v>
      </c>
      <c r="HUV338" s="42" t="s">
        <v>607</v>
      </c>
      <c r="HUW338" s="42" t="s">
        <v>607</v>
      </c>
      <c r="HUX338" s="42" t="s">
        <v>607</v>
      </c>
      <c r="HUY338" s="42" t="s">
        <v>607</v>
      </c>
      <c r="HUZ338" s="42" t="s">
        <v>607</v>
      </c>
      <c r="HVA338" s="42" t="s">
        <v>607</v>
      </c>
      <c r="HVB338" s="42" t="s">
        <v>607</v>
      </c>
      <c r="HVC338" s="42" t="s">
        <v>607</v>
      </c>
      <c r="HVD338" s="42" t="s">
        <v>607</v>
      </c>
      <c r="HVE338" s="42" t="s">
        <v>607</v>
      </c>
      <c r="HVF338" s="42" t="s">
        <v>607</v>
      </c>
      <c r="HVG338" s="42" t="s">
        <v>607</v>
      </c>
      <c r="HVH338" s="42" t="s">
        <v>607</v>
      </c>
      <c r="HVI338" s="42" t="s">
        <v>607</v>
      </c>
      <c r="HVJ338" s="42" t="s">
        <v>607</v>
      </c>
      <c r="HVK338" s="42" t="s">
        <v>607</v>
      </c>
      <c r="HVL338" s="42" t="s">
        <v>607</v>
      </c>
      <c r="HVM338" s="42" t="s">
        <v>607</v>
      </c>
      <c r="HVN338" s="42" t="s">
        <v>607</v>
      </c>
      <c r="HVO338" s="42" t="s">
        <v>607</v>
      </c>
      <c r="HVP338" s="42" t="s">
        <v>607</v>
      </c>
      <c r="HVQ338" s="42" t="s">
        <v>607</v>
      </c>
      <c r="HVR338" s="42" t="s">
        <v>607</v>
      </c>
      <c r="HVS338" s="42" t="s">
        <v>607</v>
      </c>
      <c r="HVT338" s="42" t="s">
        <v>607</v>
      </c>
      <c r="HVU338" s="42" t="s">
        <v>607</v>
      </c>
      <c r="HVV338" s="42" t="s">
        <v>607</v>
      </c>
      <c r="HVW338" s="42" t="s">
        <v>607</v>
      </c>
      <c r="HVX338" s="42" t="s">
        <v>607</v>
      </c>
      <c r="HVY338" s="42" t="s">
        <v>607</v>
      </c>
      <c r="HVZ338" s="42" t="s">
        <v>607</v>
      </c>
      <c r="HWA338" s="42" t="s">
        <v>607</v>
      </c>
      <c r="HWB338" s="42" t="s">
        <v>607</v>
      </c>
      <c r="HWC338" s="42" t="s">
        <v>607</v>
      </c>
      <c r="HWD338" s="42" t="s">
        <v>607</v>
      </c>
      <c r="HWE338" s="42" t="s">
        <v>607</v>
      </c>
      <c r="HWF338" s="42" t="s">
        <v>607</v>
      </c>
      <c r="HWG338" s="42" t="s">
        <v>607</v>
      </c>
      <c r="HWH338" s="42" t="s">
        <v>607</v>
      </c>
      <c r="HWI338" s="42" t="s">
        <v>607</v>
      </c>
      <c r="HWJ338" s="42" t="s">
        <v>607</v>
      </c>
      <c r="HWK338" s="42" t="s">
        <v>607</v>
      </c>
      <c r="HWL338" s="42" t="s">
        <v>607</v>
      </c>
      <c r="HWM338" s="42" t="s">
        <v>607</v>
      </c>
      <c r="HWN338" s="42" t="s">
        <v>607</v>
      </c>
      <c r="HWO338" s="42" t="s">
        <v>607</v>
      </c>
      <c r="HWP338" s="42" t="s">
        <v>607</v>
      </c>
      <c r="HWQ338" s="42" t="s">
        <v>607</v>
      </c>
      <c r="HWR338" s="42" t="s">
        <v>607</v>
      </c>
      <c r="HWS338" s="42" t="s">
        <v>607</v>
      </c>
      <c r="HWT338" s="42" t="s">
        <v>607</v>
      </c>
      <c r="HWU338" s="42" t="s">
        <v>607</v>
      </c>
      <c r="HWV338" s="42" t="s">
        <v>607</v>
      </c>
      <c r="HWW338" s="42" t="s">
        <v>607</v>
      </c>
      <c r="HWX338" s="42" t="s">
        <v>607</v>
      </c>
      <c r="HWY338" s="42" t="s">
        <v>607</v>
      </c>
      <c r="HWZ338" s="42" t="s">
        <v>607</v>
      </c>
      <c r="HXA338" s="42" t="s">
        <v>607</v>
      </c>
      <c r="HXB338" s="42" t="s">
        <v>607</v>
      </c>
      <c r="HXC338" s="42" t="s">
        <v>607</v>
      </c>
      <c r="HXD338" s="42" t="s">
        <v>607</v>
      </c>
      <c r="HXE338" s="42" t="s">
        <v>607</v>
      </c>
      <c r="HXF338" s="42" t="s">
        <v>607</v>
      </c>
      <c r="HXG338" s="42" t="s">
        <v>607</v>
      </c>
      <c r="HXH338" s="42" t="s">
        <v>607</v>
      </c>
      <c r="HXI338" s="42" t="s">
        <v>607</v>
      </c>
      <c r="HXJ338" s="42" t="s">
        <v>607</v>
      </c>
      <c r="HXK338" s="42" t="s">
        <v>607</v>
      </c>
      <c r="HXL338" s="42" t="s">
        <v>607</v>
      </c>
      <c r="HXM338" s="42" t="s">
        <v>607</v>
      </c>
      <c r="HXN338" s="42" t="s">
        <v>607</v>
      </c>
      <c r="HXO338" s="42" t="s">
        <v>607</v>
      </c>
      <c r="HXP338" s="42" t="s">
        <v>607</v>
      </c>
      <c r="HXQ338" s="42" t="s">
        <v>607</v>
      </c>
      <c r="HXR338" s="42" t="s">
        <v>607</v>
      </c>
      <c r="HXS338" s="42" t="s">
        <v>607</v>
      </c>
      <c r="HXT338" s="42" t="s">
        <v>607</v>
      </c>
      <c r="HXU338" s="42" t="s">
        <v>607</v>
      </c>
      <c r="HXV338" s="42" t="s">
        <v>607</v>
      </c>
      <c r="HXW338" s="42" t="s">
        <v>607</v>
      </c>
      <c r="HXX338" s="42" t="s">
        <v>607</v>
      </c>
      <c r="HXY338" s="42" t="s">
        <v>607</v>
      </c>
      <c r="HXZ338" s="42" t="s">
        <v>607</v>
      </c>
      <c r="HYA338" s="42" t="s">
        <v>607</v>
      </c>
      <c r="HYB338" s="42" t="s">
        <v>607</v>
      </c>
      <c r="HYC338" s="42" t="s">
        <v>607</v>
      </c>
      <c r="HYD338" s="42" t="s">
        <v>607</v>
      </c>
      <c r="HYE338" s="42" t="s">
        <v>607</v>
      </c>
      <c r="HYF338" s="42" t="s">
        <v>607</v>
      </c>
      <c r="HYG338" s="42" t="s">
        <v>607</v>
      </c>
      <c r="HYH338" s="42" t="s">
        <v>607</v>
      </c>
      <c r="HYI338" s="42" t="s">
        <v>607</v>
      </c>
      <c r="HYJ338" s="42" t="s">
        <v>607</v>
      </c>
      <c r="HYK338" s="42" t="s">
        <v>607</v>
      </c>
      <c r="HYL338" s="42" t="s">
        <v>607</v>
      </c>
      <c r="HYM338" s="42" t="s">
        <v>607</v>
      </c>
      <c r="HYN338" s="42" t="s">
        <v>607</v>
      </c>
      <c r="HYO338" s="42" t="s">
        <v>607</v>
      </c>
      <c r="HYP338" s="42" t="s">
        <v>607</v>
      </c>
      <c r="HYQ338" s="42" t="s">
        <v>607</v>
      </c>
      <c r="HYR338" s="42" t="s">
        <v>607</v>
      </c>
      <c r="HYS338" s="42" t="s">
        <v>607</v>
      </c>
      <c r="HYT338" s="42" t="s">
        <v>607</v>
      </c>
      <c r="HYU338" s="42" t="s">
        <v>607</v>
      </c>
      <c r="HYV338" s="42" t="s">
        <v>607</v>
      </c>
      <c r="HYW338" s="42" t="s">
        <v>607</v>
      </c>
      <c r="HYX338" s="42" t="s">
        <v>607</v>
      </c>
      <c r="HYY338" s="42" t="s">
        <v>607</v>
      </c>
      <c r="HYZ338" s="42" t="s">
        <v>607</v>
      </c>
      <c r="HZA338" s="42" t="s">
        <v>607</v>
      </c>
      <c r="HZB338" s="42" t="s">
        <v>607</v>
      </c>
      <c r="HZC338" s="42" t="s">
        <v>607</v>
      </c>
      <c r="HZD338" s="42" t="s">
        <v>607</v>
      </c>
      <c r="HZE338" s="42" t="s">
        <v>607</v>
      </c>
      <c r="HZF338" s="42" t="s">
        <v>607</v>
      </c>
      <c r="HZG338" s="42" t="s">
        <v>607</v>
      </c>
      <c r="HZH338" s="42" t="s">
        <v>607</v>
      </c>
      <c r="HZI338" s="42" t="s">
        <v>607</v>
      </c>
      <c r="HZJ338" s="42" t="s">
        <v>607</v>
      </c>
      <c r="HZK338" s="42" t="s">
        <v>607</v>
      </c>
      <c r="HZL338" s="42" t="s">
        <v>607</v>
      </c>
      <c r="HZM338" s="42" t="s">
        <v>607</v>
      </c>
      <c r="HZN338" s="42" t="s">
        <v>607</v>
      </c>
      <c r="HZO338" s="42" t="s">
        <v>607</v>
      </c>
      <c r="HZP338" s="42" t="s">
        <v>607</v>
      </c>
      <c r="HZQ338" s="42" t="s">
        <v>607</v>
      </c>
      <c r="HZR338" s="42" t="s">
        <v>607</v>
      </c>
      <c r="HZS338" s="42" t="s">
        <v>607</v>
      </c>
      <c r="HZT338" s="42" t="s">
        <v>607</v>
      </c>
      <c r="HZU338" s="42" t="s">
        <v>607</v>
      </c>
      <c r="HZV338" s="42" t="s">
        <v>607</v>
      </c>
      <c r="HZW338" s="42" t="s">
        <v>607</v>
      </c>
      <c r="HZX338" s="42" t="s">
        <v>607</v>
      </c>
      <c r="HZY338" s="42" t="s">
        <v>607</v>
      </c>
      <c r="HZZ338" s="42" t="s">
        <v>607</v>
      </c>
      <c r="IAA338" s="42" t="s">
        <v>607</v>
      </c>
      <c r="IAB338" s="42" t="s">
        <v>607</v>
      </c>
      <c r="IAC338" s="42" t="s">
        <v>607</v>
      </c>
      <c r="IAD338" s="42" t="s">
        <v>607</v>
      </c>
      <c r="IAE338" s="42" t="s">
        <v>607</v>
      </c>
      <c r="IAF338" s="42" t="s">
        <v>607</v>
      </c>
      <c r="IAG338" s="42" t="s">
        <v>607</v>
      </c>
      <c r="IAH338" s="42" t="s">
        <v>607</v>
      </c>
      <c r="IAI338" s="42" t="s">
        <v>607</v>
      </c>
      <c r="IAJ338" s="42" t="s">
        <v>607</v>
      </c>
      <c r="IAK338" s="42" t="s">
        <v>607</v>
      </c>
      <c r="IAL338" s="42" t="s">
        <v>607</v>
      </c>
      <c r="IAM338" s="42" t="s">
        <v>607</v>
      </c>
      <c r="IAN338" s="42" t="s">
        <v>607</v>
      </c>
      <c r="IAO338" s="42" t="s">
        <v>607</v>
      </c>
      <c r="IAP338" s="42" t="s">
        <v>607</v>
      </c>
      <c r="IAQ338" s="42" t="s">
        <v>607</v>
      </c>
      <c r="IAR338" s="42" t="s">
        <v>607</v>
      </c>
      <c r="IAS338" s="42" t="s">
        <v>607</v>
      </c>
      <c r="IAT338" s="42" t="s">
        <v>607</v>
      </c>
      <c r="IAU338" s="42" t="s">
        <v>607</v>
      </c>
      <c r="IAV338" s="42" t="s">
        <v>607</v>
      </c>
      <c r="IAW338" s="42" t="s">
        <v>607</v>
      </c>
      <c r="IAX338" s="42" t="s">
        <v>607</v>
      </c>
      <c r="IAY338" s="42" t="s">
        <v>607</v>
      </c>
      <c r="IAZ338" s="42" t="s">
        <v>607</v>
      </c>
      <c r="IBA338" s="42" t="s">
        <v>607</v>
      </c>
      <c r="IBB338" s="42" t="s">
        <v>607</v>
      </c>
      <c r="IBC338" s="42" t="s">
        <v>607</v>
      </c>
      <c r="IBD338" s="42" t="s">
        <v>607</v>
      </c>
      <c r="IBE338" s="42" t="s">
        <v>607</v>
      </c>
      <c r="IBF338" s="42" t="s">
        <v>607</v>
      </c>
      <c r="IBG338" s="42" t="s">
        <v>607</v>
      </c>
      <c r="IBH338" s="42" t="s">
        <v>607</v>
      </c>
      <c r="IBI338" s="42" t="s">
        <v>607</v>
      </c>
      <c r="IBJ338" s="42" t="s">
        <v>607</v>
      </c>
      <c r="IBK338" s="42" t="s">
        <v>607</v>
      </c>
      <c r="IBL338" s="42" t="s">
        <v>607</v>
      </c>
      <c r="IBM338" s="42" t="s">
        <v>607</v>
      </c>
      <c r="IBN338" s="42" t="s">
        <v>607</v>
      </c>
      <c r="IBO338" s="42" t="s">
        <v>607</v>
      </c>
      <c r="IBP338" s="42" t="s">
        <v>607</v>
      </c>
      <c r="IBQ338" s="42" t="s">
        <v>607</v>
      </c>
      <c r="IBR338" s="42" t="s">
        <v>607</v>
      </c>
      <c r="IBS338" s="42" t="s">
        <v>607</v>
      </c>
      <c r="IBT338" s="42" t="s">
        <v>607</v>
      </c>
      <c r="IBU338" s="42" t="s">
        <v>607</v>
      </c>
      <c r="IBV338" s="42" t="s">
        <v>607</v>
      </c>
      <c r="IBW338" s="42" t="s">
        <v>607</v>
      </c>
      <c r="IBX338" s="42" t="s">
        <v>607</v>
      </c>
      <c r="IBY338" s="42" t="s">
        <v>607</v>
      </c>
      <c r="IBZ338" s="42" t="s">
        <v>607</v>
      </c>
      <c r="ICA338" s="42" t="s">
        <v>607</v>
      </c>
      <c r="ICB338" s="42" t="s">
        <v>607</v>
      </c>
      <c r="ICC338" s="42" t="s">
        <v>607</v>
      </c>
      <c r="ICD338" s="42" t="s">
        <v>607</v>
      </c>
      <c r="ICE338" s="42" t="s">
        <v>607</v>
      </c>
      <c r="ICF338" s="42" t="s">
        <v>607</v>
      </c>
      <c r="ICG338" s="42" t="s">
        <v>607</v>
      </c>
      <c r="ICH338" s="42" t="s">
        <v>607</v>
      </c>
      <c r="ICI338" s="42" t="s">
        <v>607</v>
      </c>
      <c r="ICJ338" s="42" t="s">
        <v>607</v>
      </c>
      <c r="ICK338" s="42" t="s">
        <v>607</v>
      </c>
      <c r="ICL338" s="42" t="s">
        <v>607</v>
      </c>
      <c r="ICM338" s="42" t="s">
        <v>607</v>
      </c>
      <c r="ICN338" s="42" t="s">
        <v>607</v>
      </c>
      <c r="ICO338" s="42" t="s">
        <v>607</v>
      </c>
      <c r="ICP338" s="42" t="s">
        <v>607</v>
      </c>
      <c r="ICQ338" s="42" t="s">
        <v>607</v>
      </c>
      <c r="ICR338" s="42" t="s">
        <v>607</v>
      </c>
      <c r="ICS338" s="42" t="s">
        <v>607</v>
      </c>
      <c r="ICT338" s="42" t="s">
        <v>607</v>
      </c>
      <c r="ICU338" s="42" t="s">
        <v>607</v>
      </c>
      <c r="ICV338" s="42" t="s">
        <v>607</v>
      </c>
      <c r="ICW338" s="42" t="s">
        <v>607</v>
      </c>
      <c r="ICX338" s="42" t="s">
        <v>607</v>
      </c>
      <c r="ICY338" s="42" t="s">
        <v>607</v>
      </c>
      <c r="ICZ338" s="42" t="s">
        <v>607</v>
      </c>
      <c r="IDA338" s="42" t="s">
        <v>607</v>
      </c>
      <c r="IDB338" s="42" t="s">
        <v>607</v>
      </c>
      <c r="IDC338" s="42" t="s">
        <v>607</v>
      </c>
      <c r="IDD338" s="42" t="s">
        <v>607</v>
      </c>
      <c r="IDE338" s="42" t="s">
        <v>607</v>
      </c>
      <c r="IDF338" s="42" t="s">
        <v>607</v>
      </c>
      <c r="IDG338" s="42" t="s">
        <v>607</v>
      </c>
      <c r="IDH338" s="42" t="s">
        <v>607</v>
      </c>
      <c r="IDI338" s="42" t="s">
        <v>607</v>
      </c>
      <c r="IDJ338" s="42" t="s">
        <v>607</v>
      </c>
      <c r="IDK338" s="42" t="s">
        <v>607</v>
      </c>
      <c r="IDL338" s="42" t="s">
        <v>607</v>
      </c>
      <c r="IDM338" s="42" t="s">
        <v>607</v>
      </c>
      <c r="IDN338" s="42" t="s">
        <v>607</v>
      </c>
      <c r="IDO338" s="42" t="s">
        <v>607</v>
      </c>
      <c r="IDP338" s="42" t="s">
        <v>607</v>
      </c>
      <c r="IDQ338" s="42" t="s">
        <v>607</v>
      </c>
      <c r="IDR338" s="42" t="s">
        <v>607</v>
      </c>
      <c r="IDS338" s="42" t="s">
        <v>607</v>
      </c>
      <c r="IDT338" s="42" t="s">
        <v>607</v>
      </c>
      <c r="IDU338" s="42" t="s">
        <v>607</v>
      </c>
      <c r="IDV338" s="42" t="s">
        <v>607</v>
      </c>
      <c r="IDW338" s="42" t="s">
        <v>607</v>
      </c>
      <c r="IDX338" s="42" t="s">
        <v>607</v>
      </c>
      <c r="IDY338" s="42" t="s">
        <v>607</v>
      </c>
      <c r="IDZ338" s="42" t="s">
        <v>607</v>
      </c>
      <c r="IEA338" s="42" t="s">
        <v>607</v>
      </c>
      <c r="IEB338" s="42" t="s">
        <v>607</v>
      </c>
      <c r="IEC338" s="42" t="s">
        <v>607</v>
      </c>
      <c r="IED338" s="42" t="s">
        <v>607</v>
      </c>
      <c r="IEE338" s="42" t="s">
        <v>607</v>
      </c>
      <c r="IEF338" s="42" t="s">
        <v>607</v>
      </c>
      <c r="IEG338" s="42" t="s">
        <v>607</v>
      </c>
      <c r="IEH338" s="42" t="s">
        <v>607</v>
      </c>
      <c r="IEI338" s="42" t="s">
        <v>607</v>
      </c>
      <c r="IEJ338" s="42" t="s">
        <v>607</v>
      </c>
      <c r="IEK338" s="42" t="s">
        <v>607</v>
      </c>
      <c r="IEL338" s="42" t="s">
        <v>607</v>
      </c>
      <c r="IEM338" s="42" t="s">
        <v>607</v>
      </c>
      <c r="IEN338" s="42" t="s">
        <v>607</v>
      </c>
      <c r="IEO338" s="42" t="s">
        <v>607</v>
      </c>
      <c r="IEP338" s="42" t="s">
        <v>607</v>
      </c>
      <c r="IEQ338" s="42" t="s">
        <v>607</v>
      </c>
      <c r="IER338" s="42" t="s">
        <v>607</v>
      </c>
      <c r="IES338" s="42" t="s">
        <v>607</v>
      </c>
      <c r="IET338" s="42" t="s">
        <v>607</v>
      </c>
      <c r="IEU338" s="42" t="s">
        <v>607</v>
      </c>
      <c r="IEV338" s="42" t="s">
        <v>607</v>
      </c>
      <c r="IEW338" s="42" t="s">
        <v>607</v>
      </c>
      <c r="IEX338" s="42" t="s">
        <v>607</v>
      </c>
      <c r="IEY338" s="42" t="s">
        <v>607</v>
      </c>
      <c r="IEZ338" s="42" t="s">
        <v>607</v>
      </c>
      <c r="IFA338" s="42" t="s">
        <v>607</v>
      </c>
      <c r="IFB338" s="42" t="s">
        <v>607</v>
      </c>
      <c r="IFC338" s="42" t="s">
        <v>607</v>
      </c>
      <c r="IFD338" s="42" t="s">
        <v>607</v>
      </c>
      <c r="IFE338" s="42" t="s">
        <v>607</v>
      </c>
      <c r="IFF338" s="42" t="s">
        <v>607</v>
      </c>
      <c r="IFG338" s="42" t="s">
        <v>607</v>
      </c>
      <c r="IFH338" s="42" t="s">
        <v>607</v>
      </c>
      <c r="IFI338" s="42" t="s">
        <v>607</v>
      </c>
      <c r="IFJ338" s="42" t="s">
        <v>607</v>
      </c>
      <c r="IFK338" s="42" t="s">
        <v>607</v>
      </c>
      <c r="IFL338" s="42" t="s">
        <v>607</v>
      </c>
      <c r="IFM338" s="42" t="s">
        <v>607</v>
      </c>
      <c r="IFN338" s="42" t="s">
        <v>607</v>
      </c>
      <c r="IFO338" s="42" t="s">
        <v>607</v>
      </c>
      <c r="IFP338" s="42" t="s">
        <v>607</v>
      </c>
      <c r="IFQ338" s="42" t="s">
        <v>607</v>
      </c>
      <c r="IFR338" s="42" t="s">
        <v>607</v>
      </c>
      <c r="IFS338" s="42" t="s">
        <v>607</v>
      </c>
      <c r="IFT338" s="42" t="s">
        <v>607</v>
      </c>
      <c r="IFU338" s="42" t="s">
        <v>607</v>
      </c>
      <c r="IFV338" s="42" t="s">
        <v>607</v>
      </c>
      <c r="IFW338" s="42" t="s">
        <v>607</v>
      </c>
      <c r="IFX338" s="42" t="s">
        <v>607</v>
      </c>
      <c r="IFY338" s="42" t="s">
        <v>607</v>
      </c>
      <c r="IFZ338" s="42" t="s">
        <v>607</v>
      </c>
      <c r="IGA338" s="42" t="s">
        <v>607</v>
      </c>
      <c r="IGB338" s="42" t="s">
        <v>607</v>
      </c>
      <c r="IGC338" s="42" t="s">
        <v>607</v>
      </c>
      <c r="IGD338" s="42" t="s">
        <v>607</v>
      </c>
      <c r="IGE338" s="42" t="s">
        <v>607</v>
      </c>
      <c r="IGF338" s="42" t="s">
        <v>607</v>
      </c>
      <c r="IGG338" s="42" t="s">
        <v>607</v>
      </c>
      <c r="IGH338" s="42" t="s">
        <v>607</v>
      </c>
      <c r="IGI338" s="42" t="s">
        <v>607</v>
      </c>
      <c r="IGJ338" s="42" t="s">
        <v>607</v>
      </c>
      <c r="IGK338" s="42" t="s">
        <v>607</v>
      </c>
      <c r="IGL338" s="42" t="s">
        <v>607</v>
      </c>
      <c r="IGM338" s="42" t="s">
        <v>607</v>
      </c>
      <c r="IGN338" s="42" t="s">
        <v>607</v>
      </c>
      <c r="IGO338" s="42" t="s">
        <v>607</v>
      </c>
      <c r="IGP338" s="42" t="s">
        <v>607</v>
      </c>
      <c r="IGQ338" s="42" t="s">
        <v>607</v>
      </c>
      <c r="IGR338" s="42" t="s">
        <v>607</v>
      </c>
      <c r="IGS338" s="42" t="s">
        <v>607</v>
      </c>
      <c r="IGT338" s="42" t="s">
        <v>607</v>
      </c>
      <c r="IGU338" s="42" t="s">
        <v>607</v>
      </c>
      <c r="IGV338" s="42" t="s">
        <v>607</v>
      </c>
      <c r="IGW338" s="42" t="s">
        <v>607</v>
      </c>
      <c r="IGX338" s="42" t="s">
        <v>607</v>
      </c>
      <c r="IGY338" s="42" t="s">
        <v>607</v>
      </c>
      <c r="IGZ338" s="42" t="s">
        <v>607</v>
      </c>
      <c r="IHA338" s="42" t="s">
        <v>607</v>
      </c>
      <c r="IHB338" s="42" t="s">
        <v>607</v>
      </c>
      <c r="IHC338" s="42" t="s">
        <v>607</v>
      </c>
      <c r="IHD338" s="42" t="s">
        <v>607</v>
      </c>
      <c r="IHE338" s="42" t="s">
        <v>607</v>
      </c>
      <c r="IHF338" s="42" t="s">
        <v>607</v>
      </c>
      <c r="IHG338" s="42" t="s">
        <v>607</v>
      </c>
      <c r="IHH338" s="42" t="s">
        <v>607</v>
      </c>
      <c r="IHI338" s="42" t="s">
        <v>607</v>
      </c>
      <c r="IHJ338" s="42" t="s">
        <v>607</v>
      </c>
      <c r="IHK338" s="42" t="s">
        <v>607</v>
      </c>
      <c r="IHL338" s="42" t="s">
        <v>607</v>
      </c>
      <c r="IHM338" s="42" t="s">
        <v>607</v>
      </c>
      <c r="IHN338" s="42" t="s">
        <v>607</v>
      </c>
      <c r="IHO338" s="42" t="s">
        <v>607</v>
      </c>
      <c r="IHP338" s="42" t="s">
        <v>607</v>
      </c>
      <c r="IHQ338" s="42" t="s">
        <v>607</v>
      </c>
      <c r="IHR338" s="42" t="s">
        <v>607</v>
      </c>
      <c r="IHS338" s="42" t="s">
        <v>607</v>
      </c>
      <c r="IHT338" s="42" t="s">
        <v>607</v>
      </c>
      <c r="IHU338" s="42" t="s">
        <v>607</v>
      </c>
      <c r="IHV338" s="42" t="s">
        <v>607</v>
      </c>
      <c r="IHW338" s="42" t="s">
        <v>607</v>
      </c>
      <c r="IHX338" s="42" t="s">
        <v>607</v>
      </c>
      <c r="IHY338" s="42" t="s">
        <v>607</v>
      </c>
      <c r="IHZ338" s="42" t="s">
        <v>607</v>
      </c>
      <c r="IIA338" s="42" t="s">
        <v>607</v>
      </c>
      <c r="IIB338" s="42" t="s">
        <v>607</v>
      </c>
      <c r="IIC338" s="42" t="s">
        <v>607</v>
      </c>
      <c r="IID338" s="42" t="s">
        <v>607</v>
      </c>
      <c r="IIE338" s="42" t="s">
        <v>607</v>
      </c>
      <c r="IIF338" s="42" t="s">
        <v>607</v>
      </c>
      <c r="IIG338" s="42" t="s">
        <v>607</v>
      </c>
      <c r="IIH338" s="42" t="s">
        <v>607</v>
      </c>
      <c r="III338" s="42" t="s">
        <v>607</v>
      </c>
      <c r="IIJ338" s="42" t="s">
        <v>607</v>
      </c>
      <c r="IIK338" s="42" t="s">
        <v>607</v>
      </c>
      <c r="IIL338" s="42" t="s">
        <v>607</v>
      </c>
      <c r="IIM338" s="42" t="s">
        <v>607</v>
      </c>
      <c r="IIN338" s="42" t="s">
        <v>607</v>
      </c>
      <c r="IIO338" s="42" t="s">
        <v>607</v>
      </c>
      <c r="IIP338" s="42" t="s">
        <v>607</v>
      </c>
      <c r="IIQ338" s="42" t="s">
        <v>607</v>
      </c>
      <c r="IIR338" s="42" t="s">
        <v>607</v>
      </c>
      <c r="IIS338" s="42" t="s">
        <v>607</v>
      </c>
      <c r="IIT338" s="42" t="s">
        <v>607</v>
      </c>
      <c r="IIU338" s="42" t="s">
        <v>607</v>
      </c>
      <c r="IIV338" s="42" t="s">
        <v>607</v>
      </c>
      <c r="IIW338" s="42" t="s">
        <v>607</v>
      </c>
      <c r="IIX338" s="42" t="s">
        <v>607</v>
      </c>
      <c r="IIY338" s="42" t="s">
        <v>607</v>
      </c>
      <c r="IIZ338" s="42" t="s">
        <v>607</v>
      </c>
      <c r="IJA338" s="42" t="s">
        <v>607</v>
      </c>
      <c r="IJB338" s="42" t="s">
        <v>607</v>
      </c>
      <c r="IJC338" s="42" t="s">
        <v>607</v>
      </c>
      <c r="IJD338" s="42" t="s">
        <v>607</v>
      </c>
      <c r="IJE338" s="42" t="s">
        <v>607</v>
      </c>
      <c r="IJF338" s="42" t="s">
        <v>607</v>
      </c>
      <c r="IJG338" s="42" t="s">
        <v>607</v>
      </c>
      <c r="IJH338" s="42" t="s">
        <v>607</v>
      </c>
      <c r="IJI338" s="42" t="s">
        <v>607</v>
      </c>
      <c r="IJJ338" s="42" t="s">
        <v>607</v>
      </c>
      <c r="IJK338" s="42" t="s">
        <v>607</v>
      </c>
      <c r="IJL338" s="42" t="s">
        <v>607</v>
      </c>
      <c r="IJM338" s="42" t="s">
        <v>607</v>
      </c>
      <c r="IJN338" s="42" t="s">
        <v>607</v>
      </c>
      <c r="IJO338" s="42" t="s">
        <v>607</v>
      </c>
      <c r="IJP338" s="42" t="s">
        <v>607</v>
      </c>
      <c r="IJQ338" s="42" t="s">
        <v>607</v>
      </c>
      <c r="IJR338" s="42" t="s">
        <v>607</v>
      </c>
      <c r="IJS338" s="42" t="s">
        <v>607</v>
      </c>
      <c r="IJT338" s="42" t="s">
        <v>607</v>
      </c>
      <c r="IJU338" s="42" t="s">
        <v>607</v>
      </c>
      <c r="IJV338" s="42" t="s">
        <v>607</v>
      </c>
      <c r="IJW338" s="42" t="s">
        <v>607</v>
      </c>
      <c r="IJX338" s="42" t="s">
        <v>607</v>
      </c>
      <c r="IJY338" s="42" t="s">
        <v>607</v>
      </c>
      <c r="IJZ338" s="42" t="s">
        <v>607</v>
      </c>
      <c r="IKA338" s="42" t="s">
        <v>607</v>
      </c>
      <c r="IKB338" s="42" t="s">
        <v>607</v>
      </c>
      <c r="IKC338" s="42" t="s">
        <v>607</v>
      </c>
      <c r="IKD338" s="42" t="s">
        <v>607</v>
      </c>
      <c r="IKE338" s="42" t="s">
        <v>607</v>
      </c>
      <c r="IKF338" s="42" t="s">
        <v>607</v>
      </c>
      <c r="IKG338" s="42" t="s">
        <v>607</v>
      </c>
      <c r="IKH338" s="42" t="s">
        <v>607</v>
      </c>
      <c r="IKI338" s="42" t="s">
        <v>607</v>
      </c>
      <c r="IKJ338" s="42" t="s">
        <v>607</v>
      </c>
      <c r="IKK338" s="42" t="s">
        <v>607</v>
      </c>
      <c r="IKL338" s="42" t="s">
        <v>607</v>
      </c>
      <c r="IKM338" s="42" t="s">
        <v>607</v>
      </c>
      <c r="IKN338" s="42" t="s">
        <v>607</v>
      </c>
      <c r="IKO338" s="42" t="s">
        <v>607</v>
      </c>
      <c r="IKP338" s="42" t="s">
        <v>607</v>
      </c>
      <c r="IKQ338" s="42" t="s">
        <v>607</v>
      </c>
      <c r="IKR338" s="42" t="s">
        <v>607</v>
      </c>
      <c r="IKS338" s="42" t="s">
        <v>607</v>
      </c>
      <c r="IKT338" s="42" t="s">
        <v>607</v>
      </c>
      <c r="IKU338" s="42" t="s">
        <v>607</v>
      </c>
      <c r="IKV338" s="42" t="s">
        <v>607</v>
      </c>
      <c r="IKW338" s="42" t="s">
        <v>607</v>
      </c>
      <c r="IKX338" s="42" t="s">
        <v>607</v>
      </c>
      <c r="IKY338" s="42" t="s">
        <v>607</v>
      </c>
      <c r="IKZ338" s="42" t="s">
        <v>607</v>
      </c>
      <c r="ILA338" s="42" t="s">
        <v>607</v>
      </c>
      <c r="ILB338" s="42" t="s">
        <v>607</v>
      </c>
      <c r="ILC338" s="42" t="s">
        <v>607</v>
      </c>
      <c r="ILD338" s="42" t="s">
        <v>607</v>
      </c>
      <c r="ILE338" s="42" t="s">
        <v>607</v>
      </c>
      <c r="ILF338" s="42" t="s">
        <v>607</v>
      </c>
      <c r="ILG338" s="42" t="s">
        <v>607</v>
      </c>
      <c r="ILH338" s="42" t="s">
        <v>607</v>
      </c>
      <c r="ILI338" s="42" t="s">
        <v>607</v>
      </c>
      <c r="ILJ338" s="42" t="s">
        <v>607</v>
      </c>
      <c r="ILK338" s="42" t="s">
        <v>607</v>
      </c>
      <c r="ILL338" s="42" t="s">
        <v>607</v>
      </c>
      <c r="ILM338" s="42" t="s">
        <v>607</v>
      </c>
      <c r="ILN338" s="42" t="s">
        <v>607</v>
      </c>
      <c r="ILO338" s="42" t="s">
        <v>607</v>
      </c>
      <c r="ILP338" s="42" t="s">
        <v>607</v>
      </c>
      <c r="ILQ338" s="42" t="s">
        <v>607</v>
      </c>
      <c r="ILR338" s="42" t="s">
        <v>607</v>
      </c>
      <c r="ILS338" s="42" t="s">
        <v>607</v>
      </c>
      <c r="ILT338" s="42" t="s">
        <v>607</v>
      </c>
      <c r="ILU338" s="42" t="s">
        <v>607</v>
      </c>
      <c r="ILV338" s="42" t="s">
        <v>607</v>
      </c>
      <c r="ILW338" s="42" t="s">
        <v>607</v>
      </c>
      <c r="ILX338" s="42" t="s">
        <v>607</v>
      </c>
      <c r="ILY338" s="42" t="s">
        <v>607</v>
      </c>
      <c r="ILZ338" s="42" t="s">
        <v>607</v>
      </c>
      <c r="IMA338" s="42" t="s">
        <v>607</v>
      </c>
      <c r="IMB338" s="42" t="s">
        <v>607</v>
      </c>
      <c r="IMC338" s="42" t="s">
        <v>607</v>
      </c>
      <c r="IMD338" s="42" t="s">
        <v>607</v>
      </c>
      <c r="IME338" s="42" t="s">
        <v>607</v>
      </c>
      <c r="IMF338" s="42" t="s">
        <v>607</v>
      </c>
      <c r="IMG338" s="42" t="s">
        <v>607</v>
      </c>
      <c r="IMH338" s="42" t="s">
        <v>607</v>
      </c>
      <c r="IMI338" s="42" t="s">
        <v>607</v>
      </c>
      <c r="IMJ338" s="42" t="s">
        <v>607</v>
      </c>
      <c r="IMK338" s="42" t="s">
        <v>607</v>
      </c>
      <c r="IML338" s="42" t="s">
        <v>607</v>
      </c>
      <c r="IMM338" s="42" t="s">
        <v>607</v>
      </c>
      <c r="IMN338" s="42" t="s">
        <v>607</v>
      </c>
      <c r="IMO338" s="42" t="s">
        <v>607</v>
      </c>
      <c r="IMP338" s="42" t="s">
        <v>607</v>
      </c>
      <c r="IMQ338" s="42" t="s">
        <v>607</v>
      </c>
      <c r="IMR338" s="42" t="s">
        <v>607</v>
      </c>
      <c r="IMS338" s="42" t="s">
        <v>607</v>
      </c>
      <c r="IMT338" s="42" t="s">
        <v>607</v>
      </c>
      <c r="IMU338" s="42" t="s">
        <v>607</v>
      </c>
      <c r="IMV338" s="42" t="s">
        <v>607</v>
      </c>
      <c r="IMW338" s="42" t="s">
        <v>607</v>
      </c>
      <c r="IMX338" s="42" t="s">
        <v>607</v>
      </c>
      <c r="IMY338" s="42" t="s">
        <v>607</v>
      </c>
      <c r="IMZ338" s="42" t="s">
        <v>607</v>
      </c>
      <c r="INA338" s="42" t="s">
        <v>607</v>
      </c>
      <c r="INB338" s="42" t="s">
        <v>607</v>
      </c>
      <c r="INC338" s="42" t="s">
        <v>607</v>
      </c>
      <c r="IND338" s="42" t="s">
        <v>607</v>
      </c>
      <c r="INE338" s="42" t="s">
        <v>607</v>
      </c>
      <c r="INF338" s="42" t="s">
        <v>607</v>
      </c>
      <c r="ING338" s="42" t="s">
        <v>607</v>
      </c>
      <c r="INH338" s="42" t="s">
        <v>607</v>
      </c>
      <c r="INI338" s="42" t="s">
        <v>607</v>
      </c>
      <c r="INJ338" s="42" t="s">
        <v>607</v>
      </c>
      <c r="INK338" s="42" t="s">
        <v>607</v>
      </c>
      <c r="INL338" s="42" t="s">
        <v>607</v>
      </c>
      <c r="INM338" s="42" t="s">
        <v>607</v>
      </c>
      <c r="INN338" s="42" t="s">
        <v>607</v>
      </c>
      <c r="INO338" s="42" t="s">
        <v>607</v>
      </c>
      <c r="INP338" s="42" t="s">
        <v>607</v>
      </c>
      <c r="INQ338" s="42" t="s">
        <v>607</v>
      </c>
      <c r="INR338" s="42" t="s">
        <v>607</v>
      </c>
      <c r="INS338" s="42" t="s">
        <v>607</v>
      </c>
      <c r="INT338" s="42" t="s">
        <v>607</v>
      </c>
      <c r="INU338" s="42" t="s">
        <v>607</v>
      </c>
      <c r="INV338" s="42" t="s">
        <v>607</v>
      </c>
      <c r="INW338" s="42" t="s">
        <v>607</v>
      </c>
      <c r="INX338" s="42" t="s">
        <v>607</v>
      </c>
      <c r="INY338" s="42" t="s">
        <v>607</v>
      </c>
      <c r="INZ338" s="42" t="s">
        <v>607</v>
      </c>
      <c r="IOA338" s="42" t="s">
        <v>607</v>
      </c>
      <c r="IOB338" s="42" t="s">
        <v>607</v>
      </c>
      <c r="IOC338" s="42" t="s">
        <v>607</v>
      </c>
      <c r="IOD338" s="42" t="s">
        <v>607</v>
      </c>
      <c r="IOE338" s="42" t="s">
        <v>607</v>
      </c>
      <c r="IOF338" s="42" t="s">
        <v>607</v>
      </c>
      <c r="IOG338" s="42" t="s">
        <v>607</v>
      </c>
      <c r="IOH338" s="42" t="s">
        <v>607</v>
      </c>
      <c r="IOI338" s="42" t="s">
        <v>607</v>
      </c>
      <c r="IOJ338" s="42" t="s">
        <v>607</v>
      </c>
      <c r="IOK338" s="42" t="s">
        <v>607</v>
      </c>
      <c r="IOL338" s="42" t="s">
        <v>607</v>
      </c>
      <c r="IOM338" s="42" t="s">
        <v>607</v>
      </c>
      <c r="ION338" s="42" t="s">
        <v>607</v>
      </c>
      <c r="IOO338" s="42" t="s">
        <v>607</v>
      </c>
      <c r="IOP338" s="42" t="s">
        <v>607</v>
      </c>
      <c r="IOQ338" s="42" t="s">
        <v>607</v>
      </c>
      <c r="IOR338" s="42" t="s">
        <v>607</v>
      </c>
      <c r="IOS338" s="42" t="s">
        <v>607</v>
      </c>
      <c r="IOT338" s="42" t="s">
        <v>607</v>
      </c>
      <c r="IOU338" s="42" t="s">
        <v>607</v>
      </c>
      <c r="IOV338" s="42" t="s">
        <v>607</v>
      </c>
      <c r="IOW338" s="42" t="s">
        <v>607</v>
      </c>
      <c r="IOX338" s="42" t="s">
        <v>607</v>
      </c>
      <c r="IOY338" s="42" t="s">
        <v>607</v>
      </c>
      <c r="IOZ338" s="42" t="s">
        <v>607</v>
      </c>
      <c r="IPA338" s="42" t="s">
        <v>607</v>
      </c>
      <c r="IPB338" s="42" t="s">
        <v>607</v>
      </c>
      <c r="IPC338" s="42" t="s">
        <v>607</v>
      </c>
      <c r="IPD338" s="42" t="s">
        <v>607</v>
      </c>
      <c r="IPE338" s="42" t="s">
        <v>607</v>
      </c>
      <c r="IPF338" s="42" t="s">
        <v>607</v>
      </c>
      <c r="IPG338" s="42" t="s">
        <v>607</v>
      </c>
      <c r="IPH338" s="42" t="s">
        <v>607</v>
      </c>
      <c r="IPI338" s="42" t="s">
        <v>607</v>
      </c>
      <c r="IPJ338" s="42" t="s">
        <v>607</v>
      </c>
      <c r="IPK338" s="42" t="s">
        <v>607</v>
      </c>
      <c r="IPL338" s="42" t="s">
        <v>607</v>
      </c>
      <c r="IPM338" s="42" t="s">
        <v>607</v>
      </c>
      <c r="IPN338" s="42" t="s">
        <v>607</v>
      </c>
      <c r="IPO338" s="42" t="s">
        <v>607</v>
      </c>
      <c r="IPP338" s="42" t="s">
        <v>607</v>
      </c>
      <c r="IPQ338" s="42" t="s">
        <v>607</v>
      </c>
      <c r="IPR338" s="42" t="s">
        <v>607</v>
      </c>
      <c r="IPS338" s="42" t="s">
        <v>607</v>
      </c>
      <c r="IPT338" s="42" t="s">
        <v>607</v>
      </c>
      <c r="IPU338" s="42" t="s">
        <v>607</v>
      </c>
      <c r="IPV338" s="42" t="s">
        <v>607</v>
      </c>
      <c r="IPW338" s="42" t="s">
        <v>607</v>
      </c>
      <c r="IPX338" s="42" t="s">
        <v>607</v>
      </c>
      <c r="IPY338" s="42" t="s">
        <v>607</v>
      </c>
      <c r="IPZ338" s="42" t="s">
        <v>607</v>
      </c>
      <c r="IQA338" s="42" t="s">
        <v>607</v>
      </c>
      <c r="IQB338" s="42" t="s">
        <v>607</v>
      </c>
      <c r="IQC338" s="42" t="s">
        <v>607</v>
      </c>
      <c r="IQD338" s="42" t="s">
        <v>607</v>
      </c>
      <c r="IQE338" s="42" t="s">
        <v>607</v>
      </c>
      <c r="IQF338" s="42" t="s">
        <v>607</v>
      </c>
      <c r="IQG338" s="42" t="s">
        <v>607</v>
      </c>
      <c r="IQH338" s="42" t="s">
        <v>607</v>
      </c>
      <c r="IQI338" s="42" t="s">
        <v>607</v>
      </c>
      <c r="IQJ338" s="42" t="s">
        <v>607</v>
      </c>
      <c r="IQK338" s="42" t="s">
        <v>607</v>
      </c>
      <c r="IQL338" s="42" t="s">
        <v>607</v>
      </c>
      <c r="IQM338" s="42" t="s">
        <v>607</v>
      </c>
      <c r="IQN338" s="42" t="s">
        <v>607</v>
      </c>
      <c r="IQO338" s="42" t="s">
        <v>607</v>
      </c>
      <c r="IQP338" s="42" t="s">
        <v>607</v>
      </c>
      <c r="IQQ338" s="42" t="s">
        <v>607</v>
      </c>
      <c r="IQR338" s="42" t="s">
        <v>607</v>
      </c>
      <c r="IQS338" s="42" t="s">
        <v>607</v>
      </c>
      <c r="IQT338" s="42" t="s">
        <v>607</v>
      </c>
      <c r="IQU338" s="42" t="s">
        <v>607</v>
      </c>
      <c r="IQV338" s="42" t="s">
        <v>607</v>
      </c>
      <c r="IQW338" s="42" t="s">
        <v>607</v>
      </c>
      <c r="IQX338" s="42" t="s">
        <v>607</v>
      </c>
      <c r="IQY338" s="42" t="s">
        <v>607</v>
      </c>
      <c r="IQZ338" s="42" t="s">
        <v>607</v>
      </c>
      <c r="IRA338" s="42" t="s">
        <v>607</v>
      </c>
      <c r="IRB338" s="42" t="s">
        <v>607</v>
      </c>
      <c r="IRC338" s="42" t="s">
        <v>607</v>
      </c>
      <c r="IRD338" s="42" t="s">
        <v>607</v>
      </c>
      <c r="IRE338" s="42" t="s">
        <v>607</v>
      </c>
      <c r="IRF338" s="42" t="s">
        <v>607</v>
      </c>
      <c r="IRG338" s="42" t="s">
        <v>607</v>
      </c>
      <c r="IRH338" s="42" t="s">
        <v>607</v>
      </c>
      <c r="IRI338" s="42" t="s">
        <v>607</v>
      </c>
      <c r="IRJ338" s="42" t="s">
        <v>607</v>
      </c>
      <c r="IRK338" s="42" t="s">
        <v>607</v>
      </c>
      <c r="IRL338" s="42" t="s">
        <v>607</v>
      </c>
      <c r="IRM338" s="42" t="s">
        <v>607</v>
      </c>
      <c r="IRN338" s="42" t="s">
        <v>607</v>
      </c>
      <c r="IRO338" s="42" t="s">
        <v>607</v>
      </c>
      <c r="IRP338" s="42" t="s">
        <v>607</v>
      </c>
      <c r="IRQ338" s="42" t="s">
        <v>607</v>
      </c>
      <c r="IRR338" s="42" t="s">
        <v>607</v>
      </c>
      <c r="IRS338" s="42" t="s">
        <v>607</v>
      </c>
      <c r="IRT338" s="42" t="s">
        <v>607</v>
      </c>
      <c r="IRU338" s="42" t="s">
        <v>607</v>
      </c>
      <c r="IRV338" s="42" t="s">
        <v>607</v>
      </c>
      <c r="IRW338" s="42" t="s">
        <v>607</v>
      </c>
      <c r="IRX338" s="42" t="s">
        <v>607</v>
      </c>
      <c r="IRY338" s="42" t="s">
        <v>607</v>
      </c>
      <c r="IRZ338" s="42" t="s">
        <v>607</v>
      </c>
      <c r="ISA338" s="42" t="s">
        <v>607</v>
      </c>
      <c r="ISB338" s="42" t="s">
        <v>607</v>
      </c>
      <c r="ISC338" s="42" t="s">
        <v>607</v>
      </c>
      <c r="ISD338" s="42" t="s">
        <v>607</v>
      </c>
      <c r="ISE338" s="42" t="s">
        <v>607</v>
      </c>
      <c r="ISF338" s="42" t="s">
        <v>607</v>
      </c>
      <c r="ISG338" s="42" t="s">
        <v>607</v>
      </c>
      <c r="ISH338" s="42" t="s">
        <v>607</v>
      </c>
      <c r="ISI338" s="42" t="s">
        <v>607</v>
      </c>
      <c r="ISJ338" s="42" t="s">
        <v>607</v>
      </c>
      <c r="ISK338" s="42" t="s">
        <v>607</v>
      </c>
      <c r="ISL338" s="42" t="s">
        <v>607</v>
      </c>
      <c r="ISM338" s="42" t="s">
        <v>607</v>
      </c>
      <c r="ISN338" s="42" t="s">
        <v>607</v>
      </c>
      <c r="ISO338" s="42" t="s">
        <v>607</v>
      </c>
      <c r="ISP338" s="42" t="s">
        <v>607</v>
      </c>
      <c r="ISQ338" s="42" t="s">
        <v>607</v>
      </c>
      <c r="ISR338" s="42" t="s">
        <v>607</v>
      </c>
      <c r="ISS338" s="42" t="s">
        <v>607</v>
      </c>
      <c r="IST338" s="42" t="s">
        <v>607</v>
      </c>
      <c r="ISU338" s="42" t="s">
        <v>607</v>
      </c>
      <c r="ISV338" s="42" t="s">
        <v>607</v>
      </c>
      <c r="ISW338" s="42" t="s">
        <v>607</v>
      </c>
      <c r="ISX338" s="42" t="s">
        <v>607</v>
      </c>
      <c r="ISY338" s="42" t="s">
        <v>607</v>
      </c>
      <c r="ISZ338" s="42" t="s">
        <v>607</v>
      </c>
      <c r="ITA338" s="42" t="s">
        <v>607</v>
      </c>
      <c r="ITB338" s="42" t="s">
        <v>607</v>
      </c>
      <c r="ITC338" s="42" t="s">
        <v>607</v>
      </c>
      <c r="ITD338" s="42" t="s">
        <v>607</v>
      </c>
      <c r="ITE338" s="42" t="s">
        <v>607</v>
      </c>
      <c r="ITF338" s="42" t="s">
        <v>607</v>
      </c>
      <c r="ITG338" s="42" t="s">
        <v>607</v>
      </c>
      <c r="ITH338" s="42" t="s">
        <v>607</v>
      </c>
      <c r="ITI338" s="42" t="s">
        <v>607</v>
      </c>
      <c r="ITJ338" s="42" t="s">
        <v>607</v>
      </c>
      <c r="ITK338" s="42" t="s">
        <v>607</v>
      </c>
      <c r="ITL338" s="42" t="s">
        <v>607</v>
      </c>
      <c r="ITM338" s="42" t="s">
        <v>607</v>
      </c>
      <c r="ITN338" s="42" t="s">
        <v>607</v>
      </c>
      <c r="ITO338" s="42" t="s">
        <v>607</v>
      </c>
      <c r="ITP338" s="42" t="s">
        <v>607</v>
      </c>
      <c r="ITQ338" s="42" t="s">
        <v>607</v>
      </c>
      <c r="ITR338" s="42" t="s">
        <v>607</v>
      </c>
      <c r="ITS338" s="42" t="s">
        <v>607</v>
      </c>
      <c r="ITT338" s="42" t="s">
        <v>607</v>
      </c>
      <c r="ITU338" s="42" t="s">
        <v>607</v>
      </c>
      <c r="ITV338" s="42" t="s">
        <v>607</v>
      </c>
      <c r="ITW338" s="42" t="s">
        <v>607</v>
      </c>
      <c r="ITX338" s="42" t="s">
        <v>607</v>
      </c>
      <c r="ITY338" s="42" t="s">
        <v>607</v>
      </c>
      <c r="ITZ338" s="42" t="s">
        <v>607</v>
      </c>
      <c r="IUA338" s="42" t="s">
        <v>607</v>
      </c>
      <c r="IUB338" s="42" t="s">
        <v>607</v>
      </c>
      <c r="IUC338" s="42" t="s">
        <v>607</v>
      </c>
      <c r="IUD338" s="42" t="s">
        <v>607</v>
      </c>
      <c r="IUE338" s="42" t="s">
        <v>607</v>
      </c>
      <c r="IUF338" s="42" t="s">
        <v>607</v>
      </c>
      <c r="IUG338" s="42" t="s">
        <v>607</v>
      </c>
      <c r="IUH338" s="42" t="s">
        <v>607</v>
      </c>
      <c r="IUI338" s="42" t="s">
        <v>607</v>
      </c>
      <c r="IUJ338" s="42" t="s">
        <v>607</v>
      </c>
      <c r="IUK338" s="42" t="s">
        <v>607</v>
      </c>
      <c r="IUL338" s="42" t="s">
        <v>607</v>
      </c>
      <c r="IUM338" s="42" t="s">
        <v>607</v>
      </c>
      <c r="IUN338" s="42" t="s">
        <v>607</v>
      </c>
      <c r="IUO338" s="42" t="s">
        <v>607</v>
      </c>
      <c r="IUP338" s="42" t="s">
        <v>607</v>
      </c>
      <c r="IUQ338" s="42" t="s">
        <v>607</v>
      </c>
      <c r="IUR338" s="42" t="s">
        <v>607</v>
      </c>
      <c r="IUS338" s="42" t="s">
        <v>607</v>
      </c>
      <c r="IUT338" s="42" t="s">
        <v>607</v>
      </c>
      <c r="IUU338" s="42" t="s">
        <v>607</v>
      </c>
      <c r="IUV338" s="42" t="s">
        <v>607</v>
      </c>
      <c r="IUW338" s="42" t="s">
        <v>607</v>
      </c>
      <c r="IUX338" s="42" t="s">
        <v>607</v>
      </c>
      <c r="IUY338" s="42" t="s">
        <v>607</v>
      </c>
      <c r="IUZ338" s="42" t="s">
        <v>607</v>
      </c>
      <c r="IVA338" s="42" t="s">
        <v>607</v>
      </c>
      <c r="IVB338" s="42" t="s">
        <v>607</v>
      </c>
      <c r="IVC338" s="42" t="s">
        <v>607</v>
      </c>
      <c r="IVD338" s="42" t="s">
        <v>607</v>
      </c>
      <c r="IVE338" s="42" t="s">
        <v>607</v>
      </c>
      <c r="IVF338" s="42" t="s">
        <v>607</v>
      </c>
      <c r="IVG338" s="42" t="s">
        <v>607</v>
      </c>
      <c r="IVH338" s="42" t="s">
        <v>607</v>
      </c>
      <c r="IVI338" s="42" t="s">
        <v>607</v>
      </c>
      <c r="IVJ338" s="42" t="s">
        <v>607</v>
      </c>
      <c r="IVK338" s="42" t="s">
        <v>607</v>
      </c>
      <c r="IVL338" s="42" t="s">
        <v>607</v>
      </c>
      <c r="IVM338" s="42" t="s">
        <v>607</v>
      </c>
      <c r="IVN338" s="42" t="s">
        <v>607</v>
      </c>
      <c r="IVO338" s="42" t="s">
        <v>607</v>
      </c>
      <c r="IVP338" s="42" t="s">
        <v>607</v>
      </c>
      <c r="IVQ338" s="42" t="s">
        <v>607</v>
      </c>
      <c r="IVR338" s="42" t="s">
        <v>607</v>
      </c>
      <c r="IVS338" s="42" t="s">
        <v>607</v>
      </c>
      <c r="IVT338" s="42" t="s">
        <v>607</v>
      </c>
      <c r="IVU338" s="42" t="s">
        <v>607</v>
      </c>
      <c r="IVV338" s="42" t="s">
        <v>607</v>
      </c>
      <c r="IVW338" s="42" t="s">
        <v>607</v>
      </c>
      <c r="IVX338" s="42" t="s">
        <v>607</v>
      </c>
      <c r="IVY338" s="42" t="s">
        <v>607</v>
      </c>
      <c r="IVZ338" s="42" t="s">
        <v>607</v>
      </c>
      <c r="IWA338" s="42" t="s">
        <v>607</v>
      </c>
      <c r="IWB338" s="42" t="s">
        <v>607</v>
      </c>
      <c r="IWC338" s="42" t="s">
        <v>607</v>
      </c>
      <c r="IWD338" s="42" t="s">
        <v>607</v>
      </c>
      <c r="IWE338" s="42" t="s">
        <v>607</v>
      </c>
      <c r="IWF338" s="42" t="s">
        <v>607</v>
      </c>
      <c r="IWG338" s="42" t="s">
        <v>607</v>
      </c>
      <c r="IWH338" s="42" t="s">
        <v>607</v>
      </c>
      <c r="IWI338" s="42" t="s">
        <v>607</v>
      </c>
      <c r="IWJ338" s="42" t="s">
        <v>607</v>
      </c>
      <c r="IWK338" s="42" t="s">
        <v>607</v>
      </c>
      <c r="IWL338" s="42" t="s">
        <v>607</v>
      </c>
      <c r="IWM338" s="42" t="s">
        <v>607</v>
      </c>
      <c r="IWN338" s="42" t="s">
        <v>607</v>
      </c>
      <c r="IWO338" s="42" t="s">
        <v>607</v>
      </c>
      <c r="IWP338" s="42" t="s">
        <v>607</v>
      </c>
      <c r="IWQ338" s="42" t="s">
        <v>607</v>
      </c>
      <c r="IWR338" s="42" t="s">
        <v>607</v>
      </c>
      <c r="IWS338" s="42" t="s">
        <v>607</v>
      </c>
      <c r="IWT338" s="42" t="s">
        <v>607</v>
      </c>
      <c r="IWU338" s="42" t="s">
        <v>607</v>
      </c>
      <c r="IWV338" s="42" t="s">
        <v>607</v>
      </c>
      <c r="IWW338" s="42" t="s">
        <v>607</v>
      </c>
      <c r="IWX338" s="42" t="s">
        <v>607</v>
      </c>
      <c r="IWY338" s="42" t="s">
        <v>607</v>
      </c>
      <c r="IWZ338" s="42" t="s">
        <v>607</v>
      </c>
      <c r="IXA338" s="42" t="s">
        <v>607</v>
      </c>
      <c r="IXB338" s="42" t="s">
        <v>607</v>
      </c>
      <c r="IXC338" s="42" t="s">
        <v>607</v>
      </c>
      <c r="IXD338" s="42" t="s">
        <v>607</v>
      </c>
      <c r="IXE338" s="42" t="s">
        <v>607</v>
      </c>
      <c r="IXF338" s="42" t="s">
        <v>607</v>
      </c>
      <c r="IXG338" s="42" t="s">
        <v>607</v>
      </c>
      <c r="IXH338" s="42" t="s">
        <v>607</v>
      </c>
      <c r="IXI338" s="42" t="s">
        <v>607</v>
      </c>
      <c r="IXJ338" s="42" t="s">
        <v>607</v>
      </c>
      <c r="IXK338" s="42" t="s">
        <v>607</v>
      </c>
      <c r="IXL338" s="42" t="s">
        <v>607</v>
      </c>
      <c r="IXM338" s="42" t="s">
        <v>607</v>
      </c>
      <c r="IXN338" s="42" t="s">
        <v>607</v>
      </c>
      <c r="IXO338" s="42" t="s">
        <v>607</v>
      </c>
      <c r="IXP338" s="42" t="s">
        <v>607</v>
      </c>
      <c r="IXQ338" s="42" t="s">
        <v>607</v>
      </c>
      <c r="IXR338" s="42" t="s">
        <v>607</v>
      </c>
      <c r="IXS338" s="42" t="s">
        <v>607</v>
      </c>
      <c r="IXT338" s="42" t="s">
        <v>607</v>
      </c>
      <c r="IXU338" s="42" t="s">
        <v>607</v>
      </c>
      <c r="IXV338" s="42" t="s">
        <v>607</v>
      </c>
      <c r="IXW338" s="42" t="s">
        <v>607</v>
      </c>
      <c r="IXX338" s="42" t="s">
        <v>607</v>
      </c>
      <c r="IXY338" s="42" t="s">
        <v>607</v>
      </c>
      <c r="IXZ338" s="42" t="s">
        <v>607</v>
      </c>
      <c r="IYA338" s="42" t="s">
        <v>607</v>
      </c>
      <c r="IYB338" s="42" t="s">
        <v>607</v>
      </c>
      <c r="IYC338" s="42" t="s">
        <v>607</v>
      </c>
      <c r="IYD338" s="42" t="s">
        <v>607</v>
      </c>
      <c r="IYE338" s="42" t="s">
        <v>607</v>
      </c>
      <c r="IYF338" s="42" t="s">
        <v>607</v>
      </c>
      <c r="IYG338" s="42" t="s">
        <v>607</v>
      </c>
      <c r="IYH338" s="42" t="s">
        <v>607</v>
      </c>
      <c r="IYI338" s="42" t="s">
        <v>607</v>
      </c>
      <c r="IYJ338" s="42" t="s">
        <v>607</v>
      </c>
      <c r="IYK338" s="42" t="s">
        <v>607</v>
      </c>
      <c r="IYL338" s="42" t="s">
        <v>607</v>
      </c>
      <c r="IYM338" s="42" t="s">
        <v>607</v>
      </c>
      <c r="IYN338" s="42" t="s">
        <v>607</v>
      </c>
      <c r="IYO338" s="42" t="s">
        <v>607</v>
      </c>
      <c r="IYP338" s="42" t="s">
        <v>607</v>
      </c>
      <c r="IYQ338" s="42" t="s">
        <v>607</v>
      </c>
      <c r="IYR338" s="42" t="s">
        <v>607</v>
      </c>
      <c r="IYS338" s="42" t="s">
        <v>607</v>
      </c>
      <c r="IYT338" s="42" t="s">
        <v>607</v>
      </c>
      <c r="IYU338" s="42" t="s">
        <v>607</v>
      </c>
      <c r="IYV338" s="42" t="s">
        <v>607</v>
      </c>
      <c r="IYW338" s="42" t="s">
        <v>607</v>
      </c>
      <c r="IYX338" s="42" t="s">
        <v>607</v>
      </c>
      <c r="IYY338" s="42" t="s">
        <v>607</v>
      </c>
      <c r="IYZ338" s="42" t="s">
        <v>607</v>
      </c>
      <c r="IZA338" s="42" t="s">
        <v>607</v>
      </c>
      <c r="IZB338" s="42" t="s">
        <v>607</v>
      </c>
      <c r="IZC338" s="42" t="s">
        <v>607</v>
      </c>
      <c r="IZD338" s="42" t="s">
        <v>607</v>
      </c>
      <c r="IZE338" s="42" t="s">
        <v>607</v>
      </c>
      <c r="IZF338" s="42" t="s">
        <v>607</v>
      </c>
      <c r="IZG338" s="42" t="s">
        <v>607</v>
      </c>
      <c r="IZH338" s="42" t="s">
        <v>607</v>
      </c>
      <c r="IZI338" s="42" t="s">
        <v>607</v>
      </c>
      <c r="IZJ338" s="42" t="s">
        <v>607</v>
      </c>
      <c r="IZK338" s="42" t="s">
        <v>607</v>
      </c>
      <c r="IZL338" s="42" t="s">
        <v>607</v>
      </c>
      <c r="IZM338" s="42" t="s">
        <v>607</v>
      </c>
      <c r="IZN338" s="42" t="s">
        <v>607</v>
      </c>
      <c r="IZO338" s="42" t="s">
        <v>607</v>
      </c>
      <c r="IZP338" s="42" t="s">
        <v>607</v>
      </c>
      <c r="IZQ338" s="42" t="s">
        <v>607</v>
      </c>
      <c r="IZR338" s="42" t="s">
        <v>607</v>
      </c>
      <c r="IZS338" s="42" t="s">
        <v>607</v>
      </c>
      <c r="IZT338" s="42" t="s">
        <v>607</v>
      </c>
      <c r="IZU338" s="42" t="s">
        <v>607</v>
      </c>
      <c r="IZV338" s="42" t="s">
        <v>607</v>
      </c>
      <c r="IZW338" s="42" t="s">
        <v>607</v>
      </c>
      <c r="IZX338" s="42" t="s">
        <v>607</v>
      </c>
      <c r="IZY338" s="42" t="s">
        <v>607</v>
      </c>
      <c r="IZZ338" s="42" t="s">
        <v>607</v>
      </c>
      <c r="JAA338" s="42" t="s">
        <v>607</v>
      </c>
      <c r="JAB338" s="42" t="s">
        <v>607</v>
      </c>
      <c r="JAC338" s="42" t="s">
        <v>607</v>
      </c>
      <c r="JAD338" s="42" t="s">
        <v>607</v>
      </c>
      <c r="JAE338" s="42" t="s">
        <v>607</v>
      </c>
      <c r="JAF338" s="42" t="s">
        <v>607</v>
      </c>
      <c r="JAG338" s="42" t="s">
        <v>607</v>
      </c>
      <c r="JAH338" s="42" t="s">
        <v>607</v>
      </c>
      <c r="JAI338" s="42" t="s">
        <v>607</v>
      </c>
      <c r="JAJ338" s="42" t="s">
        <v>607</v>
      </c>
      <c r="JAK338" s="42" t="s">
        <v>607</v>
      </c>
      <c r="JAL338" s="42" t="s">
        <v>607</v>
      </c>
      <c r="JAM338" s="42" t="s">
        <v>607</v>
      </c>
      <c r="JAN338" s="42" t="s">
        <v>607</v>
      </c>
      <c r="JAO338" s="42" t="s">
        <v>607</v>
      </c>
      <c r="JAP338" s="42" t="s">
        <v>607</v>
      </c>
      <c r="JAQ338" s="42" t="s">
        <v>607</v>
      </c>
      <c r="JAR338" s="42" t="s">
        <v>607</v>
      </c>
      <c r="JAS338" s="42" t="s">
        <v>607</v>
      </c>
      <c r="JAT338" s="42" t="s">
        <v>607</v>
      </c>
      <c r="JAU338" s="42" t="s">
        <v>607</v>
      </c>
      <c r="JAV338" s="42" t="s">
        <v>607</v>
      </c>
      <c r="JAW338" s="42" t="s">
        <v>607</v>
      </c>
      <c r="JAX338" s="42" t="s">
        <v>607</v>
      </c>
      <c r="JAY338" s="42" t="s">
        <v>607</v>
      </c>
      <c r="JAZ338" s="42" t="s">
        <v>607</v>
      </c>
      <c r="JBA338" s="42" t="s">
        <v>607</v>
      </c>
      <c r="JBB338" s="42" t="s">
        <v>607</v>
      </c>
      <c r="JBC338" s="42" t="s">
        <v>607</v>
      </c>
      <c r="JBD338" s="42" t="s">
        <v>607</v>
      </c>
      <c r="JBE338" s="42" t="s">
        <v>607</v>
      </c>
      <c r="JBF338" s="42" t="s">
        <v>607</v>
      </c>
      <c r="JBG338" s="42" t="s">
        <v>607</v>
      </c>
      <c r="JBH338" s="42" t="s">
        <v>607</v>
      </c>
      <c r="JBI338" s="42" t="s">
        <v>607</v>
      </c>
      <c r="JBJ338" s="42" t="s">
        <v>607</v>
      </c>
      <c r="JBK338" s="42" t="s">
        <v>607</v>
      </c>
      <c r="JBL338" s="42" t="s">
        <v>607</v>
      </c>
      <c r="JBM338" s="42" t="s">
        <v>607</v>
      </c>
      <c r="JBN338" s="42" t="s">
        <v>607</v>
      </c>
      <c r="JBO338" s="42" t="s">
        <v>607</v>
      </c>
      <c r="JBP338" s="42" t="s">
        <v>607</v>
      </c>
      <c r="JBQ338" s="42" t="s">
        <v>607</v>
      </c>
      <c r="JBR338" s="42" t="s">
        <v>607</v>
      </c>
      <c r="JBS338" s="42" t="s">
        <v>607</v>
      </c>
      <c r="JBT338" s="42" t="s">
        <v>607</v>
      </c>
      <c r="JBU338" s="42" t="s">
        <v>607</v>
      </c>
      <c r="JBV338" s="42" t="s">
        <v>607</v>
      </c>
      <c r="JBW338" s="42" t="s">
        <v>607</v>
      </c>
      <c r="JBX338" s="42" t="s">
        <v>607</v>
      </c>
      <c r="JBY338" s="42" t="s">
        <v>607</v>
      </c>
      <c r="JBZ338" s="42" t="s">
        <v>607</v>
      </c>
      <c r="JCA338" s="42" t="s">
        <v>607</v>
      </c>
      <c r="JCB338" s="42" t="s">
        <v>607</v>
      </c>
      <c r="JCC338" s="42" t="s">
        <v>607</v>
      </c>
      <c r="JCD338" s="42" t="s">
        <v>607</v>
      </c>
      <c r="JCE338" s="42" t="s">
        <v>607</v>
      </c>
      <c r="JCF338" s="42" t="s">
        <v>607</v>
      </c>
      <c r="JCG338" s="42" t="s">
        <v>607</v>
      </c>
      <c r="JCH338" s="42" t="s">
        <v>607</v>
      </c>
      <c r="JCI338" s="42" t="s">
        <v>607</v>
      </c>
      <c r="JCJ338" s="42" t="s">
        <v>607</v>
      </c>
      <c r="JCK338" s="42" t="s">
        <v>607</v>
      </c>
      <c r="JCL338" s="42" t="s">
        <v>607</v>
      </c>
      <c r="JCM338" s="42" t="s">
        <v>607</v>
      </c>
      <c r="JCN338" s="42" t="s">
        <v>607</v>
      </c>
      <c r="JCO338" s="42" t="s">
        <v>607</v>
      </c>
      <c r="JCP338" s="42" t="s">
        <v>607</v>
      </c>
      <c r="JCQ338" s="42" t="s">
        <v>607</v>
      </c>
      <c r="JCR338" s="42" t="s">
        <v>607</v>
      </c>
      <c r="JCS338" s="42" t="s">
        <v>607</v>
      </c>
      <c r="JCT338" s="42" t="s">
        <v>607</v>
      </c>
      <c r="JCU338" s="42" t="s">
        <v>607</v>
      </c>
      <c r="JCV338" s="42" t="s">
        <v>607</v>
      </c>
      <c r="JCW338" s="42" t="s">
        <v>607</v>
      </c>
      <c r="JCX338" s="42" t="s">
        <v>607</v>
      </c>
      <c r="JCY338" s="42" t="s">
        <v>607</v>
      </c>
      <c r="JCZ338" s="42" t="s">
        <v>607</v>
      </c>
      <c r="JDA338" s="42" t="s">
        <v>607</v>
      </c>
      <c r="JDB338" s="42" t="s">
        <v>607</v>
      </c>
      <c r="JDC338" s="42" t="s">
        <v>607</v>
      </c>
      <c r="JDD338" s="42" t="s">
        <v>607</v>
      </c>
      <c r="JDE338" s="42" t="s">
        <v>607</v>
      </c>
      <c r="JDF338" s="42" t="s">
        <v>607</v>
      </c>
      <c r="JDG338" s="42" t="s">
        <v>607</v>
      </c>
      <c r="JDH338" s="42" t="s">
        <v>607</v>
      </c>
      <c r="JDI338" s="42" t="s">
        <v>607</v>
      </c>
      <c r="JDJ338" s="42" t="s">
        <v>607</v>
      </c>
      <c r="JDK338" s="42" t="s">
        <v>607</v>
      </c>
      <c r="JDL338" s="42" t="s">
        <v>607</v>
      </c>
      <c r="JDM338" s="42" t="s">
        <v>607</v>
      </c>
      <c r="JDN338" s="42" t="s">
        <v>607</v>
      </c>
      <c r="JDO338" s="42" t="s">
        <v>607</v>
      </c>
      <c r="JDP338" s="42" t="s">
        <v>607</v>
      </c>
      <c r="JDQ338" s="42" t="s">
        <v>607</v>
      </c>
      <c r="JDR338" s="42" t="s">
        <v>607</v>
      </c>
      <c r="JDS338" s="42" t="s">
        <v>607</v>
      </c>
      <c r="JDT338" s="42" t="s">
        <v>607</v>
      </c>
      <c r="JDU338" s="42" t="s">
        <v>607</v>
      </c>
      <c r="JDV338" s="42" t="s">
        <v>607</v>
      </c>
      <c r="JDW338" s="42" t="s">
        <v>607</v>
      </c>
      <c r="JDX338" s="42" t="s">
        <v>607</v>
      </c>
      <c r="JDY338" s="42" t="s">
        <v>607</v>
      </c>
      <c r="JDZ338" s="42" t="s">
        <v>607</v>
      </c>
      <c r="JEA338" s="42" t="s">
        <v>607</v>
      </c>
      <c r="JEB338" s="42" t="s">
        <v>607</v>
      </c>
      <c r="JEC338" s="42" t="s">
        <v>607</v>
      </c>
      <c r="JED338" s="42" t="s">
        <v>607</v>
      </c>
      <c r="JEE338" s="42" t="s">
        <v>607</v>
      </c>
      <c r="JEF338" s="42" t="s">
        <v>607</v>
      </c>
      <c r="JEG338" s="42" t="s">
        <v>607</v>
      </c>
      <c r="JEH338" s="42" t="s">
        <v>607</v>
      </c>
      <c r="JEI338" s="42" t="s">
        <v>607</v>
      </c>
      <c r="JEJ338" s="42" t="s">
        <v>607</v>
      </c>
      <c r="JEK338" s="42" t="s">
        <v>607</v>
      </c>
      <c r="JEL338" s="42" t="s">
        <v>607</v>
      </c>
      <c r="JEM338" s="42" t="s">
        <v>607</v>
      </c>
      <c r="JEN338" s="42" t="s">
        <v>607</v>
      </c>
      <c r="JEO338" s="42" t="s">
        <v>607</v>
      </c>
      <c r="JEP338" s="42" t="s">
        <v>607</v>
      </c>
      <c r="JEQ338" s="42" t="s">
        <v>607</v>
      </c>
      <c r="JER338" s="42" t="s">
        <v>607</v>
      </c>
      <c r="JES338" s="42" t="s">
        <v>607</v>
      </c>
      <c r="JET338" s="42" t="s">
        <v>607</v>
      </c>
      <c r="JEU338" s="42" t="s">
        <v>607</v>
      </c>
      <c r="JEV338" s="42" t="s">
        <v>607</v>
      </c>
      <c r="JEW338" s="42" t="s">
        <v>607</v>
      </c>
      <c r="JEX338" s="42" t="s">
        <v>607</v>
      </c>
      <c r="JEY338" s="42" t="s">
        <v>607</v>
      </c>
      <c r="JEZ338" s="42" t="s">
        <v>607</v>
      </c>
      <c r="JFA338" s="42" t="s">
        <v>607</v>
      </c>
      <c r="JFB338" s="42" t="s">
        <v>607</v>
      </c>
      <c r="JFC338" s="42" t="s">
        <v>607</v>
      </c>
      <c r="JFD338" s="42" t="s">
        <v>607</v>
      </c>
      <c r="JFE338" s="42" t="s">
        <v>607</v>
      </c>
      <c r="JFF338" s="42" t="s">
        <v>607</v>
      </c>
      <c r="JFG338" s="42" t="s">
        <v>607</v>
      </c>
      <c r="JFH338" s="42" t="s">
        <v>607</v>
      </c>
      <c r="JFI338" s="42" t="s">
        <v>607</v>
      </c>
      <c r="JFJ338" s="42" t="s">
        <v>607</v>
      </c>
      <c r="JFK338" s="42" t="s">
        <v>607</v>
      </c>
      <c r="JFL338" s="42" t="s">
        <v>607</v>
      </c>
      <c r="JFM338" s="42" t="s">
        <v>607</v>
      </c>
      <c r="JFN338" s="42" t="s">
        <v>607</v>
      </c>
      <c r="JFO338" s="42" t="s">
        <v>607</v>
      </c>
      <c r="JFP338" s="42" t="s">
        <v>607</v>
      </c>
      <c r="JFQ338" s="42" t="s">
        <v>607</v>
      </c>
      <c r="JFR338" s="42" t="s">
        <v>607</v>
      </c>
      <c r="JFS338" s="42" t="s">
        <v>607</v>
      </c>
      <c r="JFT338" s="42" t="s">
        <v>607</v>
      </c>
      <c r="JFU338" s="42" t="s">
        <v>607</v>
      </c>
      <c r="JFV338" s="42" t="s">
        <v>607</v>
      </c>
      <c r="JFW338" s="42" t="s">
        <v>607</v>
      </c>
      <c r="JFX338" s="42" t="s">
        <v>607</v>
      </c>
      <c r="JFY338" s="42" t="s">
        <v>607</v>
      </c>
      <c r="JFZ338" s="42" t="s">
        <v>607</v>
      </c>
      <c r="JGA338" s="42" t="s">
        <v>607</v>
      </c>
      <c r="JGB338" s="42" t="s">
        <v>607</v>
      </c>
      <c r="JGC338" s="42" t="s">
        <v>607</v>
      </c>
      <c r="JGD338" s="42" t="s">
        <v>607</v>
      </c>
      <c r="JGE338" s="42" t="s">
        <v>607</v>
      </c>
      <c r="JGF338" s="42" t="s">
        <v>607</v>
      </c>
      <c r="JGG338" s="42" t="s">
        <v>607</v>
      </c>
      <c r="JGH338" s="42" t="s">
        <v>607</v>
      </c>
      <c r="JGI338" s="42" t="s">
        <v>607</v>
      </c>
      <c r="JGJ338" s="42" t="s">
        <v>607</v>
      </c>
      <c r="JGK338" s="42" t="s">
        <v>607</v>
      </c>
      <c r="JGL338" s="42" t="s">
        <v>607</v>
      </c>
      <c r="JGM338" s="42" t="s">
        <v>607</v>
      </c>
      <c r="JGN338" s="42" t="s">
        <v>607</v>
      </c>
      <c r="JGO338" s="42" t="s">
        <v>607</v>
      </c>
      <c r="JGP338" s="42" t="s">
        <v>607</v>
      </c>
      <c r="JGQ338" s="42" t="s">
        <v>607</v>
      </c>
      <c r="JGR338" s="42" t="s">
        <v>607</v>
      </c>
      <c r="JGS338" s="42" t="s">
        <v>607</v>
      </c>
      <c r="JGT338" s="42" t="s">
        <v>607</v>
      </c>
      <c r="JGU338" s="42" t="s">
        <v>607</v>
      </c>
      <c r="JGV338" s="42" t="s">
        <v>607</v>
      </c>
      <c r="JGW338" s="42" t="s">
        <v>607</v>
      </c>
      <c r="JGX338" s="42" t="s">
        <v>607</v>
      </c>
      <c r="JGY338" s="42" t="s">
        <v>607</v>
      </c>
      <c r="JGZ338" s="42" t="s">
        <v>607</v>
      </c>
      <c r="JHA338" s="42" t="s">
        <v>607</v>
      </c>
      <c r="JHB338" s="42" t="s">
        <v>607</v>
      </c>
      <c r="JHC338" s="42" t="s">
        <v>607</v>
      </c>
      <c r="JHD338" s="42" t="s">
        <v>607</v>
      </c>
      <c r="JHE338" s="42" t="s">
        <v>607</v>
      </c>
      <c r="JHF338" s="42" t="s">
        <v>607</v>
      </c>
      <c r="JHG338" s="42" t="s">
        <v>607</v>
      </c>
      <c r="JHH338" s="42" t="s">
        <v>607</v>
      </c>
      <c r="JHI338" s="42" t="s">
        <v>607</v>
      </c>
      <c r="JHJ338" s="42" t="s">
        <v>607</v>
      </c>
      <c r="JHK338" s="42" t="s">
        <v>607</v>
      </c>
      <c r="JHL338" s="42" t="s">
        <v>607</v>
      </c>
      <c r="JHM338" s="42" t="s">
        <v>607</v>
      </c>
      <c r="JHN338" s="42" t="s">
        <v>607</v>
      </c>
      <c r="JHO338" s="42" t="s">
        <v>607</v>
      </c>
      <c r="JHP338" s="42" t="s">
        <v>607</v>
      </c>
      <c r="JHQ338" s="42" t="s">
        <v>607</v>
      </c>
      <c r="JHR338" s="42" t="s">
        <v>607</v>
      </c>
      <c r="JHS338" s="42" t="s">
        <v>607</v>
      </c>
      <c r="JHT338" s="42" t="s">
        <v>607</v>
      </c>
      <c r="JHU338" s="42" t="s">
        <v>607</v>
      </c>
      <c r="JHV338" s="42" t="s">
        <v>607</v>
      </c>
      <c r="JHW338" s="42" t="s">
        <v>607</v>
      </c>
      <c r="JHX338" s="42" t="s">
        <v>607</v>
      </c>
      <c r="JHY338" s="42" t="s">
        <v>607</v>
      </c>
      <c r="JHZ338" s="42" t="s">
        <v>607</v>
      </c>
      <c r="JIA338" s="42" t="s">
        <v>607</v>
      </c>
      <c r="JIB338" s="42" t="s">
        <v>607</v>
      </c>
      <c r="JIC338" s="42" t="s">
        <v>607</v>
      </c>
      <c r="JID338" s="42" t="s">
        <v>607</v>
      </c>
      <c r="JIE338" s="42" t="s">
        <v>607</v>
      </c>
      <c r="JIF338" s="42" t="s">
        <v>607</v>
      </c>
      <c r="JIG338" s="42" t="s">
        <v>607</v>
      </c>
      <c r="JIH338" s="42" t="s">
        <v>607</v>
      </c>
      <c r="JII338" s="42" t="s">
        <v>607</v>
      </c>
      <c r="JIJ338" s="42" t="s">
        <v>607</v>
      </c>
      <c r="JIK338" s="42" t="s">
        <v>607</v>
      </c>
      <c r="JIL338" s="42" t="s">
        <v>607</v>
      </c>
      <c r="JIM338" s="42" t="s">
        <v>607</v>
      </c>
      <c r="JIN338" s="42" t="s">
        <v>607</v>
      </c>
      <c r="JIO338" s="42" t="s">
        <v>607</v>
      </c>
      <c r="JIP338" s="42" t="s">
        <v>607</v>
      </c>
      <c r="JIQ338" s="42" t="s">
        <v>607</v>
      </c>
      <c r="JIR338" s="42" t="s">
        <v>607</v>
      </c>
      <c r="JIS338" s="42" t="s">
        <v>607</v>
      </c>
      <c r="JIT338" s="42" t="s">
        <v>607</v>
      </c>
      <c r="JIU338" s="42" t="s">
        <v>607</v>
      </c>
      <c r="JIV338" s="42" t="s">
        <v>607</v>
      </c>
      <c r="JIW338" s="42" t="s">
        <v>607</v>
      </c>
      <c r="JIX338" s="42" t="s">
        <v>607</v>
      </c>
      <c r="JIY338" s="42" t="s">
        <v>607</v>
      </c>
      <c r="JIZ338" s="42" t="s">
        <v>607</v>
      </c>
      <c r="JJA338" s="42" t="s">
        <v>607</v>
      </c>
      <c r="JJB338" s="42" t="s">
        <v>607</v>
      </c>
      <c r="JJC338" s="42" t="s">
        <v>607</v>
      </c>
      <c r="JJD338" s="42" t="s">
        <v>607</v>
      </c>
      <c r="JJE338" s="42" t="s">
        <v>607</v>
      </c>
      <c r="JJF338" s="42" t="s">
        <v>607</v>
      </c>
      <c r="JJG338" s="42" t="s">
        <v>607</v>
      </c>
      <c r="JJH338" s="42" t="s">
        <v>607</v>
      </c>
      <c r="JJI338" s="42" t="s">
        <v>607</v>
      </c>
      <c r="JJJ338" s="42" t="s">
        <v>607</v>
      </c>
      <c r="JJK338" s="42" t="s">
        <v>607</v>
      </c>
      <c r="JJL338" s="42" t="s">
        <v>607</v>
      </c>
      <c r="JJM338" s="42" t="s">
        <v>607</v>
      </c>
      <c r="JJN338" s="42" t="s">
        <v>607</v>
      </c>
      <c r="JJO338" s="42" t="s">
        <v>607</v>
      </c>
      <c r="JJP338" s="42" t="s">
        <v>607</v>
      </c>
      <c r="JJQ338" s="42" t="s">
        <v>607</v>
      </c>
      <c r="JJR338" s="42" t="s">
        <v>607</v>
      </c>
      <c r="JJS338" s="42" t="s">
        <v>607</v>
      </c>
      <c r="JJT338" s="42" t="s">
        <v>607</v>
      </c>
      <c r="JJU338" s="42" t="s">
        <v>607</v>
      </c>
      <c r="JJV338" s="42" t="s">
        <v>607</v>
      </c>
      <c r="JJW338" s="42" t="s">
        <v>607</v>
      </c>
      <c r="JJX338" s="42" t="s">
        <v>607</v>
      </c>
      <c r="JJY338" s="42" t="s">
        <v>607</v>
      </c>
      <c r="JJZ338" s="42" t="s">
        <v>607</v>
      </c>
      <c r="JKA338" s="42" t="s">
        <v>607</v>
      </c>
      <c r="JKB338" s="42" t="s">
        <v>607</v>
      </c>
      <c r="JKC338" s="42" t="s">
        <v>607</v>
      </c>
      <c r="JKD338" s="42" t="s">
        <v>607</v>
      </c>
      <c r="JKE338" s="42" t="s">
        <v>607</v>
      </c>
      <c r="JKF338" s="42" t="s">
        <v>607</v>
      </c>
      <c r="JKG338" s="42" t="s">
        <v>607</v>
      </c>
      <c r="JKH338" s="42" t="s">
        <v>607</v>
      </c>
      <c r="JKI338" s="42" t="s">
        <v>607</v>
      </c>
      <c r="JKJ338" s="42" t="s">
        <v>607</v>
      </c>
      <c r="JKK338" s="42" t="s">
        <v>607</v>
      </c>
      <c r="JKL338" s="42" t="s">
        <v>607</v>
      </c>
      <c r="JKM338" s="42" t="s">
        <v>607</v>
      </c>
      <c r="JKN338" s="42" t="s">
        <v>607</v>
      </c>
      <c r="JKO338" s="42" t="s">
        <v>607</v>
      </c>
      <c r="JKP338" s="42" t="s">
        <v>607</v>
      </c>
      <c r="JKQ338" s="42" t="s">
        <v>607</v>
      </c>
      <c r="JKR338" s="42" t="s">
        <v>607</v>
      </c>
      <c r="JKS338" s="42" t="s">
        <v>607</v>
      </c>
      <c r="JKT338" s="42" t="s">
        <v>607</v>
      </c>
      <c r="JKU338" s="42" t="s">
        <v>607</v>
      </c>
      <c r="JKV338" s="42" t="s">
        <v>607</v>
      </c>
      <c r="JKW338" s="42" t="s">
        <v>607</v>
      </c>
      <c r="JKX338" s="42" t="s">
        <v>607</v>
      </c>
      <c r="JKY338" s="42" t="s">
        <v>607</v>
      </c>
      <c r="JKZ338" s="42" t="s">
        <v>607</v>
      </c>
      <c r="JLA338" s="42" t="s">
        <v>607</v>
      </c>
      <c r="JLB338" s="42" t="s">
        <v>607</v>
      </c>
      <c r="JLC338" s="42" t="s">
        <v>607</v>
      </c>
      <c r="JLD338" s="42" t="s">
        <v>607</v>
      </c>
      <c r="JLE338" s="42" t="s">
        <v>607</v>
      </c>
      <c r="JLF338" s="42" t="s">
        <v>607</v>
      </c>
      <c r="JLG338" s="42" t="s">
        <v>607</v>
      </c>
      <c r="JLH338" s="42" t="s">
        <v>607</v>
      </c>
      <c r="JLI338" s="42" t="s">
        <v>607</v>
      </c>
      <c r="JLJ338" s="42" t="s">
        <v>607</v>
      </c>
      <c r="JLK338" s="42" t="s">
        <v>607</v>
      </c>
      <c r="JLL338" s="42" t="s">
        <v>607</v>
      </c>
      <c r="JLM338" s="42" t="s">
        <v>607</v>
      </c>
      <c r="JLN338" s="42" t="s">
        <v>607</v>
      </c>
      <c r="JLO338" s="42" t="s">
        <v>607</v>
      </c>
      <c r="JLP338" s="42" t="s">
        <v>607</v>
      </c>
      <c r="JLQ338" s="42" t="s">
        <v>607</v>
      </c>
      <c r="JLR338" s="42" t="s">
        <v>607</v>
      </c>
      <c r="JLS338" s="42" t="s">
        <v>607</v>
      </c>
      <c r="JLT338" s="42" t="s">
        <v>607</v>
      </c>
      <c r="JLU338" s="42" t="s">
        <v>607</v>
      </c>
      <c r="JLV338" s="42" t="s">
        <v>607</v>
      </c>
      <c r="JLW338" s="42" t="s">
        <v>607</v>
      </c>
      <c r="JLX338" s="42" t="s">
        <v>607</v>
      </c>
      <c r="JLY338" s="42" t="s">
        <v>607</v>
      </c>
      <c r="JLZ338" s="42" t="s">
        <v>607</v>
      </c>
      <c r="JMA338" s="42" t="s">
        <v>607</v>
      </c>
      <c r="JMB338" s="42" t="s">
        <v>607</v>
      </c>
      <c r="JMC338" s="42" t="s">
        <v>607</v>
      </c>
      <c r="JMD338" s="42" t="s">
        <v>607</v>
      </c>
      <c r="JME338" s="42" t="s">
        <v>607</v>
      </c>
      <c r="JMF338" s="42" t="s">
        <v>607</v>
      </c>
      <c r="JMG338" s="42" t="s">
        <v>607</v>
      </c>
      <c r="JMH338" s="42" t="s">
        <v>607</v>
      </c>
      <c r="JMI338" s="42" t="s">
        <v>607</v>
      </c>
      <c r="JMJ338" s="42" t="s">
        <v>607</v>
      </c>
      <c r="JMK338" s="42" t="s">
        <v>607</v>
      </c>
      <c r="JML338" s="42" t="s">
        <v>607</v>
      </c>
      <c r="JMM338" s="42" t="s">
        <v>607</v>
      </c>
      <c r="JMN338" s="42" t="s">
        <v>607</v>
      </c>
      <c r="JMO338" s="42" t="s">
        <v>607</v>
      </c>
      <c r="JMP338" s="42" t="s">
        <v>607</v>
      </c>
      <c r="JMQ338" s="42" t="s">
        <v>607</v>
      </c>
      <c r="JMR338" s="42" t="s">
        <v>607</v>
      </c>
      <c r="JMS338" s="42" t="s">
        <v>607</v>
      </c>
      <c r="JMT338" s="42" t="s">
        <v>607</v>
      </c>
      <c r="JMU338" s="42" t="s">
        <v>607</v>
      </c>
      <c r="JMV338" s="42" t="s">
        <v>607</v>
      </c>
      <c r="JMW338" s="42" t="s">
        <v>607</v>
      </c>
      <c r="JMX338" s="42" t="s">
        <v>607</v>
      </c>
      <c r="JMY338" s="42" t="s">
        <v>607</v>
      </c>
      <c r="JMZ338" s="42" t="s">
        <v>607</v>
      </c>
      <c r="JNA338" s="42" t="s">
        <v>607</v>
      </c>
      <c r="JNB338" s="42" t="s">
        <v>607</v>
      </c>
      <c r="JNC338" s="42" t="s">
        <v>607</v>
      </c>
      <c r="JND338" s="42" t="s">
        <v>607</v>
      </c>
      <c r="JNE338" s="42" t="s">
        <v>607</v>
      </c>
      <c r="JNF338" s="42" t="s">
        <v>607</v>
      </c>
      <c r="JNG338" s="42" t="s">
        <v>607</v>
      </c>
      <c r="JNH338" s="42" t="s">
        <v>607</v>
      </c>
      <c r="JNI338" s="42" t="s">
        <v>607</v>
      </c>
      <c r="JNJ338" s="42" t="s">
        <v>607</v>
      </c>
      <c r="JNK338" s="42" t="s">
        <v>607</v>
      </c>
      <c r="JNL338" s="42" t="s">
        <v>607</v>
      </c>
      <c r="JNM338" s="42" t="s">
        <v>607</v>
      </c>
      <c r="JNN338" s="42" t="s">
        <v>607</v>
      </c>
      <c r="JNO338" s="42" t="s">
        <v>607</v>
      </c>
      <c r="JNP338" s="42" t="s">
        <v>607</v>
      </c>
      <c r="JNQ338" s="42" t="s">
        <v>607</v>
      </c>
      <c r="JNR338" s="42" t="s">
        <v>607</v>
      </c>
      <c r="JNS338" s="42" t="s">
        <v>607</v>
      </c>
      <c r="JNT338" s="42" t="s">
        <v>607</v>
      </c>
      <c r="JNU338" s="42" t="s">
        <v>607</v>
      </c>
      <c r="JNV338" s="42" t="s">
        <v>607</v>
      </c>
      <c r="JNW338" s="42" t="s">
        <v>607</v>
      </c>
      <c r="JNX338" s="42" t="s">
        <v>607</v>
      </c>
      <c r="JNY338" s="42" t="s">
        <v>607</v>
      </c>
      <c r="JNZ338" s="42" t="s">
        <v>607</v>
      </c>
      <c r="JOA338" s="42" t="s">
        <v>607</v>
      </c>
      <c r="JOB338" s="42" t="s">
        <v>607</v>
      </c>
      <c r="JOC338" s="42" t="s">
        <v>607</v>
      </c>
      <c r="JOD338" s="42" t="s">
        <v>607</v>
      </c>
      <c r="JOE338" s="42" t="s">
        <v>607</v>
      </c>
      <c r="JOF338" s="42" t="s">
        <v>607</v>
      </c>
      <c r="JOG338" s="42" t="s">
        <v>607</v>
      </c>
      <c r="JOH338" s="42" t="s">
        <v>607</v>
      </c>
      <c r="JOI338" s="42" t="s">
        <v>607</v>
      </c>
      <c r="JOJ338" s="42" t="s">
        <v>607</v>
      </c>
      <c r="JOK338" s="42" t="s">
        <v>607</v>
      </c>
      <c r="JOL338" s="42" t="s">
        <v>607</v>
      </c>
      <c r="JOM338" s="42" t="s">
        <v>607</v>
      </c>
      <c r="JON338" s="42" t="s">
        <v>607</v>
      </c>
      <c r="JOO338" s="42" t="s">
        <v>607</v>
      </c>
      <c r="JOP338" s="42" t="s">
        <v>607</v>
      </c>
      <c r="JOQ338" s="42" t="s">
        <v>607</v>
      </c>
      <c r="JOR338" s="42" t="s">
        <v>607</v>
      </c>
      <c r="JOS338" s="42" t="s">
        <v>607</v>
      </c>
      <c r="JOT338" s="42" t="s">
        <v>607</v>
      </c>
      <c r="JOU338" s="42" t="s">
        <v>607</v>
      </c>
      <c r="JOV338" s="42" t="s">
        <v>607</v>
      </c>
      <c r="JOW338" s="42" t="s">
        <v>607</v>
      </c>
      <c r="JOX338" s="42" t="s">
        <v>607</v>
      </c>
      <c r="JOY338" s="42" t="s">
        <v>607</v>
      </c>
      <c r="JOZ338" s="42" t="s">
        <v>607</v>
      </c>
      <c r="JPA338" s="42" t="s">
        <v>607</v>
      </c>
      <c r="JPB338" s="42" t="s">
        <v>607</v>
      </c>
      <c r="JPC338" s="42" t="s">
        <v>607</v>
      </c>
      <c r="JPD338" s="42" t="s">
        <v>607</v>
      </c>
      <c r="JPE338" s="42" t="s">
        <v>607</v>
      </c>
      <c r="JPF338" s="42" t="s">
        <v>607</v>
      </c>
      <c r="JPG338" s="42" t="s">
        <v>607</v>
      </c>
      <c r="JPH338" s="42" t="s">
        <v>607</v>
      </c>
      <c r="JPI338" s="42" t="s">
        <v>607</v>
      </c>
      <c r="JPJ338" s="42" t="s">
        <v>607</v>
      </c>
      <c r="JPK338" s="42" t="s">
        <v>607</v>
      </c>
      <c r="JPL338" s="42" t="s">
        <v>607</v>
      </c>
      <c r="JPM338" s="42" t="s">
        <v>607</v>
      </c>
      <c r="JPN338" s="42" t="s">
        <v>607</v>
      </c>
      <c r="JPO338" s="42" t="s">
        <v>607</v>
      </c>
      <c r="JPP338" s="42" t="s">
        <v>607</v>
      </c>
      <c r="JPQ338" s="42" t="s">
        <v>607</v>
      </c>
      <c r="JPR338" s="42" t="s">
        <v>607</v>
      </c>
      <c r="JPS338" s="42" t="s">
        <v>607</v>
      </c>
      <c r="JPT338" s="42" t="s">
        <v>607</v>
      </c>
      <c r="JPU338" s="42" t="s">
        <v>607</v>
      </c>
      <c r="JPV338" s="42" t="s">
        <v>607</v>
      </c>
      <c r="JPW338" s="42" t="s">
        <v>607</v>
      </c>
      <c r="JPX338" s="42" t="s">
        <v>607</v>
      </c>
      <c r="JPY338" s="42" t="s">
        <v>607</v>
      </c>
      <c r="JPZ338" s="42" t="s">
        <v>607</v>
      </c>
      <c r="JQA338" s="42" t="s">
        <v>607</v>
      </c>
      <c r="JQB338" s="42" t="s">
        <v>607</v>
      </c>
      <c r="JQC338" s="42" t="s">
        <v>607</v>
      </c>
      <c r="JQD338" s="42" t="s">
        <v>607</v>
      </c>
      <c r="JQE338" s="42" t="s">
        <v>607</v>
      </c>
      <c r="JQF338" s="42" t="s">
        <v>607</v>
      </c>
      <c r="JQG338" s="42" t="s">
        <v>607</v>
      </c>
      <c r="JQH338" s="42" t="s">
        <v>607</v>
      </c>
      <c r="JQI338" s="42" t="s">
        <v>607</v>
      </c>
      <c r="JQJ338" s="42" t="s">
        <v>607</v>
      </c>
      <c r="JQK338" s="42" t="s">
        <v>607</v>
      </c>
      <c r="JQL338" s="42" t="s">
        <v>607</v>
      </c>
      <c r="JQM338" s="42" t="s">
        <v>607</v>
      </c>
      <c r="JQN338" s="42" t="s">
        <v>607</v>
      </c>
      <c r="JQO338" s="42" t="s">
        <v>607</v>
      </c>
      <c r="JQP338" s="42" t="s">
        <v>607</v>
      </c>
      <c r="JQQ338" s="42" t="s">
        <v>607</v>
      </c>
      <c r="JQR338" s="42" t="s">
        <v>607</v>
      </c>
      <c r="JQS338" s="42" t="s">
        <v>607</v>
      </c>
      <c r="JQT338" s="42" t="s">
        <v>607</v>
      </c>
      <c r="JQU338" s="42" t="s">
        <v>607</v>
      </c>
      <c r="JQV338" s="42" t="s">
        <v>607</v>
      </c>
      <c r="JQW338" s="42" t="s">
        <v>607</v>
      </c>
      <c r="JQX338" s="42" t="s">
        <v>607</v>
      </c>
      <c r="JQY338" s="42" t="s">
        <v>607</v>
      </c>
      <c r="JQZ338" s="42" t="s">
        <v>607</v>
      </c>
      <c r="JRA338" s="42" t="s">
        <v>607</v>
      </c>
      <c r="JRB338" s="42" t="s">
        <v>607</v>
      </c>
      <c r="JRC338" s="42" t="s">
        <v>607</v>
      </c>
      <c r="JRD338" s="42" t="s">
        <v>607</v>
      </c>
      <c r="JRE338" s="42" t="s">
        <v>607</v>
      </c>
      <c r="JRF338" s="42" t="s">
        <v>607</v>
      </c>
      <c r="JRG338" s="42" t="s">
        <v>607</v>
      </c>
      <c r="JRH338" s="42" t="s">
        <v>607</v>
      </c>
      <c r="JRI338" s="42" t="s">
        <v>607</v>
      </c>
      <c r="JRJ338" s="42" t="s">
        <v>607</v>
      </c>
      <c r="JRK338" s="42" t="s">
        <v>607</v>
      </c>
      <c r="JRL338" s="42" t="s">
        <v>607</v>
      </c>
      <c r="JRM338" s="42" t="s">
        <v>607</v>
      </c>
      <c r="JRN338" s="42" t="s">
        <v>607</v>
      </c>
      <c r="JRO338" s="42" t="s">
        <v>607</v>
      </c>
      <c r="JRP338" s="42" t="s">
        <v>607</v>
      </c>
      <c r="JRQ338" s="42" t="s">
        <v>607</v>
      </c>
      <c r="JRR338" s="42" t="s">
        <v>607</v>
      </c>
      <c r="JRS338" s="42" t="s">
        <v>607</v>
      </c>
      <c r="JRT338" s="42" t="s">
        <v>607</v>
      </c>
      <c r="JRU338" s="42" t="s">
        <v>607</v>
      </c>
      <c r="JRV338" s="42" t="s">
        <v>607</v>
      </c>
      <c r="JRW338" s="42" t="s">
        <v>607</v>
      </c>
      <c r="JRX338" s="42" t="s">
        <v>607</v>
      </c>
      <c r="JRY338" s="42" t="s">
        <v>607</v>
      </c>
      <c r="JRZ338" s="42" t="s">
        <v>607</v>
      </c>
      <c r="JSA338" s="42" t="s">
        <v>607</v>
      </c>
      <c r="JSB338" s="42" t="s">
        <v>607</v>
      </c>
      <c r="JSC338" s="42" t="s">
        <v>607</v>
      </c>
      <c r="JSD338" s="42" t="s">
        <v>607</v>
      </c>
      <c r="JSE338" s="42" t="s">
        <v>607</v>
      </c>
      <c r="JSF338" s="42" t="s">
        <v>607</v>
      </c>
      <c r="JSG338" s="42" t="s">
        <v>607</v>
      </c>
      <c r="JSH338" s="42" t="s">
        <v>607</v>
      </c>
      <c r="JSI338" s="42" t="s">
        <v>607</v>
      </c>
      <c r="JSJ338" s="42" t="s">
        <v>607</v>
      </c>
      <c r="JSK338" s="42" t="s">
        <v>607</v>
      </c>
      <c r="JSL338" s="42" t="s">
        <v>607</v>
      </c>
      <c r="JSM338" s="42" t="s">
        <v>607</v>
      </c>
      <c r="JSN338" s="42" t="s">
        <v>607</v>
      </c>
      <c r="JSO338" s="42" t="s">
        <v>607</v>
      </c>
      <c r="JSP338" s="42" t="s">
        <v>607</v>
      </c>
      <c r="JSQ338" s="42" t="s">
        <v>607</v>
      </c>
      <c r="JSR338" s="42" t="s">
        <v>607</v>
      </c>
      <c r="JSS338" s="42" t="s">
        <v>607</v>
      </c>
      <c r="JST338" s="42" t="s">
        <v>607</v>
      </c>
      <c r="JSU338" s="42" t="s">
        <v>607</v>
      </c>
      <c r="JSV338" s="42" t="s">
        <v>607</v>
      </c>
      <c r="JSW338" s="42" t="s">
        <v>607</v>
      </c>
      <c r="JSX338" s="42" t="s">
        <v>607</v>
      </c>
      <c r="JSY338" s="42" t="s">
        <v>607</v>
      </c>
      <c r="JSZ338" s="42" t="s">
        <v>607</v>
      </c>
      <c r="JTA338" s="42" t="s">
        <v>607</v>
      </c>
      <c r="JTB338" s="42" t="s">
        <v>607</v>
      </c>
      <c r="JTC338" s="42" t="s">
        <v>607</v>
      </c>
      <c r="JTD338" s="42" t="s">
        <v>607</v>
      </c>
      <c r="JTE338" s="42" t="s">
        <v>607</v>
      </c>
      <c r="JTF338" s="42" t="s">
        <v>607</v>
      </c>
      <c r="JTG338" s="42" t="s">
        <v>607</v>
      </c>
      <c r="JTH338" s="42" t="s">
        <v>607</v>
      </c>
      <c r="JTI338" s="42" t="s">
        <v>607</v>
      </c>
      <c r="JTJ338" s="42" t="s">
        <v>607</v>
      </c>
      <c r="JTK338" s="42" t="s">
        <v>607</v>
      </c>
      <c r="JTL338" s="42" t="s">
        <v>607</v>
      </c>
      <c r="JTM338" s="42" t="s">
        <v>607</v>
      </c>
      <c r="JTN338" s="42" t="s">
        <v>607</v>
      </c>
      <c r="JTO338" s="42" t="s">
        <v>607</v>
      </c>
      <c r="JTP338" s="42" t="s">
        <v>607</v>
      </c>
      <c r="JTQ338" s="42" t="s">
        <v>607</v>
      </c>
      <c r="JTR338" s="42" t="s">
        <v>607</v>
      </c>
      <c r="JTS338" s="42" t="s">
        <v>607</v>
      </c>
      <c r="JTT338" s="42" t="s">
        <v>607</v>
      </c>
      <c r="JTU338" s="42" t="s">
        <v>607</v>
      </c>
      <c r="JTV338" s="42" t="s">
        <v>607</v>
      </c>
      <c r="JTW338" s="42" t="s">
        <v>607</v>
      </c>
      <c r="JTX338" s="42" t="s">
        <v>607</v>
      </c>
      <c r="JTY338" s="42" t="s">
        <v>607</v>
      </c>
      <c r="JTZ338" s="42" t="s">
        <v>607</v>
      </c>
      <c r="JUA338" s="42" t="s">
        <v>607</v>
      </c>
      <c r="JUB338" s="42" t="s">
        <v>607</v>
      </c>
      <c r="JUC338" s="42" t="s">
        <v>607</v>
      </c>
      <c r="JUD338" s="42" t="s">
        <v>607</v>
      </c>
      <c r="JUE338" s="42" t="s">
        <v>607</v>
      </c>
      <c r="JUF338" s="42" t="s">
        <v>607</v>
      </c>
      <c r="JUG338" s="42" t="s">
        <v>607</v>
      </c>
      <c r="JUH338" s="42" t="s">
        <v>607</v>
      </c>
      <c r="JUI338" s="42" t="s">
        <v>607</v>
      </c>
      <c r="JUJ338" s="42" t="s">
        <v>607</v>
      </c>
      <c r="JUK338" s="42" t="s">
        <v>607</v>
      </c>
      <c r="JUL338" s="42" t="s">
        <v>607</v>
      </c>
      <c r="JUM338" s="42" t="s">
        <v>607</v>
      </c>
      <c r="JUN338" s="42" t="s">
        <v>607</v>
      </c>
      <c r="JUO338" s="42" t="s">
        <v>607</v>
      </c>
      <c r="JUP338" s="42" t="s">
        <v>607</v>
      </c>
      <c r="JUQ338" s="42" t="s">
        <v>607</v>
      </c>
      <c r="JUR338" s="42" t="s">
        <v>607</v>
      </c>
      <c r="JUS338" s="42" t="s">
        <v>607</v>
      </c>
      <c r="JUT338" s="42" t="s">
        <v>607</v>
      </c>
      <c r="JUU338" s="42" t="s">
        <v>607</v>
      </c>
      <c r="JUV338" s="42" t="s">
        <v>607</v>
      </c>
      <c r="JUW338" s="42" t="s">
        <v>607</v>
      </c>
      <c r="JUX338" s="42" t="s">
        <v>607</v>
      </c>
      <c r="JUY338" s="42" t="s">
        <v>607</v>
      </c>
      <c r="JUZ338" s="42" t="s">
        <v>607</v>
      </c>
      <c r="JVA338" s="42" t="s">
        <v>607</v>
      </c>
      <c r="JVB338" s="42" t="s">
        <v>607</v>
      </c>
      <c r="JVC338" s="42" t="s">
        <v>607</v>
      </c>
      <c r="JVD338" s="42" t="s">
        <v>607</v>
      </c>
      <c r="JVE338" s="42" t="s">
        <v>607</v>
      </c>
      <c r="JVF338" s="42" t="s">
        <v>607</v>
      </c>
      <c r="JVG338" s="42" t="s">
        <v>607</v>
      </c>
      <c r="JVH338" s="42" t="s">
        <v>607</v>
      </c>
      <c r="JVI338" s="42" t="s">
        <v>607</v>
      </c>
      <c r="JVJ338" s="42" t="s">
        <v>607</v>
      </c>
      <c r="JVK338" s="42" t="s">
        <v>607</v>
      </c>
      <c r="JVL338" s="42" t="s">
        <v>607</v>
      </c>
      <c r="JVM338" s="42" t="s">
        <v>607</v>
      </c>
      <c r="JVN338" s="42" t="s">
        <v>607</v>
      </c>
      <c r="JVO338" s="42" t="s">
        <v>607</v>
      </c>
      <c r="JVP338" s="42" t="s">
        <v>607</v>
      </c>
      <c r="JVQ338" s="42" t="s">
        <v>607</v>
      </c>
      <c r="JVR338" s="42" t="s">
        <v>607</v>
      </c>
      <c r="JVS338" s="42" t="s">
        <v>607</v>
      </c>
      <c r="JVT338" s="42" t="s">
        <v>607</v>
      </c>
      <c r="JVU338" s="42" t="s">
        <v>607</v>
      </c>
      <c r="JVV338" s="42" t="s">
        <v>607</v>
      </c>
      <c r="JVW338" s="42" t="s">
        <v>607</v>
      </c>
      <c r="JVX338" s="42" t="s">
        <v>607</v>
      </c>
      <c r="JVY338" s="42" t="s">
        <v>607</v>
      </c>
      <c r="JVZ338" s="42" t="s">
        <v>607</v>
      </c>
      <c r="JWA338" s="42" t="s">
        <v>607</v>
      </c>
      <c r="JWB338" s="42" t="s">
        <v>607</v>
      </c>
      <c r="JWC338" s="42" t="s">
        <v>607</v>
      </c>
      <c r="JWD338" s="42" t="s">
        <v>607</v>
      </c>
      <c r="JWE338" s="42" t="s">
        <v>607</v>
      </c>
      <c r="JWF338" s="42" t="s">
        <v>607</v>
      </c>
      <c r="JWG338" s="42" t="s">
        <v>607</v>
      </c>
      <c r="JWH338" s="42" t="s">
        <v>607</v>
      </c>
      <c r="JWI338" s="42" t="s">
        <v>607</v>
      </c>
      <c r="JWJ338" s="42" t="s">
        <v>607</v>
      </c>
      <c r="JWK338" s="42" t="s">
        <v>607</v>
      </c>
      <c r="JWL338" s="42" t="s">
        <v>607</v>
      </c>
      <c r="JWM338" s="42" t="s">
        <v>607</v>
      </c>
      <c r="JWN338" s="42" t="s">
        <v>607</v>
      </c>
      <c r="JWO338" s="42" t="s">
        <v>607</v>
      </c>
      <c r="JWP338" s="42" t="s">
        <v>607</v>
      </c>
      <c r="JWQ338" s="42" t="s">
        <v>607</v>
      </c>
      <c r="JWR338" s="42" t="s">
        <v>607</v>
      </c>
      <c r="JWS338" s="42" t="s">
        <v>607</v>
      </c>
      <c r="JWT338" s="42" t="s">
        <v>607</v>
      </c>
      <c r="JWU338" s="42" t="s">
        <v>607</v>
      </c>
      <c r="JWV338" s="42" t="s">
        <v>607</v>
      </c>
      <c r="JWW338" s="42" t="s">
        <v>607</v>
      </c>
      <c r="JWX338" s="42" t="s">
        <v>607</v>
      </c>
      <c r="JWY338" s="42" t="s">
        <v>607</v>
      </c>
      <c r="JWZ338" s="42" t="s">
        <v>607</v>
      </c>
      <c r="JXA338" s="42" t="s">
        <v>607</v>
      </c>
      <c r="JXB338" s="42" t="s">
        <v>607</v>
      </c>
      <c r="JXC338" s="42" t="s">
        <v>607</v>
      </c>
      <c r="JXD338" s="42" t="s">
        <v>607</v>
      </c>
      <c r="JXE338" s="42" t="s">
        <v>607</v>
      </c>
      <c r="JXF338" s="42" t="s">
        <v>607</v>
      </c>
      <c r="JXG338" s="42" t="s">
        <v>607</v>
      </c>
      <c r="JXH338" s="42" t="s">
        <v>607</v>
      </c>
      <c r="JXI338" s="42" t="s">
        <v>607</v>
      </c>
      <c r="JXJ338" s="42" t="s">
        <v>607</v>
      </c>
      <c r="JXK338" s="42" t="s">
        <v>607</v>
      </c>
      <c r="JXL338" s="42" t="s">
        <v>607</v>
      </c>
      <c r="JXM338" s="42" t="s">
        <v>607</v>
      </c>
      <c r="JXN338" s="42" t="s">
        <v>607</v>
      </c>
      <c r="JXO338" s="42" t="s">
        <v>607</v>
      </c>
      <c r="JXP338" s="42" t="s">
        <v>607</v>
      </c>
      <c r="JXQ338" s="42" t="s">
        <v>607</v>
      </c>
      <c r="JXR338" s="42" t="s">
        <v>607</v>
      </c>
      <c r="JXS338" s="42" t="s">
        <v>607</v>
      </c>
      <c r="JXT338" s="42" t="s">
        <v>607</v>
      </c>
      <c r="JXU338" s="42" t="s">
        <v>607</v>
      </c>
      <c r="JXV338" s="42" t="s">
        <v>607</v>
      </c>
      <c r="JXW338" s="42" t="s">
        <v>607</v>
      </c>
      <c r="JXX338" s="42" t="s">
        <v>607</v>
      </c>
      <c r="JXY338" s="42" t="s">
        <v>607</v>
      </c>
      <c r="JXZ338" s="42" t="s">
        <v>607</v>
      </c>
      <c r="JYA338" s="42" t="s">
        <v>607</v>
      </c>
      <c r="JYB338" s="42" t="s">
        <v>607</v>
      </c>
      <c r="JYC338" s="42" t="s">
        <v>607</v>
      </c>
      <c r="JYD338" s="42" t="s">
        <v>607</v>
      </c>
      <c r="JYE338" s="42" t="s">
        <v>607</v>
      </c>
      <c r="JYF338" s="42" t="s">
        <v>607</v>
      </c>
      <c r="JYG338" s="42" t="s">
        <v>607</v>
      </c>
      <c r="JYH338" s="42" t="s">
        <v>607</v>
      </c>
      <c r="JYI338" s="42" t="s">
        <v>607</v>
      </c>
      <c r="JYJ338" s="42" t="s">
        <v>607</v>
      </c>
      <c r="JYK338" s="42" t="s">
        <v>607</v>
      </c>
      <c r="JYL338" s="42" t="s">
        <v>607</v>
      </c>
      <c r="JYM338" s="42" t="s">
        <v>607</v>
      </c>
      <c r="JYN338" s="42" t="s">
        <v>607</v>
      </c>
      <c r="JYO338" s="42" t="s">
        <v>607</v>
      </c>
      <c r="JYP338" s="42" t="s">
        <v>607</v>
      </c>
      <c r="JYQ338" s="42" t="s">
        <v>607</v>
      </c>
      <c r="JYR338" s="42" t="s">
        <v>607</v>
      </c>
      <c r="JYS338" s="42" t="s">
        <v>607</v>
      </c>
      <c r="JYT338" s="42" t="s">
        <v>607</v>
      </c>
      <c r="JYU338" s="42" t="s">
        <v>607</v>
      </c>
      <c r="JYV338" s="42" t="s">
        <v>607</v>
      </c>
      <c r="JYW338" s="42" t="s">
        <v>607</v>
      </c>
      <c r="JYX338" s="42" t="s">
        <v>607</v>
      </c>
      <c r="JYY338" s="42" t="s">
        <v>607</v>
      </c>
      <c r="JYZ338" s="42" t="s">
        <v>607</v>
      </c>
      <c r="JZA338" s="42" t="s">
        <v>607</v>
      </c>
      <c r="JZB338" s="42" t="s">
        <v>607</v>
      </c>
      <c r="JZC338" s="42" t="s">
        <v>607</v>
      </c>
      <c r="JZD338" s="42" t="s">
        <v>607</v>
      </c>
      <c r="JZE338" s="42" t="s">
        <v>607</v>
      </c>
      <c r="JZF338" s="42" t="s">
        <v>607</v>
      </c>
      <c r="JZG338" s="42" t="s">
        <v>607</v>
      </c>
      <c r="JZH338" s="42" t="s">
        <v>607</v>
      </c>
      <c r="JZI338" s="42" t="s">
        <v>607</v>
      </c>
      <c r="JZJ338" s="42" t="s">
        <v>607</v>
      </c>
      <c r="JZK338" s="42" t="s">
        <v>607</v>
      </c>
      <c r="JZL338" s="42" t="s">
        <v>607</v>
      </c>
      <c r="JZM338" s="42" t="s">
        <v>607</v>
      </c>
      <c r="JZN338" s="42" t="s">
        <v>607</v>
      </c>
      <c r="JZO338" s="42" t="s">
        <v>607</v>
      </c>
      <c r="JZP338" s="42" t="s">
        <v>607</v>
      </c>
      <c r="JZQ338" s="42" t="s">
        <v>607</v>
      </c>
      <c r="JZR338" s="42" t="s">
        <v>607</v>
      </c>
      <c r="JZS338" s="42" t="s">
        <v>607</v>
      </c>
      <c r="JZT338" s="42" t="s">
        <v>607</v>
      </c>
      <c r="JZU338" s="42" t="s">
        <v>607</v>
      </c>
      <c r="JZV338" s="42" t="s">
        <v>607</v>
      </c>
      <c r="JZW338" s="42" t="s">
        <v>607</v>
      </c>
      <c r="JZX338" s="42" t="s">
        <v>607</v>
      </c>
      <c r="JZY338" s="42" t="s">
        <v>607</v>
      </c>
      <c r="JZZ338" s="42" t="s">
        <v>607</v>
      </c>
      <c r="KAA338" s="42" t="s">
        <v>607</v>
      </c>
      <c r="KAB338" s="42" t="s">
        <v>607</v>
      </c>
      <c r="KAC338" s="42" t="s">
        <v>607</v>
      </c>
      <c r="KAD338" s="42" t="s">
        <v>607</v>
      </c>
      <c r="KAE338" s="42" t="s">
        <v>607</v>
      </c>
      <c r="KAF338" s="42" t="s">
        <v>607</v>
      </c>
      <c r="KAG338" s="42" t="s">
        <v>607</v>
      </c>
      <c r="KAH338" s="42" t="s">
        <v>607</v>
      </c>
      <c r="KAI338" s="42" t="s">
        <v>607</v>
      </c>
      <c r="KAJ338" s="42" t="s">
        <v>607</v>
      </c>
      <c r="KAK338" s="42" t="s">
        <v>607</v>
      </c>
      <c r="KAL338" s="42" t="s">
        <v>607</v>
      </c>
      <c r="KAM338" s="42" t="s">
        <v>607</v>
      </c>
      <c r="KAN338" s="42" t="s">
        <v>607</v>
      </c>
      <c r="KAO338" s="42" t="s">
        <v>607</v>
      </c>
      <c r="KAP338" s="42" t="s">
        <v>607</v>
      </c>
      <c r="KAQ338" s="42" t="s">
        <v>607</v>
      </c>
      <c r="KAR338" s="42" t="s">
        <v>607</v>
      </c>
      <c r="KAS338" s="42" t="s">
        <v>607</v>
      </c>
      <c r="KAT338" s="42" t="s">
        <v>607</v>
      </c>
      <c r="KAU338" s="42" t="s">
        <v>607</v>
      </c>
      <c r="KAV338" s="42" t="s">
        <v>607</v>
      </c>
      <c r="KAW338" s="42" t="s">
        <v>607</v>
      </c>
      <c r="KAX338" s="42" t="s">
        <v>607</v>
      </c>
      <c r="KAY338" s="42" t="s">
        <v>607</v>
      </c>
      <c r="KAZ338" s="42" t="s">
        <v>607</v>
      </c>
      <c r="KBA338" s="42" t="s">
        <v>607</v>
      </c>
      <c r="KBB338" s="42" t="s">
        <v>607</v>
      </c>
      <c r="KBC338" s="42" t="s">
        <v>607</v>
      </c>
      <c r="KBD338" s="42" t="s">
        <v>607</v>
      </c>
      <c r="KBE338" s="42" t="s">
        <v>607</v>
      </c>
      <c r="KBF338" s="42" t="s">
        <v>607</v>
      </c>
      <c r="KBG338" s="42" t="s">
        <v>607</v>
      </c>
      <c r="KBH338" s="42" t="s">
        <v>607</v>
      </c>
      <c r="KBI338" s="42" t="s">
        <v>607</v>
      </c>
      <c r="KBJ338" s="42" t="s">
        <v>607</v>
      </c>
      <c r="KBK338" s="42" t="s">
        <v>607</v>
      </c>
      <c r="KBL338" s="42" t="s">
        <v>607</v>
      </c>
      <c r="KBM338" s="42" t="s">
        <v>607</v>
      </c>
      <c r="KBN338" s="42" t="s">
        <v>607</v>
      </c>
      <c r="KBO338" s="42" t="s">
        <v>607</v>
      </c>
      <c r="KBP338" s="42" t="s">
        <v>607</v>
      </c>
      <c r="KBQ338" s="42" t="s">
        <v>607</v>
      </c>
      <c r="KBR338" s="42" t="s">
        <v>607</v>
      </c>
      <c r="KBS338" s="42" t="s">
        <v>607</v>
      </c>
      <c r="KBT338" s="42" t="s">
        <v>607</v>
      </c>
      <c r="KBU338" s="42" t="s">
        <v>607</v>
      </c>
      <c r="KBV338" s="42" t="s">
        <v>607</v>
      </c>
      <c r="KBW338" s="42" t="s">
        <v>607</v>
      </c>
      <c r="KBX338" s="42" t="s">
        <v>607</v>
      </c>
      <c r="KBY338" s="42" t="s">
        <v>607</v>
      </c>
      <c r="KBZ338" s="42" t="s">
        <v>607</v>
      </c>
      <c r="KCA338" s="42" t="s">
        <v>607</v>
      </c>
      <c r="KCB338" s="42" t="s">
        <v>607</v>
      </c>
      <c r="KCC338" s="42" t="s">
        <v>607</v>
      </c>
      <c r="KCD338" s="42" t="s">
        <v>607</v>
      </c>
      <c r="KCE338" s="42" t="s">
        <v>607</v>
      </c>
      <c r="KCF338" s="42" t="s">
        <v>607</v>
      </c>
      <c r="KCG338" s="42" t="s">
        <v>607</v>
      </c>
      <c r="KCH338" s="42" t="s">
        <v>607</v>
      </c>
      <c r="KCI338" s="42" t="s">
        <v>607</v>
      </c>
      <c r="KCJ338" s="42" t="s">
        <v>607</v>
      </c>
      <c r="KCK338" s="42" t="s">
        <v>607</v>
      </c>
      <c r="KCL338" s="42" t="s">
        <v>607</v>
      </c>
      <c r="KCM338" s="42" t="s">
        <v>607</v>
      </c>
      <c r="KCN338" s="42" t="s">
        <v>607</v>
      </c>
      <c r="KCO338" s="42" t="s">
        <v>607</v>
      </c>
      <c r="KCP338" s="42" t="s">
        <v>607</v>
      </c>
      <c r="KCQ338" s="42" t="s">
        <v>607</v>
      </c>
      <c r="KCR338" s="42" t="s">
        <v>607</v>
      </c>
      <c r="KCS338" s="42" t="s">
        <v>607</v>
      </c>
      <c r="KCT338" s="42" t="s">
        <v>607</v>
      </c>
      <c r="KCU338" s="42" t="s">
        <v>607</v>
      </c>
      <c r="KCV338" s="42" t="s">
        <v>607</v>
      </c>
      <c r="KCW338" s="42" t="s">
        <v>607</v>
      </c>
      <c r="KCX338" s="42" t="s">
        <v>607</v>
      </c>
      <c r="KCY338" s="42" t="s">
        <v>607</v>
      </c>
      <c r="KCZ338" s="42" t="s">
        <v>607</v>
      </c>
      <c r="KDA338" s="42" t="s">
        <v>607</v>
      </c>
      <c r="KDB338" s="42" t="s">
        <v>607</v>
      </c>
      <c r="KDC338" s="42" t="s">
        <v>607</v>
      </c>
      <c r="KDD338" s="42" t="s">
        <v>607</v>
      </c>
      <c r="KDE338" s="42" t="s">
        <v>607</v>
      </c>
      <c r="KDF338" s="42" t="s">
        <v>607</v>
      </c>
      <c r="KDG338" s="42" t="s">
        <v>607</v>
      </c>
      <c r="KDH338" s="42" t="s">
        <v>607</v>
      </c>
      <c r="KDI338" s="42" t="s">
        <v>607</v>
      </c>
      <c r="KDJ338" s="42" t="s">
        <v>607</v>
      </c>
      <c r="KDK338" s="42" t="s">
        <v>607</v>
      </c>
      <c r="KDL338" s="42" t="s">
        <v>607</v>
      </c>
      <c r="KDM338" s="42" t="s">
        <v>607</v>
      </c>
      <c r="KDN338" s="42" t="s">
        <v>607</v>
      </c>
      <c r="KDO338" s="42" t="s">
        <v>607</v>
      </c>
      <c r="KDP338" s="42" t="s">
        <v>607</v>
      </c>
      <c r="KDQ338" s="42" t="s">
        <v>607</v>
      </c>
      <c r="KDR338" s="42" t="s">
        <v>607</v>
      </c>
      <c r="KDS338" s="42" t="s">
        <v>607</v>
      </c>
      <c r="KDT338" s="42" t="s">
        <v>607</v>
      </c>
      <c r="KDU338" s="42" t="s">
        <v>607</v>
      </c>
      <c r="KDV338" s="42" t="s">
        <v>607</v>
      </c>
      <c r="KDW338" s="42" t="s">
        <v>607</v>
      </c>
      <c r="KDX338" s="42" t="s">
        <v>607</v>
      </c>
      <c r="KDY338" s="42" t="s">
        <v>607</v>
      </c>
      <c r="KDZ338" s="42" t="s">
        <v>607</v>
      </c>
      <c r="KEA338" s="42" t="s">
        <v>607</v>
      </c>
      <c r="KEB338" s="42" t="s">
        <v>607</v>
      </c>
      <c r="KEC338" s="42" t="s">
        <v>607</v>
      </c>
      <c r="KED338" s="42" t="s">
        <v>607</v>
      </c>
      <c r="KEE338" s="42" t="s">
        <v>607</v>
      </c>
      <c r="KEF338" s="42" t="s">
        <v>607</v>
      </c>
      <c r="KEG338" s="42" t="s">
        <v>607</v>
      </c>
      <c r="KEH338" s="42" t="s">
        <v>607</v>
      </c>
      <c r="KEI338" s="42" t="s">
        <v>607</v>
      </c>
      <c r="KEJ338" s="42" t="s">
        <v>607</v>
      </c>
      <c r="KEK338" s="42" t="s">
        <v>607</v>
      </c>
      <c r="KEL338" s="42" t="s">
        <v>607</v>
      </c>
      <c r="KEM338" s="42" t="s">
        <v>607</v>
      </c>
      <c r="KEN338" s="42" t="s">
        <v>607</v>
      </c>
      <c r="KEO338" s="42" t="s">
        <v>607</v>
      </c>
      <c r="KEP338" s="42" t="s">
        <v>607</v>
      </c>
      <c r="KEQ338" s="42" t="s">
        <v>607</v>
      </c>
      <c r="KER338" s="42" t="s">
        <v>607</v>
      </c>
      <c r="KES338" s="42" t="s">
        <v>607</v>
      </c>
      <c r="KET338" s="42" t="s">
        <v>607</v>
      </c>
      <c r="KEU338" s="42" t="s">
        <v>607</v>
      </c>
      <c r="KEV338" s="42" t="s">
        <v>607</v>
      </c>
      <c r="KEW338" s="42" t="s">
        <v>607</v>
      </c>
      <c r="KEX338" s="42" t="s">
        <v>607</v>
      </c>
      <c r="KEY338" s="42" t="s">
        <v>607</v>
      </c>
      <c r="KEZ338" s="42" t="s">
        <v>607</v>
      </c>
      <c r="KFA338" s="42" t="s">
        <v>607</v>
      </c>
      <c r="KFB338" s="42" t="s">
        <v>607</v>
      </c>
      <c r="KFC338" s="42" t="s">
        <v>607</v>
      </c>
      <c r="KFD338" s="42" t="s">
        <v>607</v>
      </c>
      <c r="KFE338" s="42" t="s">
        <v>607</v>
      </c>
      <c r="KFF338" s="42" t="s">
        <v>607</v>
      </c>
      <c r="KFG338" s="42" t="s">
        <v>607</v>
      </c>
      <c r="KFH338" s="42" t="s">
        <v>607</v>
      </c>
      <c r="KFI338" s="42" t="s">
        <v>607</v>
      </c>
      <c r="KFJ338" s="42" t="s">
        <v>607</v>
      </c>
      <c r="KFK338" s="42" t="s">
        <v>607</v>
      </c>
      <c r="KFL338" s="42" t="s">
        <v>607</v>
      </c>
      <c r="KFM338" s="42" t="s">
        <v>607</v>
      </c>
      <c r="KFN338" s="42" t="s">
        <v>607</v>
      </c>
      <c r="KFO338" s="42" t="s">
        <v>607</v>
      </c>
      <c r="KFP338" s="42" t="s">
        <v>607</v>
      </c>
      <c r="KFQ338" s="42" t="s">
        <v>607</v>
      </c>
      <c r="KFR338" s="42" t="s">
        <v>607</v>
      </c>
      <c r="KFS338" s="42" t="s">
        <v>607</v>
      </c>
      <c r="KFT338" s="42" t="s">
        <v>607</v>
      </c>
      <c r="KFU338" s="42" t="s">
        <v>607</v>
      </c>
      <c r="KFV338" s="42" t="s">
        <v>607</v>
      </c>
      <c r="KFW338" s="42" t="s">
        <v>607</v>
      </c>
      <c r="KFX338" s="42" t="s">
        <v>607</v>
      </c>
      <c r="KFY338" s="42" t="s">
        <v>607</v>
      </c>
      <c r="KFZ338" s="42" t="s">
        <v>607</v>
      </c>
      <c r="KGA338" s="42" t="s">
        <v>607</v>
      </c>
      <c r="KGB338" s="42" t="s">
        <v>607</v>
      </c>
      <c r="KGC338" s="42" t="s">
        <v>607</v>
      </c>
      <c r="KGD338" s="42" t="s">
        <v>607</v>
      </c>
      <c r="KGE338" s="42" t="s">
        <v>607</v>
      </c>
      <c r="KGF338" s="42" t="s">
        <v>607</v>
      </c>
      <c r="KGG338" s="42" t="s">
        <v>607</v>
      </c>
      <c r="KGH338" s="42" t="s">
        <v>607</v>
      </c>
      <c r="KGI338" s="42" t="s">
        <v>607</v>
      </c>
      <c r="KGJ338" s="42" t="s">
        <v>607</v>
      </c>
      <c r="KGK338" s="42" t="s">
        <v>607</v>
      </c>
      <c r="KGL338" s="42" t="s">
        <v>607</v>
      </c>
      <c r="KGM338" s="42" t="s">
        <v>607</v>
      </c>
      <c r="KGN338" s="42" t="s">
        <v>607</v>
      </c>
      <c r="KGO338" s="42" t="s">
        <v>607</v>
      </c>
      <c r="KGP338" s="42" t="s">
        <v>607</v>
      </c>
      <c r="KGQ338" s="42" t="s">
        <v>607</v>
      </c>
      <c r="KGR338" s="42" t="s">
        <v>607</v>
      </c>
      <c r="KGS338" s="42" t="s">
        <v>607</v>
      </c>
      <c r="KGT338" s="42" t="s">
        <v>607</v>
      </c>
      <c r="KGU338" s="42" t="s">
        <v>607</v>
      </c>
      <c r="KGV338" s="42" t="s">
        <v>607</v>
      </c>
      <c r="KGW338" s="42" t="s">
        <v>607</v>
      </c>
      <c r="KGX338" s="42" t="s">
        <v>607</v>
      </c>
      <c r="KGY338" s="42" t="s">
        <v>607</v>
      </c>
      <c r="KGZ338" s="42" t="s">
        <v>607</v>
      </c>
      <c r="KHA338" s="42" t="s">
        <v>607</v>
      </c>
      <c r="KHB338" s="42" t="s">
        <v>607</v>
      </c>
      <c r="KHC338" s="42" t="s">
        <v>607</v>
      </c>
      <c r="KHD338" s="42" t="s">
        <v>607</v>
      </c>
      <c r="KHE338" s="42" t="s">
        <v>607</v>
      </c>
      <c r="KHF338" s="42" t="s">
        <v>607</v>
      </c>
      <c r="KHG338" s="42" t="s">
        <v>607</v>
      </c>
      <c r="KHH338" s="42" t="s">
        <v>607</v>
      </c>
      <c r="KHI338" s="42" t="s">
        <v>607</v>
      </c>
      <c r="KHJ338" s="42" t="s">
        <v>607</v>
      </c>
      <c r="KHK338" s="42" t="s">
        <v>607</v>
      </c>
      <c r="KHL338" s="42" t="s">
        <v>607</v>
      </c>
      <c r="KHM338" s="42" t="s">
        <v>607</v>
      </c>
      <c r="KHN338" s="42" t="s">
        <v>607</v>
      </c>
      <c r="KHO338" s="42" t="s">
        <v>607</v>
      </c>
      <c r="KHP338" s="42" t="s">
        <v>607</v>
      </c>
      <c r="KHQ338" s="42" t="s">
        <v>607</v>
      </c>
      <c r="KHR338" s="42" t="s">
        <v>607</v>
      </c>
      <c r="KHS338" s="42" t="s">
        <v>607</v>
      </c>
      <c r="KHT338" s="42" t="s">
        <v>607</v>
      </c>
      <c r="KHU338" s="42" t="s">
        <v>607</v>
      </c>
      <c r="KHV338" s="42" t="s">
        <v>607</v>
      </c>
      <c r="KHW338" s="42" t="s">
        <v>607</v>
      </c>
      <c r="KHX338" s="42" t="s">
        <v>607</v>
      </c>
      <c r="KHY338" s="42" t="s">
        <v>607</v>
      </c>
      <c r="KHZ338" s="42" t="s">
        <v>607</v>
      </c>
      <c r="KIA338" s="42" t="s">
        <v>607</v>
      </c>
      <c r="KIB338" s="42" t="s">
        <v>607</v>
      </c>
      <c r="KIC338" s="42" t="s">
        <v>607</v>
      </c>
      <c r="KID338" s="42" t="s">
        <v>607</v>
      </c>
      <c r="KIE338" s="42" t="s">
        <v>607</v>
      </c>
      <c r="KIF338" s="42" t="s">
        <v>607</v>
      </c>
      <c r="KIG338" s="42" t="s">
        <v>607</v>
      </c>
      <c r="KIH338" s="42" t="s">
        <v>607</v>
      </c>
      <c r="KII338" s="42" t="s">
        <v>607</v>
      </c>
      <c r="KIJ338" s="42" t="s">
        <v>607</v>
      </c>
      <c r="KIK338" s="42" t="s">
        <v>607</v>
      </c>
      <c r="KIL338" s="42" t="s">
        <v>607</v>
      </c>
      <c r="KIM338" s="42" t="s">
        <v>607</v>
      </c>
      <c r="KIN338" s="42" t="s">
        <v>607</v>
      </c>
      <c r="KIO338" s="42" t="s">
        <v>607</v>
      </c>
      <c r="KIP338" s="42" t="s">
        <v>607</v>
      </c>
      <c r="KIQ338" s="42" t="s">
        <v>607</v>
      </c>
      <c r="KIR338" s="42" t="s">
        <v>607</v>
      </c>
      <c r="KIS338" s="42" t="s">
        <v>607</v>
      </c>
      <c r="KIT338" s="42" t="s">
        <v>607</v>
      </c>
      <c r="KIU338" s="42" t="s">
        <v>607</v>
      </c>
      <c r="KIV338" s="42" t="s">
        <v>607</v>
      </c>
      <c r="KIW338" s="42" t="s">
        <v>607</v>
      </c>
      <c r="KIX338" s="42" t="s">
        <v>607</v>
      </c>
      <c r="KIY338" s="42" t="s">
        <v>607</v>
      </c>
      <c r="KIZ338" s="42" t="s">
        <v>607</v>
      </c>
      <c r="KJA338" s="42" t="s">
        <v>607</v>
      </c>
      <c r="KJB338" s="42" t="s">
        <v>607</v>
      </c>
      <c r="KJC338" s="42" t="s">
        <v>607</v>
      </c>
      <c r="KJD338" s="42" t="s">
        <v>607</v>
      </c>
      <c r="KJE338" s="42" t="s">
        <v>607</v>
      </c>
      <c r="KJF338" s="42" t="s">
        <v>607</v>
      </c>
      <c r="KJG338" s="42" t="s">
        <v>607</v>
      </c>
      <c r="KJH338" s="42" t="s">
        <v>607</v>
      </c>
      <c r="KJI338" s="42" t="s">
        <v>607</v>
      </c>
      <c r="KJJ338" s="42" t="s">
        <v>607</v>
      </c>
      <c r="KJK338" s="42" t="s">
        <v>607</v>
      </c>
      <c r="KJL338" s="42" t="s">
        <v>607</v>
      </c>
      <c r="KJM338" s="42" t="s">
        <v>607</v>
      </c>
      <c r="KJN338" s="42" t="s">
        <v>607</v>
      </c>
      <c r="KJO338" s="42" t="s">
        <v>607</v>
      </c>
      <c r="KJP338" s="42" t="s">
        <v>607</v>
      </c>
      <c r="KJQ338" s="42" t="s">
        <v>607</v>
      </c>
      <c r="KJR338" s="42" t="s">
        <v>607</v>
      </c>
      <c r="KJS338" s="42" t="s">
        <v>607</v>
      </c>
      <c r="KJT338" s="42" t="s">
        <v>607</v>
      </c>
      <c r="KJU338" s="42" t="s">
        <v>607</v>
      </c>
      <c r="KJV338" s="42" t="s">
        <v>607</v>
      </c>
      <c r="KJW338" s="42" t="s">
        <v>607</v>
      </c>
      <c r="KJX338" s="42" t="s">
        <v>607</v>
      </c>
      <c r="KJY338" s="42" t="s">
        <v>607</v>
      </c>
      <c r="KJZ338" s="42" t="s">
        <v>607</v>
      </c>
      <c r="KKA338" s="42" t="s">
        <v>607</v>
      </c>
      <c r="KKB338" s="42" t="s">
        <v>607</v>
      </c>
      <c r="KKC338" s="42" t="s">
        <v>607</v>
      </c>
      <c r="KKD338" s="42" t="s">
        <v>607</v>
      </c>
      <c r="KKE338" s="42" t="s">
        <v>607</v>
      </c>
      <c r="KKF338" s="42" t="s">
        <v>607</v>
      </c>
      <c r="KKG338" s="42" t="s">
        <v>607</v>
      </c>
      <c r="KKH338" s="42" t="s">
        <v>607</v>
      </c>
      <c r="KKI338" s="42" t="s">
        <v>607</v>
      </c>
      <c r="KKJ338" s="42" t="s">
        <v>607</v>
      </c>
      <c r="KKK338" s="42" t="s">
        <v>607</v>
      </c>
      <c r="KKL338" s="42" t="s">
        <v>607</v>
      </c>
      <c r="KKM338" s="42" t="s">
        <v>607</v>
      </c>
      <c r="KKN338" s="42" t="s">
        <v>607</v>
      </c>
      <c r="KKO338" s="42" t="s">
        <v>607</v>
      </c>
      <c r="KKP338" s="42" t="s">
        <v>607</v>
      </c>
      <c r="KKQ338" s="42" t="s">
        <v>607</v>
      </c>
      <c r="KKR338" s="42" t="s">
        <v>607</v>
      </c>
      <c r="KKS338" s="42" t="s">
        <v>607</v>
      </c>
      <c r="KKT338" s="42" t="s">
        <v>607</v>
      </c>
      <c r="KKU338" s="42" t="s">
        <v>607</v>
      </c>
      <c r="KKV338" s="42" t="s">
        <v>607</v>
      </c>
      <c r="KKW338" s="42" t="s">
        <v>607</v>
      </c>
      <c r="KKX338" s="42" t="s">
        <v>607</v>
      </c>
      <c r="KKY338" s="42" t="s">
        <v>607</v>
      </c>
      <c r="KKZ338" s="42" t="s">
        <v>607</v>
      </c>
      <c r="KLA338" s="42" t="s">
        <v>607</v>
      </c>
      <c r="KLB338" s="42" t="s">
        <v>607</v>
      </c>
      <c r="KLC338" s="42" t="s">
        <v>607</v>
      </c>
      <c r="KLD338" s="42" t="s">
        <v>607</v>
      </c>
      <c r="KLE338" s="42" t="s">
        <v>607</v>
      </c>
      <c r="KLF338" s="42" t="s">
        <v>607</v>
      </c>
      <c r="KLG338" s="42" t="s">
        <v>607</v>
      </c>
      <c r="KLH338" s="42" t="s">
        <v>607</v>
      </c>
      <c r="KLI338" s="42" t="s">
        <v>607</v>
      </c>
      <c r="KLJ338" s="42" t="s">
        <v>607</v>
      </c>
      <c r="KLK338" s="42" t="s">
        <v>607</v>
      </c>
      <c r="KLL338" s="42" t="s">
        <v>607</v>
      </c>
      <c r="KLM338" s="42" t="s">
        <v>607</v>
      </c>
      <c r="KLN338" s="42" t="s">
        <v>607</v>
      </c>
      <c r="KLO338" s="42" t="s">
        <v>607</v>
      </c>
      <c r="KLP338" s="42" t="s">
        <v>607</v>
      </c>
      <c r="KLQ338" s="42" t="s">
        <v>607</v>
      </c>
      <c r="KLR338" s="42" t="s">
        <v>607</v>
      </c>
      <c r="KLS338" s="42" t="s">
        <v>607</v>
      </c>
      <c r="KLT338" s="42" t="s">
        <v>607</v>
      </c>
      <c r="KLU338" s="42" t="s">
        <v>607</v>
      </c>
      <c r="KLV338" s="42" t="s">
        <v>607</v>
      </c>
      <c r="KLW338" s="42" t="s">
        <v>607</v>
      </c>
      <c r="KLX338" s="42" t="s">
        <v>607</v>
      </c>
      <c r="KLY338" s="42" t="s">
        <v>607</v>
      </c>
      <c r="KLZ338" s="42" t="s">
        <v>607</v>
      </c>
      <c r="KMA338" s="42" t="s">
        <v>607</v>
      </c>
      <c r="KMB338" s="42" t="s">
        <v>607</v>
      </c>
      <c r="KMC338" s="42" t="s">
        <v>607</v>
      </c>
      <c r="KMD338" s="42" t="s">
        <v>607</v>
      </c>
      <c r="KME338" s="42" t="s">
        <v>607</v>
      </c>
      <c r="KMF338" s="42" t="s">
        <v>607</v>
      </c>
      <c r="KMG338" s="42" t="s">
        <v>607</v>
      </c>
      <c r="KMH338" s="42" t="s">
        <v>607</v>
      </c>
      <c r="KMI338" s="42" t="s">
        <v>607</v>
      </c>
      <c r="KMJ338" s="42" t="s">
        <v>607</v>
      </c>
      <c r="KMK338" s="42" t="s">
        <v>607</v>
      </c>
      <c r="KML338" s="42" t="s">
        <v>607</v>
      </c>
      <c r="KMM338" s="42" t="s">
        <v>607</v>
      </c>
      <c r="KMN338" s="42" t="s">
        <v>607</v>
      </c>
      <c r="KMO338" s="42" t="s">
        <v>607</v>
      </c>
      <c r="KMP338" s="42" t="s">
        <v>607</v>
      </c>
      <c r="KMQ338" s="42" t="s">
        <v>607</v>
      </c>
      <c r="KMR338" s="42" t="s">
        <v>607</v>
      </c>
      <c r="KMS338" s="42" t="s">
        <v>607</v>
      </c>
      <c r="KMT338" s="42" t="s">
        <v>607</v>
      </c>
      <c r="KMU338" s="42" t="s">
        <v>607</v>
      </c>
      <c r="KMV338" s="42" t="s">
        <v>607</v>
      </c>
      <c r="KMW338" s="42" t="s">
        <v>607</v>
      </c>
      <c r="KMX338" s="42" t="s">
        <v>607</v>
      </c>
      <c r="KMY338" s="42" t="s">
        <v>607</v>
      </c>
      <c r="KMZ338" s="42" t="s">
        <v>607</v>
      </c>
      <c r="KNA338" s="42" t="s">
        <v>607</v>
      </c>
      <c r="KNB338" s="42" t="s">
        <v>607</v>
      </c>
      <c r="KNC338" s="42" t="s">
        <v>607</v>
      </c>
      <c r="KND338" s="42" t="s">
        <v>607</v>
      </c>
      <c r="KNE338" s="42" t="s">
        <v>607</v>
      </c>
      <c r="KNF338" s="42" t="s">
        <v>607</v>
      </c>
      <c r="KNG338" s="42" t="s">
        <v>607</v>
      </c>
      <c r="KNH338" s="42" t="s">
        <v>607</v>
      </c>
      <c r="KNI338" s="42" t="s">
        <v>607</v>
      </c>
      <c r="KNJ338" s="42" t="s">
        <v>607</v>
      </c>
      <c r="KNK338" s="42" t="s">
        <v>607</v>
      </c>
      <c r="KNL338" s="42" t="s">
        <v>607</v>
      </c>
      <c r="KNM338" s="42" t="s">
        <v>607</v>
      </c>
      <c r="KNN338" s="42" t="s">
        <v>607</v>
      </c>
      <c r="KNO338" s="42" t="s">
        <v>607</v>
      </c>
      <c r="KNP338" s="42" t="s">
        <v>607</v>
      </c>
      <c r="KNQ338" s="42" t="s">
        <v>607</v>
      </c>
      <c r="KNR338" s="42" t="s">
        <v>607</v>
      </c>
      <c r="KNS338" s="42" t="s">
        <v>607</v>
      </c>
      <c r="KNT338" s="42" t="s">
        <v>607</v>
      </c>
      <c r="KNU338" s="42" t="s">
        <v>607</v>
      </c>
      <c r="KNV338" s="42" t="s">
        <v>607</v>
      </c>
      <c r="KNW338" s="42" t="s">
        <v>607</v>
      </c>
      <c r="KNX338" s="42" t="s">
        <v>607</v>
      </c>
      <c r="KNY338" s="42" t="s">
        <v>607</v>
      </c>
      <c r="KNZ338" s="42" t="s">
        <v>607</v>
      </c>
      <c r="KOA338" s="42" t="s">
        <v>607</v>
      </c>
      <c r="KOB338" s="42" t="s">
        <v>607</v>
      </c>
      <c r="KOC338" s="42" t="s">
        <v>607</v>
      </c>
      <c r="KOD338" s="42" t="s">
        <v>607</v>
      </c>
      <c r="KOE338" s="42" t="s">
        <v>607</v>
      </c>
      <c r="KOF338" s="42" t="s">
        <v>607</v>
      </c>
      <c r="KOG338" s="42" t="s">
        <v>607</v>
      </c>
      <c r="KOH338" s="42" t="s">
        <v>607</v>
      </c>
      <c r="KOI338" s="42" t="s">
        <v>607</v>
      </c>
      <c r="KOJ338" s="42" t="s">
        <v>607</v>
      </c>
      <c r="KOK338" s="42" t="s">
        <v>607</v>
      </c>
      <c r="KOL338" s="42" t="s">
        <v>607</v>
      </c>
      <c r="KOM338" s="42" t="s">
        <v>607</v>
      </c>
      <c r="KON338" s="42" t="s">
        <v>607</v>
      </c>
      <c r="KOO338" s="42" t="s">
        <v>607</v>
      </c>
      <c r="KOP338" s="42" t="s">
        <v>607</v>
      </c>
      <c r="KOQ338" s="42" t="s">
        <v>607</v>
      </c>
      <c r="KOR338" s="42" t="s">
        <v>607</v>
      </c>
      <c r="KOS338" s="42" t="s">
        <v>607</v>
      </c>
      <c r="KOT338" s="42" t="s">
        <v>607</v>
      </c>
      <c r="KOU338" s="42" t="s">
        <v>607</v>
      </c>
      <c r="KOV338" s="42" t="s">
        <v>607</v>
      </c>
      <c r="KOW338" s="42" t="s">
        <v>607</v>
      </c>
      <c r="KOX338" s="42" t="s">
        <v>607</v>
      </c>
      <c r="KOY338" s="42" t="s">
        <v>607</v>
      </c>
      <c r="KOZ338" s="42" t="s">
        <v>607</v>
      </c>
      <c r="KPA338" s="42" t="s">
        <v>607</v>
      </c>
      <c r="KPB338" s="42" t="s">
        <v>607</v>
      </c>
      <c r="KPC338" s="42" t="s">
        <v>607</v>
      </c>
      <c r="KPD338" s="42" t="s">
        <v>607</v>
      </c>
      <c r="KPE338" s="42" t="s">
        <v>607</v>
      </c>
      <c r="KPF338" s="42" t="s">
        <v>607</v>
      </c>
      <c r="KPG338" s="42" t="s">
        <v>607</v>
      </c>
      <c r="KPH338" s="42" t="s">
        <v>607</v>
      </c>
      <c r="KPI338" s="42" t="s">
        <v>607</v>
      </c>
      <c r="KPJ338" s="42" t="s">
        <v>607</v>
      </c>
      <c r="KPK338" s="42" t="s">
        <v>607</v>
      </c>
      <c r="KPL338" s="42" t="s">
        <v>607</v>
      </c>
      <c r="KPM338" s="42" t="s">
        <v>607</v>
      </c>
      <c r="KPN338" s="42" t="s">
        <v>607</v>
      </c>
      <c r="KPO338" s="42" t="s">
        <v>607</v>
      </c>
      <c r="KPP338" s="42" t="s">
        <v>607</v>
      </c>
      <c r="KPQ338" s="42" t="s">
        <v>607</v>
      </c>
      <c r="KPR338" s="42" t="s">
        <v>607</v>
      </c>
      <c r="KPS338" s="42" t="s">
        <v>607</v>
      </c>
      <c r="KPT338" s="42" t="s">
        <v>607</v>
      </c>
      <c r="KPU338" s="42" t="s">
        <v>607</v>
      </c>
      <c r="KPV338" s="42" t="s">
        <v>607</v>
      </c>
      <c r="KPW338" s="42" t="s">
        <v>607</v>
      </c>
      <c r="KPX338" s="42" t="s">
        <v>607</v>
      </c>
      <c r="KPY338" s="42" t="s">
        <v>607</v>
      </c>
      <c r="KPZ338" s="42" t="s">
        <v>607</v>
      </c>
      <c r="KQA338" s="42" t="s">
        <v>607</v>
      </c>
      <c r="KQB338" s="42" t="s">
        <v>607</v>
      </c>
      <c r="KQC338" s="42" t="s">
        <v>607</v>
      </c>
      <c r="KQD338" s="42" t="s">
        <v>607</v>
      </c>
      <c r="KQE338" s="42" t="s">
        <v>607</v>
      </c>
      <c r="KQF338" s="42" t="s">
        <v>607</v>
      </c>
      <c r="KQG338" s="42" t="s">
        <v>607</v>
      </c>
      <c r="KQH338" s="42" t="s">
        <v>607</v>
      </c>
      <c r="KQI338" s="42" t="s">
        <v>607</v>
      </c>
      <c r="KQJ338" s="42" t="s">
        <v>607</v>
      </c>
      <c r="KQK338" s="42" t="s">
        <v>607</v>
      </c>
      <c r="KQL338" s="42" t="s">
        <v>607</v>
      </c>
      <c r="KQM338" s="42" t="s">
        <v>607</v>
      </c>
      <c r="KQN338" s="42" t="s">
        <v>607</v>
      </c>
      <c r="KQO338" s="42" t="s">
        <v>607</v>
      </c>
      <c r="KQP338" s="42" t="s">
        <v>607</v>
      </c>
      <c r="KQQ338" s="42" t="s">
        <v>607</v>
      </c>
      <c r="KQR338" s="42" t="s">
        <v>607</v>
      </c>
      <c r="KQS338" s="42" t="s">
        <v>607</v>
      </c>
      <c r="KQT338" s="42" t="s">
        <v>607</v>
      </c>
      <c r="KQU338" s="42" t="s">
        <v>607</v>
      </c>
      <c r="KQV338" s="42" t="s">
        <v>607</v>
      </c>
      <c r="KQW338" s="42" t="s">
        <v>607</v>
      </c>
      <c r="KQX338" s="42" t="s">
        <v>607</v>
      </c>
      <c r="KQY338" s="42" t="s">
        <v>607</v>
      </c>
      <c r="KQZ338" s="42" t="s">
        <v>607</v>
      </c>
      <c r="KRA338" s="42" t="s">
        <v>607</v>
      </c>
      <c r="KRB338" s="42" t="s">
        <v>607</v>
      </c>
      <c r="KRC338" s="42" t="s">
        <v>607</v>
      </c>
      <c r="KRD338" s="42" t="s">
        <v>607</v>
      </c>
      <c r="KRE338" s="42" t="s">
        <v>607</v>
      </c>
      <c r="KRF338" s="42" t="s">
        <v>607</v>
      </c>
      <c r="KRG338" s="42" t="s">
        <v>607</v>
      </c>
      <c r="KRH338" s="42" t="s">
        <v>607</v>
      </c>
      <c r="KRI338" s="42" t="s">
        <v>607</v>
      </c>
      <c r="KRJ338" s="42" t="s">
        <v>607</v>
      </c>
      <c r="KRK338" s="42" t="s">
        <v>607</v>
      </c>
      <c r="KRL338" s="42" t="s">
        <v>607</v>
      </c>
      <c r="KRM338" s="42" t="s">
        <v>607</v>
      </c>
      <c r="KRN338" s="42" t="s">
        <v>607</v>
      </c>
      <c r="KRO338" s="42" t="s">
        <v>607</v>
      </c>
      <c r="KRP338" s="42" t="s">
        <v>607</v>
      </c>
      <c r="KRQ338" s="42" t="s">
        <v>607</v>
      </c>
      <c r="KRR338" s="42" t="s">
        <v>607</v>
      </c>
      <c r="KRS338" s="42" t="s">
        <v>607</v>
      </c>
      <c r="KRT338" s="42" t="s">
        <v>607</v>
      </c>
      <c r="KRU338" s="42" t="s">
        <v>607</v>
      </c>
      <c r="KRV338" s="42" t="s">
        <v>607</v>
      </c>
      <c r="KRW338" s="42" t="s">
        <v>607</v>
      </c>
      <c r="KRX338" s="42" t="s">
        <v>607</v>
      </c>
      <c r="KRY338" s="42" t="s">
        <v>607</v>
      </c>
      <c r="KRZ338" s="42" t="s">
        <v>607</v>
      </c>
      <c r="KSA338" s="42" t="s">
        <v>607</v>
      </c>
      <c r="KSB338" s="42" t="s">
        <v>607</v>
      </c>
      <c r="KSC338" s="42" t="s">
        <v>607</v>
      </c>
      <c r="KSD338" s="42" t="s">
        <v>607</v>
      </c>
      <c r="KSE338" s="42" t="s">
        <v>607</v>
      </c>
      <c r="KSF338" s="42" t="s">
        <v>607</v>
      </c>
      <c r="KSG338" s="42" t="s">
        <v>607</v>
      </c>
      <c r="KSH338" s="42" t="s">
        <v>607</v>
      </c>
      <c r="KSI338" s="42" t="s">
        <v>607</v>
      </c>
      <c r="KSJ338" s="42" t="s">
        <v>607</v>
      </c>
      <c r="KSK338" s="42" t="s">
        <v>607</v>
      </c>
      <c r="KSL338" s="42" t="s">
        <v>607</v>
      </c>
      <c r="KSM338" s="42" t="s">
        <v>607</v>
      </c>
      <c r="KSN338" s="42" t="s">
        <v>607</v>
      </c>
      <c r="KSO338" s="42" t="s">
        <v>607</v>
      </c>
      <c r="KSP338" s="42" t="s">
        <v>607</v>
      </c>
      <c r="KSQ338" s="42" t="s">
        <v>607</v>
      </c>
      <c r="KSR338" s="42" t="s">
        <v>607</v>
      </c>
      <c r="KSS338" s="42" t="s">
        <v>607</v>
      </c>
      <c r="KST338" s="42" t="s">
        <v>607</v>
      </c>
      <c r="KSU338" s="42" t="s">
        <v>607</v>
      </c>
      <c r="KSV338" s="42" t="s">
        <v>607</v>
      </c>
      <c r="KSW338" s="42" t="s">
        <v>607</v>
      </c>
      <c r="KSX338" s="42" t="s">
        <v>607</v>
      </c>
      <c r="KSY338" s="42" t="s">
        <v>607</v>
      </c>
      <c r="KSZ338" s="42" t="s">
        <v>607</v>
      </c>
      <c r="KTA338" s="42" t="s">
        <v>607</v>
      </c>
      <c r="KTB338" s="42" t="s">
        <v>607</v>
      </c>
      <c r="KTC338" s="42" t="s">
        <v>607</v>
      </c>
      <c r="KTD338" s="42" t="s">
        <v>607</v>
      </c>
      <c r="KTE338" s="42" t="s">
        <v>607</v>
      </c>
      <c r="KTF338" s="42" t="s">
        <v>607</v>
      </c>
      <c r="KTG338" s="42" t="s">
        <v>607</v>
      </c>
      <c r="KTH338" s="42" t="s">
        <v>607</v>
      </c>
      <c r="KTI338" s="42" t="s">
        <v>607</v>
      </c>
      <c r="KTJ338" s="42" t="s">
        <v>607</v>
      </c>
      <c r="KTK338" s="42" t="s">
        <v>607</v>
      </c>
      <c r="KTL338" s="42" t="s">
        <v>607</v>
      </c>
      <c r="KTM338" s="42" t="s">
        <v>607</v>
      </c>
      <c r="KTN338" s="42" t="s">
        <v>607</v>
      </c>
      <c r="KTO338" s="42" t="s">
        <v>607</v>
      </c>
      <c r="KTP338" s="42" t="s">
        <v>607</v>
      </c>
      <c r="KTQ338" s="42" t="s">
        <v>607</v>
      </c>
      <c r="KTR338" s="42" t="s">
        <v>607</v>
      </c>
      <c r="KTS338" s="42" t="s">
        <v>607</v>
      </c>
      <c r="KTT338" s="42" t="s">
        <v>607</v>
      </c>
      <c r="KTU338" s="42" t="s">
        <v>607</v>
      </c>
      <c r="KTV338" s="42" t="s">
        <v>607</v>
      </c>
      <c r="KTW338" s="42" t="s">
        <v>607</v>
      </c>
      <c r="KTX338" s="42" t="s">
        <v>607</v>
      </c>
      <c r="KTY338" s="42" t="s">
        <v>607</v>
      </c>
      <c r="KTZ338" s="42" t="s">
        <v>607</v>
      </c>
      <c r="KUA338" s="42" t="s">
        <v>607</v>
      </c>
      <c r="KUB338" s="42" t="s">
        <v>607</v>
      </c>
      <c r="KUC338" s="42" t="s">
        <v>607</v>
      </c>
      <c r="KUD338" s="42" t="s">
        <v>607</v>
      </c>
      <c r="KUE338" s="42" t="s">
        <v>607</v>
      </c>
      <c r="KUF338" s="42" t="s">
        <v>607</v>
      </c>
      <c r="KUG338" s="42" t="s">
        <v>607</v>
      </c>
      <c r="KUH338" s="42" t="s">
        <v>607</v>
      </c>
      <c r="KUI338" s="42" t="s">
        <v>607</v>
      </c>
      <c r="KUJ338" s="42" t="s">
        <v>607</v>
      </c>
      <c r="KUK338" s="42" t="s">
        <v>607</v>
      </c>
      <c r="KUL338" s="42" t="s">
        <v>607</v>
      </c>
      <c r="KUM338" s="42" t="s">
        <v>607</v>
      </c>
      <c r="KUN338" s="42" t="s">
        <v>607</v>
      </c>
      <c r="KUO338" s="42" t="s">
        <v>607</v>
      </c>
      <c r="KUP338" s="42" t="s">
        <v>607</v>
      </c>
      <c r="KUQ338" s="42" t="s">
        <v>607</v>
      </c>
      <c r="KUR338" s="42" t="s">
        <v>607</v>
      </c>
      <c r="KUS338" s="42" t="s">
        <v>607</v>
      </c>
      <c r="KUT338" s="42" t="s">
        <v>607</v>
      </c>
      <c r="KUU338" s="42" t="s">
        <v>607</v>
      </c>
      <c r="KUV338" s="42" t="s">
        <v>607</v>
      </c>
      <c r="KUW338" s="42" t="s">
        <v>607</v>
      </c>
      <c r="KUX338" s="42" t="s">
        <v>607</v>
      </c>
      <c r="KUY338" s="42" t="s">
        <v>607</v>
      </c>
      <c r="KUZ338" s="42" t="s">
        <v>607</v>
      </c>
      <c r="KVA338" s="42" t="s">
        <v>607</v>
      </c>
      <c r="KVB338" s="42" t="s">
        <v>607</v>
      </c>
      <c r="KVC338" s="42" t="s">
        <v>607</v>
      </c>
      <c r="KVD338" s="42" t="s">
        <v>607</v>
      </c>
      <c r="KVE338" s="42" t="s">
        <v>607</v>
      </c>
      <c r="KVF338" s="42" t="s">
        <v>607</v>
      </c>
      <c r="KVG338" s="42" t="s">
        <v>607</v>
      </c>
      <c r="KVH338" s="42" t="s">
        <v>607</v>
      </c>
      <c r="KVI338" s="42" t="s">
        <v>607</v>
      </c>
      <c r="KVJ338" s="42" t="s">
        <v>607</v>
      </c>
      <c r="KVK338" s="42" t="s">
        <v>607</v>
      </c>
      <c r="KVL338" s="42" t="s">
        <v>607</v>
      </c>
      <c r="KVM338" s="42" t="s">
        <v>607</v>
      </c>
      <c r="KVN338" s="42" t="s">
        <v>607</v>
      </c>
      <c r="KVO338" s="42" t="s">
        <v>607</v>
      </c>
      <c r="KVP338" s="42" t="s">
        <v>607</v>
      </c>
      <c r="KVQ338" s="42" t="s">
        <v>607</v>
      </c>
      <c r="KVR338" s="42" t="s">
        <v>607</v>
      </c>
      <c r="KVS338" s="42" t="s">
        <v>607</v>
      </c>
      <c r="KVT338" s="42" t="s">
        <v>607</v>
      </c>
      <c r="KVU338" s="42" t="s">
        <v>607</v>
      </c>
      <c r="KVV338" s="42" t="s">
        <v>607</v>
      </c>
      <c r="KVW338" s="42" t="s">
        <v>607</v>
      </c>
      <c r="KVX338" s="42" t="s">
        <v>607</v>
      </c>
      <c r="KVY338" s="42" t="s">
        <v>607</v>
      </c>
      <c r="KVZ338" s="42" t="s">
        <v>607</v>
      </c>
      <c r="KWA338" s="42" t="s">
        <v>607</v>
      </c>
      <c r="KWB338" s="42" t="s">
        <v>607</v>
      </c>
      <c r="KWC338" s="42" t="s">
        <v>607</v>
      </c>
      <c r="KWD338" s="42" t="s">
        <v>607</v>
      </c>
      <c r="KWE338" s="42" t="s">
        <v>607</v>
      </c>
      <c r="KWF338" s="42" t="s">
        <v>607</v>
      </c>
      <c r="KWG338" s="42" t="s">
        <v>607</v>
      </c>
      <c r="KWH338" s="42" t="s">
        <v>607</v>
      </c>
      <c r="KWI338" s="42" t="s">
        <v>607</v>
      </c>
      <c r="KWJ338" s="42" t="s">
        <v>607</v>
      </c>
      <c r="KWK338" s="42" t="s">
        <v>607</v>
      </c>
      <c r="KWL338" s="42" t="s">
        <v>607</v>
      </c>
      <c r="KWM338" s="42" t="s">
        <v>607</v>
      </c>
      <c r="KWN338" s="42" t="s">
        <v>607</v>
      </c>
      <c r="KWO338" s="42" t="s">
        <v>607</v>
      </c>
      <c r="KWP338" s="42" t="s">
        <v>607</v>
      </c>
      <c r="KWQ338" s="42" t="s">
        <v>607</v>
      </c>
      <c r="KWR338" s="42" t="s">
        <v>607</v>
      </c>
      <c r="KWS338" s="42" t="s">
        <v>607</v>
      </c>
      <c r="KWT338" s="42" t="s">
        <v>607</v>
      </c>
      <c r="KWU338" s="42" t="s">
        <v>607</v>
      </c>
      <c r="KWV338" s="42" t="s">
        <v>607</v>
      </c>
      <c r="KWW338" s="42" t="s">
        <v>607</v>
      </c>
      <c r="KWX338" s="42" t="s">
        <v>607</v>
      </c>
      <c r="KWY338" s="42" t="s">
        <v>607</v>
      </c>
      <c r="KWZ338" s="42" t="s">
        <v>607</v>
      </c>
      <c r="KXA338" s="42" t="s">
        <v>607</v>
      </c>
      <c r="KXB338" s="42" t="s">
        <v>607</v>
      </c>
      <c r="KXC338" s="42" t="s">
        <v>607</v>
      </c>
      <c r="KXD338" s="42" t="s">
        <v>607</v>
      </c>
      <c r="KXE338" s="42" t="s">
        <v>607</v>
      </c>
      <c r="KXF338" s="42" t="s">
        <v>607</v>
      </c>
      <c r="KXG338" s="42" t="s">
        <v>607</v>
      </c>
      <c r="KXH338" s="42" t="s">
        <v>607</v>
      </c>
      <c r="KXI338" s="42" t="s">
        <v>607</v>
      </c>
      <c r="KXJ338" s="42" t="s">
        <v>607</v>
      </c>
      <c r="KXK338" s="42" t="s">
        <v>607</v>
      </c>
      <c r="KXL338" s="42" t="s">
        <v>607</v>
      </c>
      <c r="KXM338" s="42" t="s">
        <v>607</v>
      </c>
      <c r="KXN338" s="42" t="s">
        <v>607</v>
      </c>
      <c r="KXO338" s="42" t="s">
        <v>607</v>
      </c>
      <c r="KXP338" s="42" t="s">
        <v>607</v>
      </c>
      <c r="KXQ338" s="42" t="s">
        <v>607</v>
      </c>
      <c r="KXR338" s="42" t="s">
        <v>607</v>
      </c>
      <c r="KXS338" s="42" t="s">
        <v>607</v>
      </c>
      <c r="KXT338" s="42" t="s">
        <v>607</v>
      </c>
      <c r="KXU338" s="42" t="s">
        <v>607</v>
      </c>
      <c r="KXV338" s="42" t="s">
        <v>607</v>
      </c>
      <c r="KXW338" s="42" t="s">
        <v>607</v>
      </c>
      <c r="KXX338" s="42" t="s">
        <v>607</v>
      </c>
      <c r="KXY338" s="42" t="s">
        <v>607</v>
      </c>
      <c r="KXZ338" s="42" t="s">
        <v>607</v>
      </c>
      <c r="KYA338" s="42" t="s">
        <v>607</v>
      </c>
      <c r="KYB338" s="42" t="s">
        <v>607</v>
      </c>
      <c r="KYC338" s="42" t="s">
        <v>607</v>
      </c>
      <c r="KYD338" s="42" t="s">
        <v>607</v>
      </c>
      <c r="KYE338" s="42" t="s">
        <v>607</v>
      </c>
      <c r="KYF338" s="42" t="s">
        <v>607</v>
      </c>
      <c r="KYG338" s="42" t="s">
        <v>607</v>
      </c>
      <c r="KYH338" s="42" t="s">
        <v>607</v>
      </c>
      <c r="KYI338" s="42" t="s">
        <v>607</v>
      </c>
      <c r="KYJ338" s="42" t="s">
        <v>607</v>
      </c>
      <c r="KYK338" s="42" t="s">
        <v>607</v>
      </c>
      <c r="KYL338" s="42" t="s">
        <v>607</v>
      </c>
      <c r="KYM338" s="42" t="s">
        <v>607</v>
      </c>
      <c r="KYN338" s="42" t="s">
        <v>607</v>
      </c>
      <c r="KYO338" s="42" t="s">
        <v>607</v>
      </c>
      <c r="KYP338" s="42" t="s">
        <v>607</v>
      </c>
      <c r="KYQ338" s="42" t="s">
        <v>607</v>
      </c>
      <c r="KYR338" s="42" t="s">
        <v>607</v>
      </c>
      <c r="KYS338" s="42" t="s">
        <v>607</v>
      </c>
      <c r="KYT338" s="42" t="s">
        <v>607</v>
      </c>
      <c r="KYU338" s="42" t="s">
        <v>607</v>
      </c>
      <c r="KYV338" s="42" t="s">
        <v>607</v>
      </c>
      <c r="KYW338" s="42" t="s">
        <v>607</v>
      </c>
      <c r="KYX338" s="42" t="s">
        <v>607</v>
      </c>
      <c r="KYY338" s="42" t="s">
        <v>607</v>
      </c>
      <c r="KYZ338" s="42" t="s">
        <v>607</v>
      </c>
      <c r="KZA338" s="42" t="s">
        <v>607</v>
      </c>
      <c r="KZB338" s="42" t="s">
        <v>607</v>
      </c>
      <c r="KZC338" s="42" t="s">
        <v>607</v>
      </c>
      <c r="KZD338" s="42" t="s">
        <v>607</v>
      </c>
      <c r="KZE338" s="42" t="s">
        <v>607</v>
      </c>
      <c r="KZF338" s="42" t="s">
        <v>607</v>
      </c>
      <c r="KZG338" s="42" t="s">
        <v>607</v>
      </c>
      <c r="KZH338" s="42" t="s">
        <v>607</v>
      </c>
      <c r="KZI338" s="42" t="s">
        <v>607</v>
      </c>
      <c r="KZJ338" s="42" t="s">
        <v>607</v>
      </c>
      <c r="KZK338" s="42" t="s">
        <v>607</v>
      </c>
      <c r="KZL338" s="42" t="s">
        <v>607</v>
      </c>
      <c r="KZM338" s="42" t="s">
        <v>607</v>
      </c>
      <c r="KZN338" s="42" t="s">
        <v>607</v>
      </c>
      <c r="KZO338" s="42" t="s">
        <v>607</v>
      </c>
      <c r="KZP338" s="42" t="s">
        <v>607</v>
      </c>
      <c r="KZQ338" s="42" t="s">
        <v>607</v>
      </c>
      <c r="KZR338" s="42" t="s">
        <v>607</v>
      </c>
      <c r="KZS338" s="42" t="s">
        <v>607</v>
      </c>
      <c r="KZT338" s="42" t="s">
        <v>607</v>
      </c>
      <c r="KZU338" s="42" t="s">
        <v>607</v>
      </c>
      <c r="KZV338" s="42" t="s">
        <v>607</v>
      </c>
      <c r="KZW338" s="42" t="s">
        <v>607</v>
      </c>
      <c r="KZX338" s="42" t="s">
        <v>607</v>
      </c>
      <c r="KZY338" s="42" t="s">
        <v>607</v>
      </c>
      <c r="KZZ338" s="42" t="s">
        <v>607</v>
      </c>
      <c r="LAA338" s="42" t="s">
        <v>607</v>
      </c>
      <c r="LAB338" s="42" t="s">
        <v>607</v>
      </c>
      <c r="LAC338" s="42" t="s">
        <v>607</v>
      </c>
      <c r="LAD338" s="42" t="s">
        <v>607</v>
      </c>
      <c r="LAE338" s="42" t="s">
        <v>607</v>
      </c>
      <c r="LAF338" s="42" t="s">
        <v>607</v>
      </c>
      <c r="LAG338" s="42" t="s">
        <v>607</v>
      </c>
      <c r="LAH338" s="42" t="s">
        <v>607</v>
      </c>
      <c r="LAI338" s="42" t="s">
        <v>607</v>
      </c>
      <c r="LAJ338" s="42" t="s">
        <v>607</v>
      </c>
      <c r="LAK338" s="42" t="s">
        <v>607</v>
      </c>
      <c r="LAL338" s="42" t="s">
        <v>607</v>
      </c>
      <c r="LAM338" s="42" t="s">
        <v>607</v>
      </c>
      <c r="LAN338" s="42" t="s">
        <v>607</v>
      </c>
      <c r="LAO338" s="42" t="s">
        <v>607</v>
      </c>
      <c r="LAP338" s="42" t="s">
        <v>607</v>
      </c>
      <c r="LAQ338" s="42" t="s">
        <v>607</v>
      </c>
      <c r="LAR338" s="42" t="s">
        <v>607</v>
      </c>
      <c r="LAS338" s="42" t="s">
        <v>607</v>
      </c>
      <c r="LAT338" s="42" t="s">
        <v>607</v>
      </c>
      <c r="LAU338" s="42" t="s">
        <v>607</v>
      </c>
      <c r="LAV338" s="42" t="s">
        <v>607</v>
      </c>
      <c r="LAW338" s="42" t="s">
        <v>607</v>
      </c>
      <c r="LAX338" s="42" t="s">
        <v>607</v>
      </c>
      <c r="LAY338" s="42" t="s">
        <v>607</v>
      </c>
      <c r="LAZ338" s="42" t="s">
        <v>607</v>
      </c>
      <c r="LBA338" s="42" t="s">
        <v>607</v>
      </c>
      <c r="LBB338" s="42" t="s">
        <v>607</v>
      </c>
      <c r="LBC338" s="42" t="s">
        <v>607</v>
      </c>
      <c r="LBD338" s="42" t="s">
        <v>607</v>
      </c>
      <c r="LBE338" s="42" t="s">
        <v>607</v>
      </c>
      <c r="LBF338" s="42" t="s">
        <v>607</v>
      </c>
      <c r="LBG338" s="42" t="s">
        <v>607</v>
      </c>
      <c r="LBH338" s="42" t="s">
        <v>607</v>
      </c>
      <c r="LBI338" s="42" t="s">
        <v>607</v>
      </c>
      <c r="LBJ338" s="42" t="s">
        <v>607</v>
      </c>
      <c r="LBK338" s="42" t="s">
        <v>607</v>
      </c>
      <c r="LBL338" s="42" t="s">
        <v>607</v>
      </c>
      <c r="LBM338" s="42" t="s">
        <v>607</v>
      </c>
      <c r="LBN338" s="42" t="s">
        <v>607</v>
      </c>
      <c r="LBO338" s="42" t="s">
        <v>607</v>
      </c>
      <c r="LBP338" s="42" t="s">
        <v>607</v>
      </c>
      <c r="LBQ338" s="42" t="s">
        <v>607</v>
      </c>
      <c r="LBR338" s="42" t="s">
        <v>607</v>
      </c>
      <c r="LBS338" s="42" t="s">
        <v>607</v>
      </c>
      <c r="LBT338" s="42" t="s">
        <v>607</v>
      </c>
      <c r="LBU338" s="42" t="s">
        <v>607</v>
      </c>
      <c r="LBV338" s="42" t="s">
        <v>607</v>
      </c>
      <c r="LBW338" s="42" t="s">
        <v>607</v>
      </c>
      <c r="LBX338" s="42" t="s">
        <v>607</v>
      </c>
      <c r="LBY338" s="42" t="s">
        <v>607</v>
      </c>
      <c r="LBZ338" s="42" t="s">
        <v>607</v>
      </c>
      <c r="LCA338" s="42" t="s">
        <v>607</v>
      </c>
      <c r="LCB338" s="42" t="s">
        <v>607</v>
      </c>
      <c r="LCC338" s="42" t="s">
        <v>607</v>
      </c>
      <c r="LCD338" s="42" t="s">
        <v>607</v>
      </c>
      <c r="LCE338" s="42" t="s">
        <v>607</v>
      </c>
      <c r="LCF338" s="42" t="s">
        <v>607</v>
      </c>
      <c r="LCG338" s="42" t="s">
        <v>607</v>
      </c>
      <c r="LCH338" s="42" t="s">
        <v>607</v>
      </c>
      <c r="LCI338" s="42" t="s">
        <v>607</v>
      </c>
      <c r="LCJ338" s="42" t="s">
        <v>607</v>
      </c>
      <c r="LCK338" s="42" t="s">
        <v>607</v>
      </c>
      <c r="LCL338" s="42" t="s">
        <v>607</v>
      </c>
      <c r="LCM338" s="42" t="s">
        <v>607</v>
      </c>
      <c r="LCN338" s="42" t="s">
        <v>607</v>
      </c>
      <c r="LCO338" s="42" t="s">
        <v>607</v>
      </c>
      <c r="LCP338" s="42" t="s">
        <v>607</v>
      </c>
      <c r="LCQ338" s="42" t="s">
        <v>607</v>
      </c>
      <c r="LCR338" s="42" t="s">
        <v>607</v>
      </c>
      <c r="LCS338" s="42" t="s">
        <v>607</v>
      </c>
      <c r="LCT338" s="42" t="s">
        <v>607</v>
      </c>
      <c r="LCU338" s="42" t="s">
        <v>607</v>
      </c>
      <c r="LCV338" s="42" t="s">
        <v>607</v>
      </c>
      <c r="LCW338" s="42" t="s">
        <v>607</v>
      </c>
      <c r="LCX338" s="42" t="s">
        <v>607</v>
      </c>
      <c r="LCY338" s="42" t="s">
        <v>607</v>
      </c>
      <c r="LCZ338" s="42" t="s">
        <v>607</v>
      </c>
      <c r="LDA338" s="42" t="s">
        <v>607</v>
      </c>
      <c r="LDB338" s="42" t="s">
        <v>607</v>
      </c>
      <c r="LDC338" s="42" t="s">
        <v>607</v>
      </c>
      <c r="LDD338" s="42" t="s">
        <v>607</v>
      </c>
      <c r="LDE338" s="42" t="s">
        <v>607</v>
      </c>
      <c r="LDF338" s="42" t="s">
        <v>607</v>
      </c>
      <c r="LDG338" s="42" t="s">
        <v>607</v>
      </c>
      <c r="LDH338" s="42" t="s">
        <v>607</v>
      </c>
      <c r="LDI338" s="42" t="s">
        <v>607</v>
      </c>
      <c r="LDJ338" s="42" t="s">
        <v>607</v>
      </c>
      <c r="LDK338" s="42" t="s">
        <v>607</v>
      </c>
      <c r="LDL338" s="42" t="s">
        <v>607</v>
      </c>
      <c r="LDM338" s="42" t="s">
        <v>607</v>
      </c>
      <c r="LDN338" s="42" t="s">
        <v>607</v>
      </c>
      <c r="LDO338" s="42" t="s">
        <v>607</v>
      </c>
      <c r="LDP338" s="42" t="s">
        <v>607</v>
      </c>
      <c r="LDQ338" s="42" t="s">
        <v>607</v>
      </c>
      <c r="LDR338" s="42" t="s">
        <v>607</v>
      </c>
      <c r="LDS338" s="42" t="s">
        <v>607</v>
      </c>
      <c r="LDT338" s="42" t="s">
        <v>607</v>
      </c>
      <c r="LDU338" s="42" t="s">
        <v>607</v>
      </c>
      <c r="LDV338" s="42" t="s">
        <v>607</v>
      </c>
      <c r="LDW338" s="42" t="s">
        <v>607</v>
      </c>
      <c r="LDX338" s="42" t="s">
        <v>607</v>
      </c>
      <c r="LDY338" s="42" t="s">
        <v>607</v>
      </c>
      <c r="LDZ338" s="42" t="s">
        <v>607</v>
      </c>
      <c r="LEA338" s="42" t="s">
        <v>607</v>
      </c>
      <c r="LEB338" s="42" t="s">
        <v>607</v>
      </c>
      <c r="LEC338" s="42" t="s">
        <v>607</v>
      </c>
      <c r="LED338" s="42" t="s">
        <v>607</v>
      </c>
      <c r="LEE338" s="42" t="s">
        <v>607</v>
      </c>
      <c r="LEF338" s="42" t="s">
        <v>607</v>
      </c>
      <c r="LEG338" s="42" t="s">
        <v>607</v>
      </c>
      <c r="LEH338" s="42" t="s">
        <v>607</v>
      </c>
      <c r="LEI338" s="42" t="s">
        <v>607</v>
      </c>
      <c r="LEJ338" s="42" t="s">
        <v>607</v>
      </c>
      <c r="LEK338" s="42" t="s">
        <v>607</v>
      </c>
      <c r="LEL338" s="42" t="s">
        <v>607</v>
      </c>
      <c r="LEM338" s="42" t="s">
        <v>607</v>
      </c>
      <c r="LEN338" s="42" t="s">
        <v>607</v>
      </c>
      <c r="LEO338" s="42" t="s">
        <v>607</v>
      </c>
      <c r="LEP338" s="42" t="s">
        <v>607</v>
      </c>
      <c r="LEQ338" s="42" t="s">
        <v>607</v>
      </c>
      <c r="LER338" s="42" t="s">
        <v>607</v>
      </c>
      <c r="LES338" s="42" t="s">
        <v>607</v>
      </c>
      <c r="LET338" s="42" t="s">
        <v>607</v>
      </c>
      <c r="LEU338" s="42" t="s">
        <v>607</v>
      </c>
      <c r="LEV338" s="42" t="s">
        <v>607</v>
      </c>
      <c r="LEW338" s="42" t="s">
        <v>607</v>
      </c>
      <c r="LEX338" s="42" t="s">
        <v>607</v>
      </c>
      <c r="LEY338" s="42" t="s">
        <v>607</v>
      </c>
      <c r="LEZ338" s="42" t="s">
        <v>607</v>
      </c>
      <c r="LFA338" s="42" t="s">
        <v>607</v>
      </c>
      <c r="LFB338" s="42" t="s">
        <v>607</v>
      </c>
      <c r="LFC338" s="42" t="s">
        <v>607</v>
      </c>
      <c r="LFD338" s="42" t="s">
        <v>607</v>
      </c>
      <c r="LFE338" s="42" t="s">
        <v>607</v>
      </c>
      <c r="LFF338" s="42" t="s">
        <v>607</v>
      </c>
      <c r="LFG338" s="42" t="s">
        <v>607</v>
      </c>
      <c r="LFH338" s="42" t="s">
        <v>607</v>
      </c>
      <c r="LFI338" s="42" t="s">
        <v>607</v>
      </c>
      <c r="LFJ338" s="42" t="s">
        <v>607</v>
      </c>
      <c r="LFK338" s="42" t="s">
        <v>607</v>
      </c>
      <c r="LFL338" s="42" t="s">
        <v>607</v>
      </c>
      <c r="LFM338" s="42" t="s">
        <v>607</v>
      </c>
      <c r="LFN338" s="42" t="s">
        <v>607</v>
      </c>
      <c r="LFO338" s="42" t="s">
        <v>607</v>
      </c>
      <c r="LFP338" s="42" t="s">
        <v>607</v>
      </c>
      <c r="LFQ338" s="42" t="s">
        <v>607</v>
      </c>
      <c r="LFR338" s="42" t="s">
        <v>607</v>
      </c>
      <c r="LFS338" s="42" t="s">
        <v>607</v>
      </c>
      <c r="LFT338" s="42" t="s">
        <v>607</v>
      </c>
      <c r="LFU338" s="42" t="s">
        <v>607</v>
      </c>
      <c r="LFV338" s="42" t="s">
        <v>607</v>
      </c>
      <c r="LFW338" s="42" t="s">
        <v>607</v>
      </c>
      <c r="LFX338" s="42" t="s">
        <v>607</v>
      </c>
      <c r="LFY338" s="42" t="s">
        <v>607</v>
      </c>
      <c r="LFZ338" s="42" t="s">
        <v>607</v>
      </c>
      <c r="LGA338" s="42" t="s">
        <v>607</v>
      </c>
      <c r="LGB338" s="42" t="s">
        <v>607</v>
      </c>
      <c r="LGC338" s="42" t="s">
        <v>607</v>
      </c>
      <c r="LGD338" s="42" t="s">
        <v>607</v>
      </c>
      <c r="LGE338" s="42" t="s">
        <v>607</v>
      </c>
      <c r="LGF338" s="42" t="s">
        <v>607</v>
      </c>
      <c r="LGG338" s="42" t="s">
        <v>607</v>
      </c>
      <c r="LGH338" s="42" t="s">
        <v>607</v>
      </c>
      <c r="LGI338" s="42" t="s">
        <v>607</v>
      </c>
      <c r="LGJ338" s="42" t="s">
        <v>607</v>
      </c>
      <c r="LGK338" s="42" t="s">
        <v>607</v>
      </c>
      <c r="LGL338" s="42" t="s">
        <v>607</v>
      </c>
      <c r="LGM338" s="42" t="s">
        <v>607</v>
      </c>
      <c r="LGN338" s="42" t="s">
        <v>607</v>
      </c>
      <c r="LGO338" s="42" t="s">
        <v>607</v>
      </c>
      <c r="LGP338" s="42" t="s">
        <v>607</v>
      </c>
      <c r="LGQ338" s="42" t="s">
        <v>607</v>
      </c>
      <c r="LGR338" s="42" t="s">
        <v>607</v>
      </c>
      <c r="LGS338" s="42" t="s">
        <v>607</v>
      </c>
      <c r="LGT338" s="42" t="s">
        <v>607</v>
      </c>
      <c r="LGU338" s="42" t="s">
        <v>607</v>
      </c>
      <c r="LGV338" s="42" t="s">
        <v>607</v>
      </c>
      <c r="LGW338" s="42" t="s">
        <v>607</v>
      </c>
      <c r="LGX338" s="42" t="s">
        <v>607</v>
      </c>
      <c r="LGY338" s="42" t="s">
        <v>607</v>
      </c>
      <c r="LGZ338" s="42" t="s">
        <v>607</v>
      </c>
      <c r="LHA338" s="42" t="s">
        <v>607</v>
      </c>
      <c r="LHB338" s="42" t="s">
        <v>607</v>
      </c>
      <c r="LHC338" s="42" t="s">
        <v>607</v>
      </c>
      <c r="LHD338" s="42" t="s">
        <v>607</v>
      </c>
      <c r="LHE338" s="42" t="s">
        <v>607</v>
      </c>
      <c r="LHF338" s="42" t="s">
        <v>607</v>
      </c>
      <c r="LHG338" s="42" t="s">
        <v>607</v>
      </c>
      <c r="LHH338" s="42" t="s">
        <v>607</v>
      </c>
      <c r="LHI338" s="42" t="s">
        <v>607</v>
      </c>
      <c r="LHJ338" s="42" t="s">
        <v>607</v>
      </c>
      <c r="LHK338" s="42" t="s">
        <v>607</v>
      </c>
      <c r="LHL338" s="42" t="s">
        <v>607</v>
      </c>
      <c r="LHM338" s="42" t="s">
        <v>607</v>
      </c>
      <c r="LHN338" s="42" t="s">
        <v>607</v>
      </c>
      <c r="LHO338" s="42" t="s">
        <v>607</v>
      </c>
      <c r="LHP338" s="42" t="s">
        <v>607</v>
      </c>
      <c r="LHQ338" s="42" t="s">
        <v>607</v>
      </c>
      <c r="LHR338" s="42" t="s">
        <v>607</v>
      </c>
      <c r="LHS338" s="42" t="s">
        <v>607</v>
      </c>
      <c r="LHT338" s="42" t="s">
        <v>607</v>
      </c>
      <c r="LHU338" s="42" t="s">
        <v>607</v>
      </c>
      <c r="LHV338" s="42" t="s">
        <v>607</v>
      </c>
      <c r="LHW338" s="42" t="s">
        <v>607</v>
      </c>
      <c r="LHX338" s="42" t="s">
        <v>607</v>
      </c>
      <c r="LHY338" s="42" t="s">
        <v>607</v>
      </c>
      <c r="LHZ338" s="42" t="s">
        <v>607</v>
      </c>
      <c r="LIA338" s="42" t="s">
        <v>607</v>
      </c>
      <c r="LIB338" s="42" t="s">
        <v>607</v>
      </c>
      <c r="LIC338" s="42" t="s">
        <v>607</v>
      </c>
      <c r="LID338" s="42" t="s">
        <v>607</v>
      </c>
      <c r="LIE338" s="42" t="s">
        <v>607</v>
      </c>
      <c r="LIF338" s="42" t="s">
        <v>607</v>
      </c>
      <c r="LIG338" s="42" t="s">
        <v>607</v>
      </c>
      <c r="LIH338" s="42" t="s">
        <v>607</v>
      </c>
      <c r="LII338" s="42" t="s">
        <v>607</v>
      </c>
      <c r="LIJ338" s="42" t="s">
        <v>607</v>
      </c>
      <c r="LIK338" s="42" t="s">
        <v>607</v>
      </c>
      <c r="LIL338" s="42" t="s">
        <v>607</v>
      </c>
      <c r="LIM338" s="42" t="s">
        <v>607</v>
      </c>
      <c r="LIN338" s="42" t="s">
        <v>607</v>
      </c>
      <c r="LIO338" s="42" t="s">
        <v>607</v>
      </c>
      <c r="LIP338" s="42" t="s">
        <v>607</v>
      </c>
      <c r="LIQ338" s="42" t="s">
        <v>607</v>
      </c>
      <c r="LIR338" s="42" t="s">
        <v>607</v>
      </c>
      <c r="LIS338" s="42" t="s">
        <v>607</v>
      </c>
      <c r="LIT338" s="42" t="s">
        <v>607</v>
      </c>
      <c r="LIU338" s="42" t="s">
        <v>607</v>
      </c>
      <c r="LIV338" s="42" t="s">
        <v>607</v>
      </c>
      <c r="LIW338" s="42" t="s">
        <v>607</v>
      </c>
      <c r="LIX338" s="42" t="s">
        <v>607</v>
      </c>
      <c r="LIY338" s="42" t="s">
        <v>607</v>
      </c>
      <c r="LIZ338" s="42" t="s">
        <v>607</v>
      </c>
      <c r="LJA338" s="42" t="s">
        <v>607</v>
      </c>
      <c r="LJB338" s="42" t="s">
        <v>607</v>
      </c>
      <c r="LJC338" s="42" t="s">
        <v>607</v>
      </c>
      <c r="LJD338" s="42" t="s">
        <v>607</v>
      </c>
      <c r="LJE338" s="42" t="s">
        <v>607</v>
      </c>
      <c r="LJF338" s="42" t="s">
        <v>607</v>
      </c>
      <c r="LJG338" s="42" t="s">
        <v>607</v>
      </c>
      <c r="LJH338" s="42" t="s">
        <v>607</v>
      </c>
      <c r="LJI338" s="42" t="s">
        <v>607</v>
      </c>
      <c r="LJJ338" s="42" t="s">
        <v>607</v>
      </c>
      <c r="LJK338" s="42" t="s">
        <v>607</v>
      </c>
      <c r="LJL338" s="42" t="s">
        <v>607</v>
      </c>
      <c r="LJM338" s="42" t="s">
        <v>607</v>
      </c>
      <c r="LJN338" s="42" t="s">
        <v>607</v>
      </c>
      <c r="LJO338" s="42" t="s">
        <v>607</v>
      </c>
      <c r="LJP338" s="42" t="s">
        <v>607</v>
      </c>
      <c r="LJQ338" s="42" t="s">
        <v>607</v>
      </c>
      <c r="LJR338" s="42" t="s">
        <v>607</v>
      </c>
      <c r="LJS338" s="42" t="s">
        <v>607</v>
      </c>
      <c r="LJT338" s="42" t="s">
        <v>607</v>
      </c>
      <c r="LJU338" s="42" t="s">
        <v>607</v>
      </c>
      <c r="LJV338" s="42" t="s">
        <v>607</v>
      </c>
      <c r="LJW338" s="42" t="s">
        <v>607</v>
      </c>
      <c r="LJX338" s="42" t="s">
        <v>607</v>
      </c>
      <c r="LJY338" s="42" t="s">
        <v>607</v>
      </c>
      <c r="LJZ338" s="42" t="s">
        <v>607</v>
      </c>
      <c r="LKA338" s="42" t="s">
        <v>607</v>
      </c>
      <c r="LKB338" s="42" t="s">
        <v>607</v>
      </c>
      <c r="LKC338" s="42" t="s">
        <v>607</v>
      </c>
      <c r="LKD338" s="42" t="s">
        <v>607</v>
      </c>
      <c r="LKE338" s="42" t="s">
        <v>607</v>
      </c>
      <c r="LKF338" s="42" t="s">
        <v>607</v>
      </c>
      <c r="LKG338" s="42" t="s">
        <v>607</v>
      </c>
      <c r="LKH338" s="42" t="s">
        <v>607</v>
      </c>
      <c r="LKI338" s="42" t="s">
        <v>607</v>
      </c>
      <c r="LKJ338" s="42" t="s">
        <v>607</v>
      </c>
      <c r="LKK338" s="42" t="s">
        <v>607</v>
      </c>
      <c r="LKL338" s="42" t="s">
        <v>607</v>
      </c>
      <c r="LKM338" s="42" t="s">
        <v>607</v>
      </c>
      <c r="LKN338" s="42" t="s">
        <v>607</v>
      </c>
      <c r="LKO338" s="42" t="s">
        <v>607</v>
      </c>
      <c r="LKP338" s="42" t="s">
        <v>607</v>
      </c>
      <c r="LKQ338" s="42" t="s">
        <v>607</v>
      </c>
      <c r="LKR338" s="42" t="s">
        <v>607</v>
      </c>
      <c r="LKS338" s="42" t="s">
        <v>607</v>
      </c>
      <c r="LKT338" s="42" t="s">
        <v>607</v>
      </c>
      <c r="LKU338" s="42" t="s">
        <v>607</v>
      </c>
      <c r="LKV338" s="42" t="s">
        <v>607</v>
      </c>
      <c r="LKW338" s="42" t="s">
        <v>607</v>
      </c>
      <c r="LKX338" s="42" t="s">
        <v>607</v>
      </c>
      <c r="LKY338" s="42" t="s">
        <v>607</v>
      </c>
      <c r="LKZ338" s="42" t="s">
        <v>607</v>
      </c>
      <c r="LLA338" s="42" t="s">
        <v>607</v>
      </c>
      <c r="LLB338" s="42" t="s">
        <v>607</v>
      </c>
      <c r="LLC338" s="42" t="s">
        <v>607</v>
      </c>
      <c r="LLD338" s="42" t="s">
        <v>607</v>
      </c>
      <c r="LLE338" s="42" t="s">
        <v>607</v>
      </c>
      <c r="LLF338" s="42" t="s">
        <v>607</v>
      </c>
      <c r="LLG338" s="42" t="s">
        <v>607</v>
      </c>
      <c r="LLH338" s="42" t="s">
        <v>607</v>
      </c>
      <c r="LLI338" s="42" t="s">
        <v>607</v>
      </c>
      <c r="LLJ338" s="42" t="s">
        <v>607</v>
      </c>
      <c r="LLK338" s="42" t="s">
        <v>607</v>
      </c>
      <c r="LLL338" s="42" t="s">
        <v>607</v>
      </c>
      <c r="LLM338" s="42" t="s">
        <v>607</v>
      </c>
      <c r="LLN338" s="42" t="s">
        <v>607</v>
      </c>
      <c r="LLO338" s="42" t="s">
        <v>607</v>
      </c>
      <c r="LLP338" s="42" t="s">
        <v>607</v>
      </c>
      <c r="LLQ338" s="42" t="s">
        <v>607</v>
      </c>
      <c r="LLR338" s="42" t="s">
        <v>607</v>
      </c>
      <c r="LLS338" s="42" t="s">
        <v>607</v>
      </c>
      <c r="LLT338" s="42" t="s">
        <v>607</v>
      </c>
      <c r="LLU338" s="42" t="s">
        <v>607</v>
      </c>
      <c r="LLV338" s="42" t="s">
        <v>607</v>
      </c>
      <c r="LLW338" s="42" t="s">
        <v>607</v>
      </c>
      <c r="LLX338" s="42" t="s">
        <v>607</v>
      </c>
      <c r="LLY338" s="42" t="s">
        <v>607</v>
      </c>
      <c r="LLZ338" s="42" t="s">
        <v>607</v>
      </c>
      <c r="LMA338" s="42" t="s">
        <v>607</v>
      </c>
      <c r="LMB338" s="42" t="s">
        <v>607</v>
      </c>
      <c r="LMC338" s="42" t="s">
        <v>607</v>
      </c>
      <c r="LMD338" s="42" t="s">
        <v>607</v>
      </c>
      <c r="LME338" s="42" t="s">
        <v>607</v>
      </c>
      <c r="LMF338" s="42" t="s">
        <v>607</v>
      </c>
      <c r="LMG338" s="42" t="s">
        <v>607</v>
      </c>
      <c r="LMH338" s="42" t="s">
        <v>607</v>
      </c>
      <c r="LMI338" s="42" t="s">
        <v>607</v>
      </c>
      <c r="LMJ338" s="42" t="s">
        <v>607</v>
      </c>
      <c r="LMK338" s="42" t="s">
        <v>607</v>
      </c>
      <c r="LML338" s="42" t="s">
        <v>607</v>
      </c>
      <c r="LMM338" s="42" t="s">
        <v>607</v>
      </c>
      <c r="LMN338" s="42" t="s">
        <v>607</v>
      </c>
      <c r="LMO338" s="42" t="s">
        <v>607</v>
      </c>
      <c r="LMP338" s="42" t="s">
        <v>607</v>
      </c>
      <c r="LMQ338" s="42" t="s">
        <v>607</v>
      </c>
      <c r="LMR338" s="42" t="s">
        <v>607</v>
      </c>
      <c r="LMS338" s="42" t="s">
        <v>607</v>
      </c>
      <c r="LMT338" s="42" t="s">
        <v>607</v>
      </c>
      <c r="LMU338" s="42" t="s">
        <v>607</v>
      </c>
      <c r="LMV338" s="42" t="s">
        <v>607</v>
      </c>
      <c r="LMW338" s="42" t="s">
        <v>607</v>
      </c>
      <c r="LMX338" s="42" t="s">
        <v>607</v>
      </c>
      <c r="LMY338" s="42" t="s">
        <v>607</v>
      </c>
      <c r="LMZ338" s="42" t="s">
        <v>607</v>
      </c>
      <c r="LNA338" s="42" t="s">
        <v>607</v>
      </c>
      <c r="LNB338" s="42" t="s">
        <v>607</v>
      </c>
      <c r="LNC338" s="42" t="s">
        <v>607</v>
      </c>
      <c r="LND338" s="42" t="s">
        <v>607</v>
      </c>
      <c r="LNE338" s="42" t="s">
        <v>607</v>
      </c>
      <c r="LNF338" s="42" t="s">
        <v>607</v>
      </c>
      <c r="LNG338" s="42" t="s">
        <v>607</v>
      </c>
      <c r="LNH338" s="42" t="s">
        <v>607</v>
      </c>
      <c r="LNI338" s="42" t="s">
        <v>607</v>
      </c>
      <c r="LNJ338" s="42" t="s">
        <v>607</v>
      </c>
      <c r="LNK338" s="42" t="s">
        <v>607</v>
      </c>
      <c r="LNL338" s="42" t="s">
        <v>607</v>
      </c>
      <c r="LNM338" s="42" t="s">
        <v>607</v>
      </c>
      <c r="LNN338" s="42" t="s">
        <v>607</v>
      </c>
      <c r="LNO338" s="42" t="s">
        <v>607</v>
      </c>
      <c r="LNP338" s="42" t="s">
        <v>607</v>
      </c>
      <c r="LNQ338" s="42" t="s">
        <v>607</v>
      </c>
      <c r="LNR338" s="42" t="s">
        <v>607</v>
      </c>
      <c r="LNS338" s="42" t="s">
        <v>607</v>
      </c>
      <c r="LNT338" s="42" t="s">
        <v>607</v>
      </c>
      <c r="LNU338" s="42" t="s">
        <v>607</v>
      </c>
      <c r="LNV338" s="42" t="s">
        <v>607</v>
      </c>
      <c r="LNW338" s="42" t="s">
        <v>607</v>
      </c>
      <c r="LNX338" s="42" t="s">
        <v>607</v>
      </c>
      <c r="LNY338" s="42" t="s">
        <v>607</v>
      </c>
      <c r="LNZ338" s="42" t="s">
        <v>607</v>
      </c>
      <c r="LOA338" s="42" t="s">
        <v>607</v>
      </c>
      <c r="LOB338" s="42" t="s">
        <v>607</v>
      </c>
      <c r="LOC338" s="42" t="s">
        <v>607</v>
      </c>
      <c r="LOD338" s="42" t="s">
        <v>607</v>
      </c>
      <c r="LOE338" s="42" t="s">
        <v>607</v>
      </c>
      <c r="LOF338" s="42" t="s">
        <v>607</v>
      </c>
      <c r="LOG338" s="42" t="s">
        <v>607</v>
      </c>
      <c r="LOH338" s="42" t="s">
        <v>607</v>
      </c>
      <c r="LOI338" s="42" t="s">
        <v>607</v>
      </c>
      <c r="LOJ338" s="42" t="s">
        <v>607</v>
      </c>
      <c r="LOK338" s="42" t="s">
        <v>607</v>
      </c>
      <c r="LOL338" s="42" t="s">
        <v>607</v>
      </c>
      <c r="LOM338" s="42" t="s">
        <v>607</v>
      </c>
      <c r="LON338" s="42" t="s">
        <v>607</v>
      </c>
      <c r="LOO338" s="42" t="s">
        <v>607</v>
      </c>
      <c r="LOP338" s="42" t="s">
        <v>607</v>
      </c>
      <c r="LOQ338" s="42" t="s">
        <v>607</v>
      </c>
      <c r="LOR338" s="42" t="s">
        <v>607</v>
      </c>
      <c r="LOS338" s="42" t="s">
        <v>607</v>
      </c>
      <c r="LOT338" s="42" t="s">
        <v>607</v>
      </c>
      <c r="LOU338" s="42" t="s">
        <v>607</v>
      </c>
      <c r="LOV338" s="42" t="s">
        <v>607</v>
      </c>
      <c r="LOW338" s="42" t="s">
        <v>607</v>
      </c>
      <c r="LOX338" s="42" t="s">
        <v>607</v>
      </c>
      <c r="LOY338" s="42" t="s">
        <v>607</v>
      </c>
      <c r="LOZ338" s="42" t="s">
        <v>607</v>
      </c>
      <c r="LPA338" s="42" t="s">
        <v>607</v>
      </c>
      <c r="LPB338" s="42" t="s">
        <v>607</v>
      </c>
      <c r="LPC338" s="42" t="s">
        <v>607</v>
      </c>
      <c r="LPD338" s="42" t="s">
        <v>607</v>
      </c>
      <c r="LPE338" s="42" t="s">
        <v>607</v>
      </c>
      <c r="LPF338" s="42" t="s">
        <v>607</v>
      </c>
      <c r="LPG338" s="42" t="s">
        <v>607</v>
      </c>
      <c r="LPH338" s="42" t="s">
        <v>607</v>
      </c>
      <c r="LPI338" s="42" t="s">
        <v>607</v>
      </c>
      <c r="LPJ338" s="42" t="s">
        <v>607</v>
      </c>
      <c r="LPK338" s="42" t="s">
        <v>607</v>
      </c>
      <c r="LPL338" s="42" t="s">
        <v>607</v>
      </c>
      <c r="LPM338" s="42" t="s">
        <v>607</v>
      </c>
      <c r="LPN338" s="42" t="s">
        <v>607</v>
      </c>
      <c r="LPO338" s="42" t="s">
        <v>607</v>
      </c>
      <c r="LPP338" s="42" t="s">
        <v>607</v>
      </c>
      <c r="LPQ338" s="42" t="s">
        <v>607</v>
      </c>
      <c r="LPR338" s="42" t="s">
        <v>607</v>
      </c>
      <c r="LPS338" s="42" t="s">
        <v>607</v>
      </c>
      <c r="LPT338" s="42" t="s">
        <v>607</v>
      </c>
      <c r="LPU338" s="42" t="s">
        <v>607</v>
      </c>
      <c r="LPV338" s="42" t="s">
        <v>607</v>
      </c>
      <c r="LPW338" s="42" t="s">
        <v>607</v>
      </c>
      <c r="LPX338" s="42" t="s">
        <v>607</v>
      </c>
      <c r="LPY338" s="42" t="s">
        <v>607</v>
      </c>
      <c r="LPZ338" s="42" t="s">
        <v>607</v>
      </c>
      <c r="LQA338" s="42" t="s">
        <v>607</v>
      </c>
      <c r="LQB338" s="42" t="s">
        <v>607</v>
      </c>
      <c r="LQC338" s="42" t="s">
        <v>607</v>
      </c>
      <c r="LQD338" s="42" t="s">
        <v>607</v>
      </c>
      <c r="LQE338" s="42" t="s">
        <v>607</v>
      </c>
      <c r="LQF338" s="42" t="s">
        <v>607</v>
      </c>
      <c r="LQG338" s="42" t="s">
        <v>607</v>
      </c>
      <c r="LQH338" s="42" t="s">
        <v>607</v>
      </c>
      <c r="LQI338" s="42" t="s">
        <v>607</v>
      </c>
      <c r="LQJ338" s="42" t="s">
        <v>607</v>
      </c>
      <c r="LQK338" s="42" t="s">
        <v>607</v>
      </c>
      <c r="LQL338" s="42" t="s">
        <v>607</v>
      </c>
      <c r="LQM338" s="42" t="s">
        <v>607</v>
      </c>
      <c r="LQN338" s="42" t="s">
        <v>607</v>
      </c>
      <c r="LQO338" s="42" t="s">
        <v>607</v>
      </c>
      <c r="LQP338" s="42" t="s">
        <v>607</v>
      </c>
      <c r="LQQ338" s="42" t="s">
        <v>607</v>
      </c>
      <c r="LQR338" s="42" t="s">
        <v>607</v>
      </c>
      <c r="LQS338" s="42" t="s">
        <v>607</v>
      </c>
      <c r="LQT338" s="42" t="s">
        <v>607</v>
      </c>
      <c r="LQU338" s="42" t="s">
        <v>607</v>
      </c>
      <c r="LQV338" s="42" t="s">
        <v>607</v>
      </c>
      <c r="LQW338" s="42" t="s">
        <v>607</v>
      </c>
      <c r="LQX338" s="42" t="s">
        <v>607</v>
      </c>
      <c r="LQY338" s="42" t="s">
        <v>607</v>
      </c>
      <c r="LQZ338" s="42" t="s">
        <v>607</v>
      </c>
      <c r="LRA338" s="42" t="s">
        <v>607</v>
      </c>
      <c r="LRB338" s="42" t="s">
        <v>607</v>
      </c>
      <c r="LRC338" s="42" t="s">
        <v>607</v>
      </c>
      <c r="LRD338" s="42" t="s">
        <v>607</v>
      </c>
      <c r="LRE338" s="42" t="s">
        <v>607</v>
      </c>
      <c r="LRF338" s="42" t="s">
        <v>607</v>
      </c>
      <c r="LRG338" s="42" t="s">
        <v>607</v>
      </c>
      <c r="LRH338" s="42" t="s">
        <v>607</v>
      </c>
      <c r="LRI338" s="42" t="s">
        <v>607</v>
      </c>
      <c r="LRJ338" s="42" t="s">
        <v>607</v>
      </c>
      <c r="LRK338" s="42" t="s">
        <v>607</v>
      </c>
      <c r="LRL338" s="42" t="s">
        <v>607</v>
      </c>
      <c r="LRM338" s="42" t="s">
        <v>607</v>
      </c>
      <c r="LRN338" s="42" t="s">
        <v>607</v>
      </c>
      <c r="LRO338" s="42" t="s">
        <v>607</v>
      </c>
      <c r="LRP338" s="42" t="s">
        <v>607</v>
      </c>
      <c r="LRQ338" s="42" t="s">
        <v>607</v>
      </c>
      <c r="LRR338" s="42" t="s">
        <v>607</v>
      </c>
      <c r="LRS338" s="42" t="s">
        <v>607</v>
      </c>
      <c r="LRT338" s="42" t="s">
        <v>607</v>
      </c>
      <c r="LRU338" s="42" t="s">
        <v>607</v>
      </c>
      <c r="LRV338" s="42" t="s">
        <v>607</v>
      </c>
      <c r="LRW338" s="42" t="s">
        <v>607</v>
      </c>
      <c r="LRX338" s="42" t="s">
        <v>607</v>
      </c>
      <c r="LRY338" s="42" t="s">
        <v>607</v>
      </c>
      <c r="LRZ338" s="42" t="s">
        <v>607</v>
      </c>
      <c r="LSA338" s="42" t="s">
        <v>607</v>
      </c>
      <c r="LSB338" s="42" t="s">
        <v>607</v>
      </c>
      <c r="LSC338" s="42" t="s">
        <v>607</v>
      </c>
      <c r="LSD338" s="42" t="s">
        <v>607</v>
      </c>
      <c r="LSE338" s="42" t="s">
        <v>607</v>
      </c>
      <c r="LSF338" s="42" t="s">
        <v>607</v>
      </c>
      <c r="LSG338" s="42" t="s">
        <v>607</v>
      </c>
      <c r="LSH338" s="42" t="s">
        <v>607</v>
      </c>
      <c r="LSI338" s="42" t="s">
        <v>607</v>
      </c>
      <c r="LSJ338" s="42" t="s">
        <v>607</v>
      </c>
      <c r="LSK338" s="42" t="s">
        <v>607</v>
      </c>
      <c r="LSL338" s="42" t="s">
        <v>607</v>
      </c>
      <c r="LSM338" s="42" t="s">
        <v>607</v>
      </c>
      <c r="LSN338" s="42" t="s">
        <v>607</v>
      </c>
      <c r="LSO338" s="42" t="s">
        <v>607</v>
      </c>
      <c r="LSP338" s="42" t="s">
        <v>607</v>
      </c>
      <c r="LSQ338" s="42" t="s">
        <v>607</v>
      </c>
      <c r="LSR338" s="42" t="s">
        <v>607</v>
      </c>
      <c r="LSS338" s="42" t="s">
        <v>607</v>
      </c>
      <c r="LST338" s="42" t="s">
        <v>607</v>
      </c>
      <c r="LSU338" s="42" t="s">
        <v>607</v>
      </c>
      <c r="LSV338" s="42" t="s">
        <v>607</v>
      </c>
      <c r="LSW338" s="42" t="s">
        <v>607</v>
      </c>
      <c r="LSX338" s="42" t="s">
        <v>607</v>
      </c>
      <c r="LSY338" s="42" t="s">
        <v>607</v>
      </c>
      <c r="LSZ338" s="42" t="s">
        <v>607</v>
      </c>
      <c r="LTA338" s="42" t="s">
        <v>607</v>
      </c>
      <c r="LTB338" s="42" t="s">
        <v>607</v>
      </c>
      <c r="LTC338" s="42" t="s">
        <v>607</v>
      </c>
      <c r="LTD338" s="42" t="s">
        <v>607</v>
      </c>
      <c r="LTE338" s="42" t="s">
        <v>607</v>
      </c>
      <c r="LTF338" s="42" t="s">
        <v>607</v>
      </c>
      <c r="LTG338" s="42" t="s">
        <v>607</v>
      </c>
      <c r="LTH338" s="42" t="s">
        <v>607</v>
      </c>
      <c r="LTI338" s="42" t="s">
        <v>607</v>
      </c>
      <c r="LTJ338" s="42" t="s">
        <v>607</v>
      </c>
      <c r="LTK338" s="42" t="s">
        <v>607</v>
      </c>
      <c r="LTL338" s="42" t="s">
        <v>607</v>
      </c>
      <c r="LTM338" s="42" t="s">
        <v>607</v>
      </c>
      <c r="LTN338" s="42" t="s">
        <v>607</v>
      </c>
      <c r="LTO338" s="42" t="s">
        <v>607</v>
      </c>
      <c r="LTP338" s="42" t="s">
        <v>607</v>
      </c>
      <c r="LTQ338" s="42" t="s">
        <v>607</v>
      </c>
      <c r="LTR338" s="42" t="s">
        <v>607</v>
      </c>
      <c r="LTS338" s="42" t="s">
        <v>607</v>
      </c>
      <c r="LTT338" s="42" t="s">
        <v>607</v>
      </c>
      <c r="LTU338" s="42" t="s">
        <v>607</v>
      </c>
      <c r="LTV338" s="42" t="s">
        <v>607</v>
      </c>
      <c r="LTW338" s="42" t="s">
        <v>607</v>
      </c>
      <c r="LTX338" s="42" t="s">
        <v>607</v>
      </c>
      <c r="LTY338" s="42" t="s">
        <v>607</v>
      </c>
      <c r="LTZ338" s="42" t="s">
        <v>607</v>
      </c>
      <c r="LUA338" s="42" t="s">
        <v>607</v>
      </c>
      <c r="LUB338" s="42" t="s">
        <v>607</v>
      </c>
      <c r="LUC338" s="42" t="s">
        <v>607</v>
      </c>
      <c r="LUD338" s="42" t="s">
        <v>607</v>
      </c>
      <c r="LUE338" s="42" t="s">
        <v>607</v>
      </c>
      <c r="LUF338" s="42" t="s">
        <v>607</v>
      </c>
      <c r="LUG338" s="42" t="s">
        <v>607</v>
      </c>
      <c r="LUH338" s="42" t="s">
        <v>607</v>
      </c>
      <c r="LUI338" s="42" t="s">
        <v>607</v>
      </c>
      <c r="LUJ338" s="42" t="s">
        <v>607</v>
      </c>
      <c r="LUK338" s="42" t="s">
        <v>607</v>
      </c>
      <c r="LUL338" s="42" t="s">
        <v>607</v>
      </c>
      <c r="LUM338" s="42" t="s">
        <v>607</v>
      </c>
      <c r="LUN338" s="42" t="s">
        <v>607</v>
      </c>
      <c r="LUO338" s="42" t="s">
        <v>607</v>
      </c>
      <c r="LUP338" s="42" t="s">
        <v>607</v>
      </c>
      <c r="LUQ338" s="42" t="s">
        <v>607</v>
      </c>
      <c r="LUR338" s="42" t="s">
        <v>607</v>
      </c>
      <c r="LUS338" s="42" t="s">
        <v>607</v>
      </c>
      <c r="LUT338" s="42" t="s">
        <v>607</v>
      </c>
      <c r="LUU338" s="42" t="s">
        <v>607</v>
      </c>
      <c r="LUV338" s="42" t="s">
        <v>607</v>
      </c>
      <c r="LUW338" s="42" t="s">
        <v>607</v>
      </c>
      <c r="LUX338" s="42" t="s">
        <v>607</v>
      </c>
      <c r="LUY338" s="42" t="s">
        <v>607</v>
      </c>
      <c r="LUZ338" s="42" t="s">
        <v>607</v>
      </c>
      <c r="LVA338" s="42" t="s">
        <v>607</v>
      </c>
      <c r="LVB338" s="42" t="s">
        <v>607</v>
      </c>
      <c r="LVC338" s="42" t="s">
        <v>607</v>
      </c>
      <c r="LVD338" s="42" t="s">
        <v>607</v>
      </c>
      <c r="LVE338" s="42" t="s">
        <v>607</v>
      </c>
      <c r="LVF338" s="42" t="s">
        <v>607</v>
      </c>
      <c r="LVG338" s="42" t="s">
        <v>607</v>
      </c>
      <c r="LVH338" s="42" t="s">
        <v>607</v>
      </c>
      <c r="LVI338" s="42" t="s">
        <v>607</v>
      </c>
      <c r="LVJ338" s="42" t="s">
        <v>607</v>
      </c>
      <c r="LVK338" s="42" t="s">
        <v>607</v>
      </c>
      <c r="LVL338" s="42" t="s">
        <v>607</v>
      </c>
      <c r="LVM338" s="42" t="s">
        <v>607</v>
      </c>
      <c r="LVN338" s="42" t="s">
        <v>607</v>
      </c>
      <c r="LVO338" s="42" t="s">
        <v>607</v>
      </c>
      <c r="LVP338" s="42" t="s">
        <v>607</v>
      </c>
      <c r="LVQ338" s="42" t="s">
        <v>607</v>
      </c>
      <c r="LVR338" s="42" t="s">
        <v>607</v>
      </c>
      <c r="LVS338" s="42" t="s">
        <v>607</v>
      </c>
      <c r="LVT338" s="42" t="s">
        <v>607</v>
      </c>
      <c r="LVU338" s="42" t="s">
        <v>607</v>
      </c>
      <c r="LVV338" s="42" t="s">
        <v>607</v>
      </c>
      <c r="LVW338" s="42" t="s">
        <v>607</v>
      </c>
      <c r="LVX338" s="42" t="s">
        <v>607</v>
      </c>
      <c r="LVY338" s="42" t="s">
        <v>607</v>
      </c>
      <c r="LVZ338" s="42" t="s">
        <v>607</v>
      </c>
      <c r="LWA338" s="42" t="s">
        <v>607</v>
      </c>
      <c r="LWB338" s="42" t="s">
        <v>607</v>
      </c>
      <c r="LWC338" s="42" t="s">
        <v>607</v>
      </c>
      <c r="LWD338" s="42" t="s">
        <v>607</v>
      </c>
      <c r="LWE338" s="42" t="s">
        <v>607</v>
      </c>
      <c r="LWF338" s="42" t="s">
        <v>607</v>
      </c>
      <c r="LWG338" s="42" t="s">
        <v>607</v>
      </c>
      <c r="LWH338" s="42" t="s">
        <v>607</v>
      </c>
      <c r="LWI338" s="42" t="s">
        <v>607</v>
      </c>
      <c r="LWJ338" s="42" t="s">
        <v>607</v>
      </c>
      <c r="LWK338" s="42" t="s">
        <v>607</v>
      </c>
      <c r="LWL338" s="42" t="s">
        <v>607</v>
      </c>
      <c r="LWM338" s="42" t="s">
        <v>607</v>
      </c>
      <c r="LWN338" s="42" t="s">
        <v>607</v>
      </c>
      <c r="LWO338" s="42" t="s">
        <v>607</v>
      </c>
      <c r="LWP338" s="42" t="s">
        <v>607</v>
      </c>
      <c r="LWQ338" s="42" t="s">
        <v>607</v>
      </c>
      <c r="LWR338" s="42" t="s">
        <v>607</v>
      </c>
      <c r="LWS338" s="42" t="s">
        <v>607</v>
      </c>
      <c r="LWT338" s="42" t="s">
        <v>607</v>
      </c>
      <c r="LWU338" s="42" t="s">
        <v>607</v>
      </c>
      <c r="LWV338" s="42" t="s">
        <v>607</v>
      </c>
      <c r="LWW338" s="42" t="s">
        <v>607</v>
      </c>
      <c r="LWX338" s="42" t="s">
        <v>607</v>
      </c>
      <c r="LWY338" s="42" t="s">
        <v>607</v>
      </c>
      <c r="LWZ338" s="42" t="s">
        <v>607</v>
      </c>
      <c r="LXA338" s="42" t="s">
        <v>607</v>
      </c>
      <c r="LXB338" s="42" t="s">
        <v>607</v>
      </c>
      <c r="LXC338" s="42" t="s">
        <v>607</v>
      </c>
      <c r="LXD338" s="42" t="s">
        <v>607</v>
      </c>
      <c r="LXE338" s="42" t="s">
        <v>607</v>
      </c>
      <c r="LXF338" s="42" t="s">
        <v>607</v>
      </c>
      <c r="LXG338" s="42" t="s">
        <v>607</v>
      </c>
      <c r="LXH338" s="42" t="s">
        <v>607</v>
      </c>
      <c r="LXI338" s="42" t="s">
        <v>607</v>
      </c>
      <c r="LXJ338" s="42" t="s">
        <v>607</v>
      </c>
      <c r="LXK338" s="42" t="s">
        <v>607</v>
      </c>
      <c r="LXL338" s="42" t="s">
        <v>607</v>
      </c>
      <c r="LXM338" s="42" t="s">
        <v>607</v>
      </c>
      <c r="LXN338" s="42" t="s">
        <v>607</v>
      </c>
      <c r="LXO338" s="42" t="s">
        <v>607</v>
      </c>
      <c r="LXP338" s="42" t="s">
        <v>607</v>
      </c>
      <c r="LXQ338" s="42" t="s">
        <v>607</v>
      </c>
      <c r="LXR338" s="42" t="s">
        <v>607</v>
      </c>
      <c r="LXS338" s="42" t="s">
        <v>607</v>
      </c>
      <c r="LXT338" s="42" t="s">
        <v>607</v>
      </c>
      <c r="LXU338" s="42" t="s">
        <v>607</v>
      </c>
      <c r="LXV338" s="42" t="s">
        <v>607</v>
      </c>
      <c r="LXW338" s="42" t="s">
        <v>607</v>
      </c>
      <c r="LXX338" s="42" t="s">
        <v>607</v>
      </c>
      <c r="LXY338" s="42" t="s">
        <v>607</v>
      </c>
      <c r="LXZ338" s="42" t="s">
        <v>607</v>
      </c>
      <c r="LYA338" s="42" t="s">
        <v>607</v>
      </c>
      <c r="LYB338" s="42" t="s">
        <v>607</v>
      </c>
      <c r="LYC338" s="42" t="s">
        <v>607</v>
      </c>
      <c r="LYD338" s="42" t="s">
        <v>607</v>
      </c>
      <c r="LYE338" s="42" t="s">
        <v>607</v>
      </c>
      <c r="LYF338" s="42" t="s">
        <v>607</v>
      </c>
      <c r="LYG338" s="42" t="s">
        <v>607</v>
      </c>
      <c r="LYH338" s="42" t="s">
        <v>607</v>
      </c>
      <c r="LYI338" s="42" t="s">
        <v>607</v>
      </c>
      <c r="LYJ338" s="42" t="s">
        <v>607</v>
      </c>
      <c r="LYK338" s="42" t="s">
        <v>607</v>
      </c>
      <c r="LYL338" s="42" t="s">
        <v>607</v>
      </c>
      <c r="LYM338" s="42" t="s">
        <v>607</v>
      </c>
      <c r="LYN338" s="42" t="s">
        <v>607</v>
      </c>
      <c r="LYO338" s="42" t="s">
        <v>607</v>
      </c>
      <c r="LYP338" s="42" t="s">
        <v>607</v>
      </c>
      <c r="LYQ338" s="42" t="s">
        <v>607</v>
      </c>
      <c r="LYR338" s="42" t="s">
        <v>607</v>
      </c>
      <c r="LYS338" s="42" t="s">
        <v>607</v>
      </c>
      <c r="LYT338" s="42" t="s">
        <v>607</v>
      </c>
      <c r="LYU338" s="42" t="s">
        <v>607</v>
      </c>
      <c r="LYV338" s="42" t="s">
        <v>607</v>
      </c>
      <c r="LYW338" s="42" t="s">
        <v>607</v>
      </c>
      <c r="LYX338" s="42" t="s">
        <v>607</v>
      </c>
      <c r="LYY338" s="42" t="s">
        <v>607</v>
      </c>
      <c r="LYZ338" s="42" t="s">
        <v>607</v>
      </c>
      <c r="LZA338" s="42" t="s">
        <v>607</v>
      </c>
      <c r="LZB338" s="42" t="s">
        <v>607</v>
      </c>
      <c r="LZC338" s="42" t="s">
        <v>607</v>
      </c>
      <c r="LZD338" s="42" t="s">
        <v>607</v>
      </c>
      <c r="LZE338" s="42" t="s">
        <v>607</v>
      </c>
      <c r="LZF338" s="42" t="s">
        <v>607</v>
      </c>
      <c r="LZG338" s="42" t="s">
        <v>607</v>
      </c>
      <c r="LZH338" s="42" t="s">
        <v>607</v>
      </c>
      <c r="LZI338" s="42" t="s">
        <v>607</v>
      </c>
      <c r="LZJ338" s="42" t="s">
        <v>607</v>
      </c>
      <c r="LZK338" s="42" t="s">
        <v>607</v>
      </c>
      <c r="LZL338" s="42" t="s">
        <v>607</v>
      </c>
      <c r="LZM338" s="42" t="s">
        <v>607</v>
      </c>
      <c r="LZN338" s="42" t="s">
        <v>607</v>
      </c>
      <c r="LZO338" s="42" t="s">
        <v>607</v>
      </c>
      <c r="LZP338" s="42" t="s">
        <v>607</v>
      </c>
      <c r="LZQ338" s="42" t="s">
        <v>607</v>
      </c>
      <c r="LZR338" s="42" t="s">
        <v>607</v>
      </c>
      <c r="LZS338" s="42" t="s">
        <v>607</v>
      </c>
      <c r="LZT338" s="42" t="s">
        <v>607</v>
      </c>
      <c r="LZU338" s="42" t="s">
        <v>607</v>
      </c>
      <c r="LZV338" s="42" t="s">
        <v>607</v>
      </c>
      <c r="LZW338" s="42" t="s">
        <v>607</v>
      </c>
      <c r="LZX338" s="42" t="s">
        <v>607</v>
      </c>
      <c r="LZY338" s="42" t="s">
        <v>607</v>
      </c>
      <c r="LZZ338" s="42" t="s">
        <v>607</v>
      </c>
      <c r="MAA338" s="42" t="s">
        <v>607</v>
      </c>
      <c r="MAB338" s="42" t="s">
        <v>607</v>
      </c>
      <c r="MAC338" s="42" t="s">
        <v>607</v>
      </c>
      <c r="MAD338" s="42" t="s">
        <v>607</v>
      </c>
      <c r="MAE338" s="42" t="s">
        <v>607</v>
      </c>
      <c r="MAF338" s="42" t="s">
        <v>607</v>
      </c>
      <c r="MAG338" s="42" t="s">
        <v>607</v>
      </c>
      <c r="MAH338" s="42" t="s">
        <v>607</v>
      </c>
      <c r="MAI338" s="42" t="s">
        <v>607</v>
      </c>
      <c r="MAJ338" s="42" t="s">
        <v>607</v>
      </c>
      <c r="MAK338" s="42" t="s">
        <v>607</v>
      </c>
      <c r="MAL338" s="42" t="s">
        <v>607</v>
      </c>
      <c r="MAM338" s="42" t="s">
        <v>607</v>
      </c>
      <c r="MAN338" s="42" t="s">
        <v>607</v>
      </c>
      <c r="MAO338" s="42" t="s">
        <v>607</v>
      </c>
      <c r="MAP338" s="42" t="s">
        <v>607</v>
      </c>
      <c r="MAQ338" s="42" t="s">
        <v>607</v>
      </c>
      <c r="MAR338" s="42" t="s">
        <v>607</v>
      </c>
      <c r="MAS338" s="42" t="s">
        <v>607</v>
      </c>
      <c r="MAT338" s="42" t="s">
        <v>607</v>
      </c>
      <c r="MAU338" s="42" t="s">
        <v>607</v>
      </c>
      <c r="MAV338" s="42" t="s">
        <v>607</v>
      </c>
      <c r="MAW338" s="42" t="s">
        <v>607</v>
      </c>
      <c r="MAX338" s="42" t="s">
        <v>607</v>
      </c>
      <c r="MAY338" s="42" t="s">
        <v>607</v>
      </c>
      <c r="MAZ338" s="42" t="s">
        <v>607</v>
      </c>
      <c r="MBA338" s="42" t="s">
        <v>607</v>
      </c>
      <c r="MBB338" s="42" t="s">
        <v>607</v>
      </c>
      <c r="MBC338" s="42" t="s">
        <v>607</v>
      </c>
      <c r="MBD338" s="42" t="s">
        <v>607</v>
      </c>
      <c r="MBE338" s="42" t="s">
        <v>607</v>
      </c>
      <c r="MBF338" s="42" t="s">
        <v>607</v>
      </c>
      <c r="MBG338" s="42" t="s">
        <v>607</v>
      </c>
      <c r="MBH338" s="42" t="s">
        <v>607</v>
      </c>
      <c r="MBI338" s="42" t="s">
        <v>607</v>
      </c>
      <c r="MBJ338" s="42" t="s">
        <v>607</v>
      </c>
      <c r="MBK338" s="42" t="s">
        <v>607</v>
      </c>
      <c r="MBL338" s="42" t="s">
        <v>607</v>
      </c>
      <c r="MBM338" s="42" t="s">
        <v>607</v>
      </c>
      <c r="MBN338" s="42" t="s">
        <v>607</v>
      </c>
      <c r="MBO338" s="42" t="s">
        <v>607</v>
      </c>
      <c r="MBP338" s="42" t="s">
        <v>607</v>
      </c>
      <c r="MBQ338" s="42" t="s">
        <v>607</v>
      </c>
      <c r="MBR338" s="42" t="s">
        <v>607</v>
      </c>
      <c r="MBS338" s="42" t="s">
        <v>607</v>
      </c>
      <c r="MBT338" s="42" t="s">
        <v>607</v>
      </c>
      <c r="MBU338" s="42" t="s">
        <v>607</v>
      </c>
      <c r="MBV338" s="42" t="s">
        <v>607</v>
      </c>
      <c r="MBW338" s="42" t="s">
        <v>607</v>
      </c>
      <c r="MBX338" s="42" t="s">
        <v>607</v>
      </c>
      <c r="MBY338" s="42" t="s">
        <v>607</v>
      </c>
      <c r="MBZ338" s="42" t="s">
        <v>607</v>
      </c>
      <c r="MCA338" s="42" t="s">
        <v>607</v>
      </c>
      <c r="MCB338" s="42" t="s">
        <v>607</v>
      </c>
      <c r="MCC338" s="42" t="s">
        <v>607</v>
      </c>
      <c r="MCD338" s="42" t="s">
        <v>607</v>
      </c>
      <c r="MCE338" s="42" t="s">
        <v>607</v>
      </c>
      <c r="MCF338" s="42" t="s">
        <v>607</v>
      </c>
      <c r="MCG338" s="42" t="s">
        <v>607</v>
      </c>
      <c r="MCH338" s="42" t="s">
        <v>607</v>
      </c>
      <c r="MCI338" s="42" t="s">
        <v>607</v>
      </c>
      <c r="MCJ338" s="42" t="s">
        <v>607</v>
      </c>
      <c r="MCK338" s="42" t="s">
        <v>607</v>
      </c>
      <c r="MCL338" s="42" t="s">
        <v>607</v>
      </c>
      <c r="MCM338" s="42" t="s">
        <v>607</v>
      </c>
      <c r="MCN338" s="42" t="s">
        <v>607</v>
      </c>
      <c r="MCO338" s="42" t="s">
        <v>607</v>
      </c>
      <c r="MCP338" s="42" t="s">
        <v>607</v>
      </c>
      <c r="MCQ338" s="42" t="s">
        <v>607</v>
      </c>
      <c r="MCR338" s="42" t="s">
        <v>607</v>
      </c>
      <c r="MCS338" s="42" t="s">
        <v>607</v>
      </c>
      <c r="MCT338" s="42" t="s">
        <v>607</v>
      </c>
      <c r="MCU338" s="42" t="s">
        <v>607</v>
      </c>
      <c r="MCV338" s="42" t="s">
        <v>607</v>
      </c>
      <c r="MCW338" s="42" t="s">
        <v>607</v>
      </c>
      <c r="MCX338" s="42" t="s">
        <v>607</v>
      </c>
      <c r="MCY338" s="42" t="s">
        <v>607</v>
      </c>
      <c r="MCZ338" s="42" t="s">
        <v>607</v>
      </c>
      <c r="MDA338" s="42" t="s">
        <v>607</v>
      </c>
      <c r="MDB338" s="42" t="s">
        <v>607</v>
      </c>
      <c r="MDC338" s="42" t="s">
        <v>607</v>
      </c>
      <c r="MDD338" s="42" t="s">
        <v>607</v>
      </c>
      <c r="MDE338" s="42" t="s">
        <v>607</v>
      </c>
      <c r="MDF338" s="42" t="s">
        <v>607</v>
      </c>
      <c r="MDG338" s="42" t="s">
        <v>607</v>
      </c>
      <c r="MDH338" s="42" t="s">
        <v>607</v>
      </c>
      <c r="MDI338" s="42" t="s">
        <v>607</v>
      </c>
      <c r="MDJ338" s="42" t="s">
        <v>607</v>
      </c>
      <c r="MDK338" s="42" t="s">
        <v>607</v>
      </c>
      <c r="MDL338" s="42" t="s">
        <v>607</v>
      </c>
      <c r="MDM338" s="42" t="s">
        <v>607</v>
      </c>
      <c r="MDN338" s="42" t="s">
        <v>607</v>
      </c>
      <c r="MDO338" s="42" t="s">
        <v>607</v>
      </c>
      <c r="MDP338" s="42" t="s">
        <v>607</v>
      </c>
      <c r="MDQ338" s="42" t="s">
        <v>607</v>
      </c>
      <c r="MDR338" s="42" t="s">
        <v>607</v>
      </c>
      <c r="MDS338" s="42" t="s">
        <v>607</v>
      </c>
      <c r="MDT338" s="42" t="s">
        <v>607</v>
      </c>
      <c r="MDU338" s="42" t="s">
        <v>607</v>
      </c>
      <c r="MDV338" s="42" t="s">
        <v>607</v>
      </c>
      <c r="MDW338" s="42" t="s">
        <v>607</v>
      </c>
      <c r="MDX338" s="42" t="s">
        <v>607</v>
      </c>
      <c r="MDY338" s="42" t="s">
        <v>607</v>
      </c>
      <c r="MDZ338" s="42" t="s">
        <v>607</v>
      </c>
      <c r="MEA338" s="42" t="s">
        <v>607</v>
      </c>
      <c r="MEB338" s="42" t="s">
        <v>607</v>
      </c>
      <c r="MEC338" s="42" t="s">
        <v>607</v>
      </c>
      <c r="MED338" s="42" t="s">
        <v>607</v>
      </c>
      <c r="MEE338" s="42" t="s">
        <v>607</v>
      </c>
      <c r="MEF338" s="42" t="s">
        <v>607</v>
      </c>
      <c r="MEG338" s="42" t="s">
        <v>607</v>
      </c>
      <c r="MEH338" s="42" t="s">
        <v>607</v>
      </c>
      <c r="MEI338" s="42" t="s">
        <v>607</v>
      </c>
      <c r="MEJ338" s="42" t="s">
        <v>607</v>
      </c>
      <c r="MEK338" s="42" t="s">
        <v>607</v>
      </c>
      <c r="MEL338" s="42" t="s">
        <v>607</v>
      </c>
      <c r="MEM338" s="42" t="s">
        <v>607</v>
      </c>
      <c r="MEN338" s="42" t="s">
        <v>607</v>
      </c>
      <c r="MEO338" s="42" t="s">
        <v>607</v>
      </c>
      <c r="MEP338" s="42" t="s">
        <v>607</v>
      </c>
      <c r="MEQ338" s="42" t="s">
        <v>607</v>
      </c>
      <c r="MER338" s="42" t="s">
        <v>607</v>
      </c>
      <c r="MES338" s="42" t="s">
        <v>607</v>
      </c>
      <c r="MET338" s="42" t="s">
        <v>607</v>
      </c>
      <c r="MEU338" s="42" t="s">
        <v>607</v>
      </c>
      <c r="MEV338" s="42" t="s">
        <v>607</v>
      </c>
      <c r="MEW338" s="42" t="s">
        <v>607</v>
      </c>
      <c r="MEX338" s="42" t="s">
        <v>607</v>
      </c>
      <c r="MEY338" s="42" t="s">
        <v>607</v>
      </c>
      <c r="MEZ338" s="42" t="s">
        <v>607</v>
      </c>
      <c r="MFA338" s="42" t="s">
        <v>607</v>
      </c>
      <c r="MFB338" s="42" t="s">
        <v>607</v>
      </c>
      <c r="MFC338" s="42" t="s">
        <v>607</v>
      </c>
      <c r="MFD338" s="42" t="s">
        <v>607</v>
      </c>
      <c r="MFE338" s="42" t="s">
        <v>607</v>
      </c>
      <c r="MFF338" s="42" t="s">
        <v>607</v>
      </c>
      <c r="MFG338" s="42" t="s">
        <v>607</v>
      </c>
      <c r="MFH338" s="42" t="s">
        <v>607</v>
      </c>
      <c r="MFI338" s="42" t="s">
        <v>607</v>
      </c>
      <c r="MFJ338" s="42" t="s">
        <v>607</v>
      </c>
      <c r="MFK338" s="42" t="s">
        <v>607</v>
      </c>
      <c r="MFL338" s="42" t="s">
        <v>607</v>
      </c>
      <c r="MFM338" s="42" t="s">
        <v>607</v>
      </c>
      <c r="MFN338" s="42" t="s">
        <v>607</v>
      </c>
      <c r="MFO338" s="42" t="s">
        <v>607</v>
      </c>
      <c r="MFP338" s="42" t="s">
        <v>607</v>
      </c>
      <c r="MFQ338" s="42" t="s">
        <v>607</v>
      </c>
      <c r="MFR338" s="42" t="s">
        <v>607</v>
      </c>
      <c r="MFS338" s="42" t="s">
        <v>607</v>
      </c>
      <c r="MFT338" s="42" t="s">
        <v>607</v>
      </c>
      <c r="MFU338" s="42" t="s">
        <v>607</v>
      </c>
      <c r="MFV338" s="42" t="s">
        <v>607</v>
      </c>
      <c r="MFW338" s="42" t="s">
        <v>607</v>
      </c>
      <c r="MFX338" s="42" t="s">
        <v>607</v>
      </c>
      <c r="MFY338" s="42" t="s">
        <v>607</v>
      </c>
      <c r="MFZ338" s="42" t="s">
        <v>607</v>
      </c>
      <c r="MGA338" s="42" t="s">
        <v>607</v>
      </c>
      <c r="MGB338" s="42" t="s">
        <v>607</v>
      </c>
      <c r="MGC338" s="42" t="s">
        <v>607</v>
      </c>
      <c r="MGD338" s="42" t="s">
        <v>607</v>
      </c>
      <c r="MGE338" s="42" t="s">
        <v>607</v>
      </c>
      <c r="MGF338" s="42" t="s">
        <v>607</v>
      </c>
      <c r="MGG338" s="42" t="s">
        <v>607</v>
      </c>
      <c r="MGH338" s="42" t="s">
        <v>607</v>
      </c>
      <c r="MGI338" s="42" t="s">
        <v>607</v>
      </c>
      <c r="MGJ338" s="42" t="s">
        <v>607</v>
      </c>
      <c r="MGK338" s="42" t="s">
        <v>607</v>
      </c>
      <c r="MGL338" s="42" t="s">
        <v>607</v>
      </c>
      <c r="MGM338" s="42" t="s">
        <v>607</v>
      </c>
      <c r="MGN338" s="42" t="s">
        <v>607</v>
      </c>
      <c r="MGO338" s="42" t="s">
        <v>607</v>
      </c>
      <c r="MGP338" s="42" t="s">
        <v>607</v>
      </c>
      <c r="MGQ338" s="42" t="s">
        <v>607</v>
      </c>
      <c r="MGR338" s="42" t="s">
        <v>607</v>
      </c>
      <c r="MGS338" s="42" t="s">
        <v>607</v>
      </c>
      <c r="MGT338" s="42" t="s">
        <v>607</v>
      </c>
      <c r="MGU338" s="42" t="s">
        <v>607</v>
      </c>
      <c r="MGV338" s="42" t="s">
        <v>607</v>
      </c>
      <c r="MGW338" s="42" t="s">
        <v>607</v>
      </c>
      <c r="MGX338" s="42" t="s">
        <v>607</v>
      </c>
      <c r="MGY338" s="42" t="s">
        <v>607</v>
      </c>
      <c r="MGZ338" s="42" t="s">
        <v>607</v>
      </c>
      <c r="MHA338" s="42" t="s">
        <v>607</v>
      </c>
      <c r="MHB338" s="42" t="s">
        <v>607</v>
      </c>
      <c r="MHC338" s="42" t="s">
        <v>607</v>
      </c>
      <c r="MHD338" s="42" t="s">
        <v>607</v>
      </c>
      <c r="MHE338" s="42" t="s">
        <v>607</v>
      </c>
      <c r="MHF338" s="42" t="s">
        <v>607</v>
      </c>
      <c r="MHG338" s="42" t="s">
        <v>607</v>
      </c>
      <c r="MHH338" s="42" t="s">
        <v>607</v>
      </c>
      <c r="MHI338" s="42" t="s">
        <v>607</v>
      </c>
      <c r="MHJ338" s="42" t="s">
        <v>607</v>
      </c>
      <c r="MHK338" s="42" t="s">
        <v>607</v>
      </c>
      <c r="MHL338" s="42" t="s">
        <v>607</v>
      </c>
      <c r="MHM338" s="42" t="s">
        <v>607</v>
      </c>
      <c r="MHN338" s="42" t="s">
        <v>607</v>
      </c>
      <c r="MHO338" s="42" t="s">
        <v>607</v>
      </c>
      <c r="MHP338" s="42" t="s">
        <v>607</v>
      </c>
      <c r="MHQ338" s="42" t="s">
        <v>607</v>
      </c>
      <c r="MHR338" s="42" t="s">
        <v>607</v>
      </c>
      <c r="MHS338" s="42" t="s">
        <v>607</v>
      </c>
      <c r="MHT338" s="42" t="s">
        <v>607</v>
      </c>
      <c r="MHU338" s="42" t="s">
        <v>607</v>
      </c>
      <c r="MHV338" s="42" t="s">
        <v>607</v>
      </c>
      <c r="MHW338" s="42" t="s">
        <v>607</v>
      </c>
      <c r="MHX338" s="42" t="s">
        <v>607</v>
      </c>
      <c r="MHY338" s="42" t="s">
        <v>607</v>
      </c>
      <c r="MHZ338" s="42" t="s">
        <v>607</v>
      </c>
      <c r="MIA338" s="42" t="s">
        <v>607</v>
      </c>
      <c r="MIB338" s="42" t="s">
        <v>607</v>
      </c>
      <c r="MIC338" s="42" t="s">
        <v>607</v>
      </c>
      <c r="MID338" s="42" t="s">
        <v>607</v>
      </c>
      <c r="MIE338" s="42" t="s">
        <v>607</v>
      </c>
      <c r="MIF338" s="42" t="s">
        <v>607</v>
      </c>
      <c r="MIG338" s="42" t="s">
        <v>607</v>
      </c>
      <c r="MIH338" s="42" t="s">
        <v>607</v>
      </c>
      <c r="MII338" s="42" t="s">
        <v>607</v>
      </c>
      <c r="MIJ338" s="42" t="s">
        <v>607</v>
      </c>
      <c r="MIK338" s="42" t="s">
        <v>607</v>
      </c>
      <c r="MIL338" s="42" t="s">
        <v>607</v>
      </c>
      <c r="MIM338" s="42" t="s">
        <v>607</v>
      </c>
      <c r="MIN338" s="42" t="s">
        <v>607</v>
      </c>
      <c r="MIO338" s="42" t="s">
        <v>607</v>
      </c>
      <c r="MIP338" s="42" t="s">
        <v>607</v>
      </c>
      <c r="MIQ338" s="42" t="s">
        <v>607</v>
      </c>
      <c r="MIR338" s="42" t="s">
        <v>607</v>
      </c>
      <c r="MIS338" s="42" t="s">
        <v>607</v>
      </c>
      <c r="MIT338" s="42" t="s">
        <v>607</v>
      </c>
      <c r="MIU338" s="42" t="s">
        <v>607</v>
      </c>
      <c r="MIV338" s="42" t="s">
        <v>607</v>
      </c>
      <c r="MIW338" s="42" t="s">
        <v>607</v>
      </c>
      <c r="MIX338" s="42" t="s">
        <v>607</v>
      </c>
      <c r="MIY338" s="42" t="s">
        <v>607</v>
      </c>
      <c r="MIZ338" s="42" t="s">
        <v>607</v>
      </c>
      <c r="MJA338" s="42" t="s">
        <v>607</v>
      </c>
      <c r="MJB338" s="42" t="s">
        <v>607</v>
      </c>
      <c r="MJC338" s="42" t="s">
        <v>607</v>
      </c>
      <c r="MJD338" s="42" t="s">
        <v>607</v>
      </c>
      <c r="MJE338" s="42" t="s">
        <v>607</v>
      </c>
      <c r="MJF338" s="42" t="s">
        <v>607</v>
      </c>
      <c r="MJG338" s="42" t="s">
        <v>607</v>
      </c>
      <c r="MJH338" s="42" t="s">
        <v>607</v>
      </c>
      <c r="MJI338" s="42" t="s">
        <v>607</v>
      </c>
      <c r="MJJ338" s="42" t="s">
        <v>607</v>
      </c>
      <c r="MJK338" s="42" t="s">
        <v>607</v>
      </c>
      <c r="MJL338" s="42" t="s">
        <v>607</v>
      </c>
      <c r="MJM338" s="42" t="s">
        <v>607</v>
      </c>
      <c r="MJN338" s="42" t="s">
        <v>607</v>
      </c>
      <c r="MJO338" s="42" t="s">
        <v>607</v>
      </c>
      <c r="MJP338" s="42" t="s">
        <v>607</v>
      </c>
      <c r="MJQ338" s="42" t="s">
        <v>607</v>
      </c>
      <c r="MJR338" s="42" t="s">
        <v>607</v>
      </c>
      <c r="MJS338" s="42" t="s">
        <v>607</v>
      </c>
      <c r="MJT338" s="42" t="s">
        <v>607</v>
      </c>
      <c r="MJU338" s="42" t="s">
        <v>607</v>
      </c>
      <c r="MJV338" s="42" t="s">
        <v>607</v>
      </c>
      <c r="MJW338" s="42" t="s">
        <v>607</v>
      </c>
      <c r="MJX338" s="42" t="s">
        <v>607</v>
      </c>
      <c r="MJY338" s="42" t="s">
        <v>607</v>
      </c>
      <c r="MJZ338" s="42" t="s">
        <v>607</v>
      </c>
      <c r="MKA338" s="42" t="s">
        <v>607</v>
      </c>
      <c r="MKB338" s="42" t="s">
        <v>607</v>
      </c>
      <c r="MKC338" s="42" t="s">
        <v>607</v>
      </c>
      <c r="MKD338" s="42" t="s">
        <v>607</v>
      </c>
      <c r="MKE338" s="42" t="s">
        <v>607</v>
      </c>
      <c r="MKF338" s="42" t="s">
        <v>607</v>
      </c>
      <c r="MKG338" s="42" t="s">
        <v>607</v>
      </c>
      <c r="MKH338" s="42" t="s">
        <v>607</v>
      </c>
      <c r="MKI338" s="42" t="s">
        <v>607</v>
      </c>
      <c r="MKJ338" s="42" t="s">
        <v>607</v>
      </c>
      <c r="MKK338" s="42" t="s">
        <v>607</v>
      </c>
      <c r="MKL338" s="42" t="s">
        <v>607</v>
      </c>
      <c r="MKM338" s="42" t="s">
        <v>607</v>
      </c>
      <c r="MKN338" s="42" t="s">
        <v>607</v>
      </c>
      <c r="MKO338" s="42" t="s">
        <v>607</v>
      </c>
      <c r="MKP338" s="42" t="s">
        <v>607</v>
      </c>
      <c r="MKQ338" s="42" t="s">
        <v>607</v>
      </c>
      <c r="MKR338" s="42" t="s">
        <v>607</v>
      </c>
      <c r="MKS338" s="42" t="s">
        <v>607</v>
      </c>
      <c r="MKT338" s="42" t="s">
        <v>607</v>
      </c>
      <c r="MKU338" s="42" t="s">
        <v>607</v>
      </c>
      <c r="MKV338" s="42" t="s">
        <v>607</v>
      </c>
      <c r="MKW338" s="42" t="s">
        <v>607</v>
      </c>
      <c r="MKX338" s="42" t="s">
        <v>607</v>
      </c>
      <c r="MKY338" s="42" t="s">
        <v>607</v>
      </c>
      <c r="MKZ338" s="42" t="s">
        <v>607</v>
      </c>
      <c r="MLA338" s="42" t="s">
        <v>607</v>
      </c>
      <c r="MLB338" s="42" t="s">
        <v>607</v>
      </c>
      <c r="MLC338" s="42" t="s">
        <v>607</v>
      </c>
      <c r="MLD338" s="42" t="s">
        <v>607</v>
      </c>
      <c r="MLE338" s="42" t="s">
        <v>607</v>
      </c>
      <c r="MLF338" s="42" t="s">
        <v>607</v>
      </c>
      <c r="MLG338" s="42" t="s">
        <v>607</v>
      </c>
      <c r="MLH338" s="42" t="s">
        <v>607</v>
      </c>
      <c r="MLI338" s="42" t="s">
        <v>607</v>
      </c>
      <c r="MLJ338" s="42" t="s">
        <v>607</v>
      </c>
      <c r="MLK338" s="42" t="s">
        <v>607</v>
      </c>
      <c r="MLL338" s="42" t="s">
        <v>607</v>
      </c>
      <c r="MLM338" s="42" t="s">
        <v>607</v>
      </c>
      <c r="MLN338" s="42" t="s">
        <v>607</v>
      </c>
      <c r="MLO338" s="42" t="s">
        <v>607</v>
      </c>
      <c r="MLP338" s="42" t="s">
        <v>607</v>
      </c>
      <c r="MLQ338" s="42" t="s">
        <v>607</v>
      </c>
      <c r="MLR338" s="42" t="s">
        <v>607</v>
      </c>
      <c r="MLS338" s="42" t="s">
        <v>607</v>
      </c>
      <c r="MLT338" s="42" t="s">
        <v>607</v>
      </c>
      <c r="MLU338" s="42" t="s">
        <v>607</v>
      </c>
      <c r="MLV338" s="42" t="s">
        <v>607</v>
      </c>
      <c r="MLW338" s="42" t="s">
        <v>607</v>
      </c>
      <c r="MLX338" s="42" t="s">
        <v>607</v>
      </c>
      <c r="MLY338" s="42" t="s">
        <v>607</v>
      </c>
      <c r="MLZ338" s="42" t="s">
        <v>607</v>
      </c>
      <c r="MMA338" s="42" t="s">
        <v>607</v>
      </c>
      <c r="MMB338" s="42" t="s">
        <v>607</v>
      </c>
      <c r="MMC338" s="42" t="s">
        <v>607</v>
      </c>
      <c r="MMD338" s="42" t="s">
        <v>607</v>
      </c>
      <c r="MME338" s="42" t="s">
        <v>607</v>
      </c>
      <c r="MMF338" s="42" t="s">
        <v>607</v>
      </c>
      <c r="MMG338" s="42" t="s">
        <v>607</v>
      </c>
      <c r="MMH338" s="42" t="s">
        <v>607</v>
      </c>
      <c r="MMI338" s="42" t="s">
        <v>607</v>
      </c>
      <c r="MMJ338" s="42" t="s">
        <v>607</v>
      </c>
      <c r="MMK338" s="42" t="s">
        <v>607</v>
      </c>
      <c r="MML338" s="42" t="s">
        <v>607</v>
      </c>
      <c r="MMM338" s="42" t="s">
        <v>607</v>
      </c>
      <c r="MMN338" s="42" t="s">
        <v>607</v>
      </c>
      <c r="MMO338" s="42" t="s">
        <v>607</v>
      </c>
      <c r="MMP338" s="42" t="s">
        <v>607</v>
      </c>
      <c r="MMQ338" s="42" t="s">
        <v>607</v>
      </c>
      <c r="MMR338" s="42" t="s">
        <v>607</v>
      </c>
      <c r="MMS338" s="42" t="s">
        <v>607</v>
      </c>
      <c r="MMT338" s="42" t="s">
        <v>607</v>
      </c>
      <c r="MMU338" s="42" t="s">
        <v>607</v>
      </c>
      <c r="MMV338" s="42" t="s">
        <v>607</v>
      </c>
      <c r="MMW338" s="42" t="s">
        <v>607</v>
      </c>
      <c r="MMX338" s="42" t="s">
        <v>607</v>
      </c>
      <c r="MMY338" s="42" t="s">
        <v>607</v>
      </c>
      <c r="MMZ338" s="42" t="s">
        <v>607</v>
      </c>
      <c r="MNA338" s="42" t="s">
        <v>607</v>
      </c>
      <c r="MNB338" s="42" t="s">
        <v>607</v>
      </c>
      <c r="MNC338" s="42" t="s">
        <v>607</v>
      </c>
      <c r="MND338" s="42" t="s">
        <v>607</v>
      </c>
      <c r="MNE338" s="42" t="s">
        <v>607</v>
      </c>
      <c r="MNF338" s="42" t="s">
        <v>607</v>
      </c>
      <c r="MNG338" s="42" t="s">
        <v>607</v>
      </c>
      <c r="MNH338" s="42" t="s">
        <v>607</v>
      </c>
      <c r="MNI338" s="42" t="s">
        <v>607</v>
      </c>
      <c r="MNJ338" s="42" t="s">
        <v>607</v>
      </c>
      <c r="MNK338" s="42" t="s">
        <v>607</v>
      </c>
      <c r="MNL338" s="42" t="s">
        <v>607</v>
      </c>
      <c r="MNM338" s="42" t="s">
        <v>607</v>
      </c>
      <c r="MNN338" s="42" t="s">
        <v>607</v>
      </c>
      <c r="MNO338" s="42" t="s">
        <v>607</v>
      </c>
      <c r="MNP338" s="42" t="s">
        <v>607</v>
      </c>
      <c r="MNQ338" s="42" t="s">
        <v>607</v>
      </c>
      <c r="MNR338" s="42" t="s">
        <v>607</v>
      </c>
      <c r="MNS338" s="42" t="s">
        <v>607</v>
      </c>
      <c r="MNT338" s="42" t="s">
        <v>607</v>
      </c>
      <c r="MNU338" s="42" t="s">
        <v>607</v>
      </c>
      <c r="MNV338" s="42" t="s">
        <v>607</v>
      </c>
      <c r="MNW338" s="42" t="s">
        <v>607</v>
      </c>
      <c r="MNX338" s="42" t="s">
        <v>607</v>
      </c>
      <c r="MNY338" s="42" t="s">
        <v>607</v>
      </c>
      <c r="MNZ338" s="42" t="s">
        <v>607</v>
      </c>
      <c r="MOA338" s="42" t="s">
        <v>607</v>
      </c>
      <c r="MOB338" s="42" t="s">
        <v>607</v>
      </c>
      <c r="MOC338" s="42" t="s">
        <v>607</v>
      </c>
      <c r="MOD338" s="42" t="s">
        <v>607</v>
      </c>
      <c r="MOE338" s="42" t="s">
        <v>607</v>
      </c>
      <c r="MOF338" s="42" t="s">
        <v>607</v>
      </c>
      <c r="MOG338" s="42" t="s">
        <v>607</v>
      </c>
      <c r="MOH338" s="42" t="s">
        <v>607</v>
      </c>
      <c r="MOI338" s="42" t="s">
        <v>607</v>
      </c>
      <c r="MOJ338" s="42" t="s">
        <v>607</v>
      </c>
      <c r="MOK338" s="42" t="s">
        <v>607</v>
      </c>
      <c r="MOL338" s="42" t="s">
        <v>607</v>
      </c>
      <c r="MOM338" s="42" t="s">
        <v>607</v>
      </c>
      <c r="MON338" s="42" t="s">
        <v>607</v>
      </c>
      <c r="MOO338" s="42" t="s">
        <v>607</v>
      </c>
      <c r="MOP338" s="42" t="s">
        <v>607</v>
      </c>
      <c r="MOQ338" s="42" t="s">
        <v>607</v>
      </c>
      <c r="MOR338" s="42" t="s">
        <v>607</v>
      </c>
      <c r="MOS338" s="42" t="s">
        <v>607</v>
      </c>
      <c r="MOT338" s="42" t="s">
        <v>607</v>
      </c>
      <c r="MOU338" s="42" t="s">
        <v>607</v>
      </c>
      <c r="MOV338" s="42" t="s">
        <v>607</v>
      </c>
      <c r="MOW338" s="42" t="s">
        <v>607</v>
      </c>
      <c r="MOX338" s="42" t="s">
        <v>607</v>
      </c>
      <c r="MOY338" s="42" t="s">
        <v>607</v>
      </c>
      <c r="MOZ338" s="42" t="s">
        <v>607</v>
      </c>
      <c r="MPA338" s="42" t="s">
        <v>607</v>
      </c>
      <c r="MPB338" s="42" t="s">
        <v>607</v>
      </c>
      <c r="MPC338" s="42" t="s">
        <v>607</v>
      </c>
      <c r="MPD338" s="42" t="s">
        <v>607</v>
      </c>
      <c r="MPE338" s="42" t="s">
        <v>607</v>
      </c>
      <c r="MPF338" s="42" t="s">
        <v>607</v>
      </c>
      <c r="MPG338" s="42" t="s">
        <v>607</v>
      </c>
      <c r="MPH338" s="42" t="s">
        <v>607</v>
      </c>
      <c r="MPI338" s="42" t="s">
        <v>607</v>
      </c>
      <c r="MPJ338" s="42" t="s">
        <v>607</v>
      </c>
      <c r="MPK338" s="42" t="s">
        <v>607</v>
      </c>
      <c r="MPL338" s="42" t="s">
        <v>607</v>
      </c>
      <c r="MPM338" s="42" t="s">
        <v>607</v>
      </c>
      <c r="MPN338" s="42" t="s">
        <v>607</v>
      </c>
      <c r="MPO338" s="42" t="s">
        <v>607</v>
      </c>
      <c r="MPP338" s="42" t="s">
        <v>607</v>
      </c>
      <c r="MPQ338" s="42" t="s">
        <v>607</v>
      </c>
      <c r="MPR338" s="42" t="s">
        <v>607</v>
      </c>
      <c r="MPS338" s="42" t="s">
        <v>607</v>
      </c>
      <c r="MPT338" s="42" t="s">
        <v>607</v>
      </c>
      <c r="MPU338" s="42" t="s">
        <v>607</v>
      </c>
      <c r="MPV338" s="42" t="s">
        <v>607</v>
      </c>
      <c r="MPW338" s="42" t="s">
        <v>607</v>
      </c>
      <c r="MPX338" s="42" t="s">
        <v>607</v>
      </c>
      <c r="MPY338" s="42" t="s">
        <v>607</v>
      </c>
      <c r="MPZ338" s="42" t="s">
        <v>607</v>
      </c>
      <c r="MQA338" s="42" t="s">
        <v>607</v>
      </c>
      <c r="MQB338" s="42" t="s">
        <v>607</v>
      </c>
      <c r="MQC338" s="42" t="s">
        <v>607</v>
      </c>
      <c r="MQD338" s="42" t="s">
        <v>607</v>
      </c>
      <c r="MQE338" s="42" t="s">
        <v>607</v>
      </c>
      <c r="MQF338" s="42" t="s">
        <v>607</v>
      </c>
      <c r="MQG338" s="42" t="s">
        <v>607</v>
      </c>
      <c r="MQH338" s="42" t="s">
        <v>607</v>
      </c>
      <c r="MQI338" s="42" t="s">
        <v>607</v>
      </c>
      <c r="MQJ338" s="42" t="s">
        <v>607</v>
      </c>
      <c r="MQK338" s="42" t="s">
        <v>607</v>
      </c>
      <c r="MQL338" s="42" t="s">
        <v>607</v>
      </c>
      <c r="MQM338" s="42" t="s">
        <v>607</v>
      </c>
      <c r="MQN338" s="42" t="s">
        <v>607</v>
      </c>
      <c r="MQO338" s="42" t="s">
        <v>607</v>
      </c>
      <c r="MQP338" s="42" t="s">
        <v>607</v>
      </c>
      <c r="MQQ338" s="42" t="s">
        <v>607</v>
      </c>
      <c r="MQR338" s="42" t="s">
        <v>607</v>
      </c>
      <c r="MQS338" s="42" t="s">
        <v>607</v>
      </c>
      <c r="MQT338" s="42" t="s">
        <v>607</v>
      </c>
      <c r="MQU338" s="42" t="s">
        <v>607</v>
      </c>
      <c r="MQV338" s="42" t="s">
        <v>607</v>
      </c>
      <c r="MQW338" s="42" t="s">
        <v>607</v>
      </c>
      <c r="MQX338" s="42" t="s">
        <v>607</v>
      </c>
      <c r="MQY338" s="42" t="s">
        <v>607</v>
      </c>
      <c r="MQZ338" s="42" t="s">
        <v>607</v>
      </c>
      <c r="MRA338" s="42" t="s">
        <v>607</v>
      </c>
      <c r="MRB338" s="42" t="s">
        <v>607</v>
      </c>
      <c r="MRC338" s="42" t="s">
        <v>607</v>
      </c>
      <c r="MRD338" s="42" t="s">
        <v>607</v>
      </c>
      <c r="MRE338" s="42" t="s">
        <v>607</v>
      </c>
      <c r="MRF338" s="42" t="s">
        <v>607</v>
      </c>
      <c r="MRG338" s="42" t="s">
        <v>607</v>
      </c>
      <c r="MRH338" s="42" t="s">
        <v>607</v>
      </c>
      <c r="MRI338" s="42" t="s">
        <v>607</v>
      </c>
      <c r="MRJ338" s="42" t="s">
        <v>607</v>
      </c>
      <c r="MRK338" s="42" t="s">
        <v>607</v>
      </c>
      <c r="MRL338" s="42" t="s">
        <v>607</v>
      </c>
      <c r="MRM338" s="42" t="s">
        <v>607</v>
      </c>
      <c r="MRN338" s="42" t="s">
        <v>607</v>
      </c>
      <c r="MRO338" s="42" t="s">
        <v>607</v>
      </c>
      <c r="MRP338" s="42" t="s">
        <v>607</v>
      </c>
      <c r="MRQ338" s="42" t="s">
        <v>607</v>
      </c>
      <c r="MRR338" s="42" t="s">
        <v>607</v>
      </c>
      <c r="MRS338" s="42" t="s">
        <v>607</v>
      </c>
      <c r="MRT338" s="42" t="s">
        <v>607</v>
      </c>
      <c r="MRU338" s="42" t="s">
        <v>607</v>
      </c>
      <c r="MRV338" s="42" t="s">
        <v>607</v>
      </c>
      <c r="MRW338" s="42" t="s">
        <v>607</v>
      </c>
      <c r="MRX338" s="42" t="s">
        <v>607</v>
      </c>
      <c r="MRY338" s="42" t="s">
        <v>607</v>
      </c>
      <c r="MRZ338" s="42" t="s">
        <v>607</v>
      </c>
      <c r="MSA338" s="42" t="s">
        <v>607</v>
      </c>
      <c r="MSB338" s="42" t="s">
        <v>607</v>
      </c>
      <c r="MSC338" s="42" t="s">
        <v>607</v>
      </c>
      <c r="MSD338" s="42" t="s">
        <v>607</v>
      </c>
      <c r="MSE338" s="42" t="s">
        <v>607</v>
      </c>
      <c r="MSF338" s="42" t="s">
        <v>607</v>
      </c>
      <c r="MSG338" s="42" t="s">
        <v>607</v>
      </c>
      <c r="MSH338" s="42" t="s">
        <v>607</v>
      </c>
      <c r="MSI338" s="42" t="s">
        <v>607</v>
      </c>
      <c r="MSJ338" s="42" t="s">
        <v>607</v>
      </c>
      <c r="MSK338" s="42" t="s">
        <v>607</v>
      </c>
      <c r="MSL338" s="42" t="s">
        <v>607</v>
      </c>
      <c r="MSM338" s="42" t="s">
        <v>607</v>
      </c>
      <c r="MSN338" s="42" t="s">
        <v>607</v>
      </c>
      <c r="MSO338" s="42" t="s">
        <v>607</v>
      </c>
      <c r="MSP338" s="42" t="s">
        <v>607</v>
      </c>
      <c r="MSQ338" s="42" t="s">
        <v>607</v>
      </c>
      <c r="MSR338" s="42" t="s">
        <v>607</v>
      </c>
      <c r="MSS338" s="42" t="s">
        <v>607</v>
      </c>
      <c r="MST338" s="42" t="s">
        <v>607</v>
      </c>
      <c r="MSU338" s="42" t="s">
        <v>607</v>
      </c>
      <c r="MSV338" s="42" t="s">
        <v>607</v>
      </c>
      <c r="MSW338" s="42" t="s">
        <v>607</v>
      </c>
      <c r="MSX338" s="42" t="s">
        <v>607</v>
      </c>
      <c r="MSY338" s="42" t="s">
        <v>607</v>
      </c>
      <c r="MSZ338" s="42" t="s">
        <v>607</v>
      </c>
      <c r="MTA338" s="42" t="s">
        <v>607</v>
      </c>
      <c r="MTB338" s="42" t="s">
        <v>607</v>
      </c>
      <c r="MTC338" s="42" t="s">
        <v>607</v>
      </c>
      <c r="MTD338" s="42" t="s">
        <v>607</v>
      </c>
      <c r="MTE338" s="42" t="s">
        <v>607</v>
      </c>
      <c r="MTF338" s="42" t="s">
        <v>607</v>
      </c>
      <c r="MTG338" s="42" t="s">
        <v>607</v>
      </c>
      <c r="MTH338" s="42" t="s">
        <v>607</v>
      </c>
      <c r="MTI338" s="42" t="s">
        <v>607</v>
      </c>
      <c r="MTJ338" s="42" t="s">
        <v>607</v>
      </c>
      <c r="MTK338" s="42" t="s">
        <v>607</v>
      </c>
      <c r="MTL338" s="42" t="s">
        <v>607</v>
      </c>
      <c r="MTM338" s="42" t="s">
        <v>607</v>
      </c>
      <c r="MTN338" s="42" t="s">
        <v>607</v>
      </c>
      <c r="MTO338" s="42" t="s">
        <v>607</v>
      </c>
      <c r="MTP338" s="42" t="s">
        <v>607</v>
      </c>
      <c r="MTQ338" s="42" t="s">
        <v>607</v>
      </c>
      <c r="MTR338" s="42" t="s">
        <v>607</v>
      </c>
      <c r="MTS338" s="42" t="s">
        <v>607</v>
      </c>
      <c r="MTT338" s="42" t="s">
        <v>607</v>
      </c>
      <c r="MTU338" s="42" t="s">
        <v>607</v>
      </c>
      <c r="MTV338" s="42" t="s">
        <v>607</v>
      </c>
      <c r="MTW338" s="42" t="s">
        <v>607</v>
      </c>
      <c r="MTX338" s="42" t="s">
        <v>607</v>
      </c>
      <c r="MTY338" s="42" t="s">
        <v>607</v>
      </c>
      <c r="MTZ338" s="42" t="s">
        <v>607</v>
      </c>
      <c r="MUA338" s="42" t="s">
        <v>607</v>
      </c>
      <c r="MUB338" s="42" t="s">
        <v>607</v>
      </c>
      <c r="MUC338" s="42" t="s">
        <v>607</v>
      </c>
      <c r="MUD338" s="42" t="s">
        <v>607</v>
      </c>
      <c r="MUE338" s="42" t="s">
        <v>607</v>
      </c>
      <c r="MUF338" s="42" t="s">
        <v>607</v>
      </c>
      <c r="MUG338" s="42" t="s">
        <v>607</v>
      </c>
      <c r="MUH338" s="42" t="s">
        <v>607</v>
      </c>
      <c r="MUI338" s="42" t="s">
        <v>607</v>
      </c>
      <c r="MUJ338" s="42" t="s">
        <v>607</v>
      </c>
      <c r="MUK338" s="42" t="s">
        <v>607</v>
      </c>
      <c r="MUL338" s="42" t="s">
        <v>607</v>
      </c>
      <c r="MUM338" s="42" t="s">
        <v>607</v>
      </c>
      <c r="MUN338" s="42" t="s">
        <v>607</v>
      </c>
      <c r="MUO338" s="42" t="s">
        <v>607</v>
      </c>
      <c r="MUP338" s="42" t="s">
        <v>607</v>
      </c>
      <c r="MUQ338" s="42" t="s">
        <v>607</v>
      </c>
      <c r="MUR338" s="42" t="s">
        <v>607</v>
      </c>
      <c r="MUS338" s="42" t="s">
        <v>607</v>
      </c>
      <c r="MUT338" s="42" t="s">
        <v>607</v>
      </c>
      <c r="MUU338" s="42" t="s">
        <v>607</v>
      </c>
      <c r="MUV338" s="42" t="s">
        <v>607</v>
      </c>
      <c r="MUW338" s="42" t="s">
        <v>607</v>
      </c>
      <c r="MUX338" s="42" t="s">
        <v>607</v>
      </c>
      <c r="MUY338" s="42" t="s">
        <v>607</v>
      </c>
      <c r="MUZ338" s="42" t="s">
        <v>607</v>
      </c>
      <c r="MVA338" s="42" t="s">
        <v>607</v>
      </c>
      <c r="MVB338" s="42" t="s">
        <v>607</v>
      </c>
      <c r="MVC338" s="42" t="s">
        <v>607</v>
      </c>
      <c r="MVD338" s="42" t="s">
        <v>607</v>
      </c>
      <c r="MVE338" s="42" t="s">
        <v>607</v>
      </c>
      <c r="MVF338" s="42" t="s">
        <v>607</v>
      </c>
      <c r="MVG338" s="42" t="s">
        <v>607</v>
      </c>
      <c r="MVH338" s="42" t="s">
        <v>607</v>
      </c>
      <c r="MVI338" s="42" t="s">
        <v>607</v>
      </c>
      <c r="MVJ338" s="42" t="s">
        <v>607</v>
      </c>
      <c r="MVK338" s="42" t="s">
        <v>607</v>
      </c>
      <c r="MVL338" s="42" t="s">
        <v>607</v>
      </c>
      <c r="MVM338" s="42" t="s">
        <v>607</v>
      </c>
      <c r="MVN338" s="42" t="s">
        <v>607</v>
      </c>
      <c r="MVO338" s="42" t="s">
        <v>607</v>
      </c>
      <c r="MVP338" s="42" t="s">
        <v>607</v>
      </c>
      <c r="MVQ338" s="42" t="s">
        <v>607</v>
      </c>
      <c r="MVR338" s="42" t="s">
        <v>607</v>
      </c>
      <c r="MVS338" s="42" t="s">
        <v>607</v>
      </c>
      <c r="MVT338" s="42" t="s">
        <v>607</v>
      </c>
      <c r="MVU338" s="42" t="s">
        <v>607</v>
      </c>
      <c r="MVV338" s="42" t="s">
        <v>607</v>
      </c>
      <c r="MVW338" s="42" t="s">
        <v>607</v>
      </c>
      <c r="MVX338" s="42" t="s">
        <v>607</v>
      </c>
      <c r="MVY338" s="42" t="s">
        <v>607</v>
      </c>
      <c r="MVZ338" s="42" t="s">
        <v>607</v>
      </c>
      <c r="MWA338" s="42" t="s">
        <v>607</v>
      </c>
      <c r="MWB338" s="42" t="s">
        <v>607</v>
      </c>
      <c r="MWC338" s="42" t="s">
        <v>607</v>
      </c>
      <c r="MWD338" s="42" t="s">
        <v>607</v>
      </c>
      <c r="MWE338" s="42" t="s">
        <v>607</v>
      </c>
      <c r="MWF338" s="42" t="s">
        <v>607</v>
      </c>
      <c r="MWG338" s="42" t="s">
        <v>607</v>
      </c>
      <c r="MWH338" s="42" t="s">
        <v>607</v>
      </c>
      <c r="MWI338" s="42" t="s">
        <v>607</v>
      </c>
      <c r="MWJ338" s="42" t="s">
        <v>607</v>
      </c>
      <c r="MWK338" s="42" t="s">
        <v>607</v>
      </c>
      <c r="MWL338" s="42" t="s">
        <v>607</v>
      </c>
      <c r="MWM338" s="42" t="s">
        <v>607</v>
      </c>
      <c r="MWN338" s="42" t="s">
        <v>607</v>
      </c>
      <c r="MWO338" s="42" t="s">
        <v>607</v>
      </c>
      <c r="MWP338" s="42" t="s">
        <v>607</v>
      </c>
      <c r="MWQ338" s="42" t="s">
        <v>607</v>
      </c>
      <c r="MWR338" s="42" t="s">
        <v>607</v>
      </c>
      <c r="MWS338" s="42" t="s">
        <v>607</v>
      </c>
      <c r="MWT338" s="42" t="s">
        <v>607</v>
      </c>
      <c r="MWU338" s="42" t="s">
        <v>607</v>
      </c>
      <c r="MWV338" s="42" t="s">
        <v>607</v>
      </c>
      <c r="MWW338" s="42" t="s">
        <v>607</v>
      </c>
      <c r="MWX338" s="42" t="s">
        <v>607</v>
      </c>
      <c r="MWY338" s="42" t="s">
        <v>607</v>
      </c>
      <c r="MWZ338" s="42" t="s">
        <v>607</v>
      </c>
      <c r="MXA338" s="42" t="s">
        <v>607</v>
      </c>
      <c r="MXB338" s="42" t="s">
        <v>607</v>
      </c>
      <c r="MXC338" s="42" t="s">
        <v>607</v>
      </c>
      <c r="MXD338" s="42" t="s">
        <v>607</v>
      </c>
      <c r="MXE338" s="42" t="s">
        <v>607</v>
      </c>
      <c r="MXF338" s="42" t="s">
        <v>607</v>
      </c>
      <c r="MXG338" s="42" t="s">
        <v>607</v>
      </c>
      <c r="MXH338" s="42" t="s">
        <v>607</v>
      </c>
      <c r="MXI338" s="42" t="s">
        <v>607</v>
      </c>
      <c r="MXJ338" s="42" t="s">
        <v>607</v>
      </c>
      <c r="MXK338" s="42" t="s">
        <v>607</v>
      </c>
      <c r="MXL338" s="42" t="s">
        <v>607</v>
      </c>
      <c r="MXM338" s="42" t="s">
        <v>607</v>
      </c>
      <c r="MXN338" s="42" t="s">
        <v>607</v>
      </c>
      <c r="MXO338" s="42" t="s">
        <v>607</v>
      </c>
      <c r="MXP338" s="42" t="s">
        <v>607</v>
      </c>
      <c r="MXQ338" s="42" t="s">
        <v>607</v>
      </c>
      <c r="MXR338" s="42" t="s">
        <v>607</v>
      </c>
      <c r="MXS338" s="42" t="s">
        <v>607</v>
      </c>
      <c r="MXT338" s="42" t="s">
        <v>607</v>
      </c>
      <c r="MXU338" s="42" t="s">
        <v>607</v>
      </c>
      <c r="MXV338" s="42" t="s">
        <v>607</v>
      </c>
      <c r="MXW338" s="42" t="s">
        <v>607</v>
      </c>
      <c r="MXX338" s="42" t="s">
        <v>607</v>
      </c>
      <c r="MXY338" s="42" t="s">
        <v>607</v>
      </c>
      <c r="MXZ338" s="42" t="s">
        <v>607</v>
      </c>
      <c r="MYA338" s="42" t="s">
        <v>607</v>
      </c>
      <c r="MYB338" s="42" t="s">
        <v>607</v>
      </c>
      <c r="MYC338" s="42" t="s">
        <v>607</v>
      </c>
      <c r="MYD338" s="42" t="s">
        <v>607</v>
      </c>
      <c r="MYE338" s="42" t="s">
        <v>607</v>
      </c>
      <c r="MYF338" s="42" t="s">
        <v>607</v>
      </c>
      <c r="MYG338" s="42" t="s">
        <v>607</v>
      </c>
      <c r="MYH338" s="42" t="s">
        <v>607</v>
      </c>
      <c r="MYI338" s="42" t="s">
        <v>607</v>
      </c>
      <c r="MYJ338" s="42" t="s">
        <v>607</v>
      </c>
      <c r="MYK338" s="42" t="s">
        <v>607</v>
      </c>
      <c r="MYL338" s="42" t="s">
        <v>607</v>
      </c>
      <c r="MYM338" s="42" t="s">
        <v>607</v>
      </c>
      <c r="MYN338" s="42" t="s">
        <v>607</v>
      </c>
      <c r="MYO338" s="42" t="s">
        <v>607</v>
      </c>
      <c r="MYP338" s="42" t="s">
        <v>607</v>
      </c>
      <c r="MYQ338" s="42" t="s">
        <v>607</v>
      </c>
      <c r="MYR338" s="42" t="s">
        <v>607</v>
      </c>
      <c r="MYS338" s="42" t="s">
        <v>607</v>
      </c>
      <c r="MYT338" s="42" t="s">
        <v>607</v>
      </c>
      <c r="MYU338" s="42" t="s">
        <v>607</v>
      </c>
      <c r="MYV338" s="42" t="s">
        <v>607</v>
      </c>
      <c r="MYW338" s="42" t="s">
        <v>607</v>
      </c>
      <c r="MYX338" s="42" t="s">
        <v>607</v>
      </c>
      <c r="MYY338" s="42" t="s">
        <v>607</v>
      </c>
      <c r="MYZ338" s="42" t="s">
        <v>607</v>
      </c>
      <c r="MZA338" s="42" t="s">
        <v>607</v>
      </c>
      <c r="MZB338" s="42" t="s">
        <v>607</v>
      </c>
      <c r="MZC338" s="42" t="s">
        <v>607</v>
      </c>
      <c r="MZD338" s="42" t="s">
        <v>607</v>
      </c>
      <c r="MZE338" s="42" t="s">
        <v>607</v>
      </c>
      <c r="MZF338" s="42" t="s">
        <v>607</v>
      </c>
      <c r="MZG338" s="42" t="s">
        <v>607</v>
      </c>
      <c r="MZH338" s="42" t="s">
        <v>607</v>
      </c>
      <c r="MZI338" s="42" t="s">
        <v>607</v>
      </c>
      <c r="MZJ338" s="42" t="s">
        <v>607</v>
      </c>
      <c r="MZK338" s="42" t="s">
        <v>607</v>
      </c>
      <c r="MZL338" s="42" t="s">
        <v>607</v>
      </c>
      <c r="MZM338" s="42" t="s">
        <v>607</v>
      </c>
      <c r="MZN338" s="42" t="s">
        <v>607</v>
      </c>
      <c r="MZO338" s="42" t="s">
        <v>607</v>
      </c>
      <c r="MZP338" s="42" t="s">
        <v>607</v>
      </c>
      <c r="MZQ338" s="42" t="s">
        <v>607</v>
      </c>
      <c r="MZR338" s="42" t="s">
        <v>607</v>
      </c>
      <c r="MZS338" s="42" t="s">
        <v>607</v>
      </c>
      <c r="MZT338" s="42" t="s">
        <v>607</v>
      </c>
      <c r="MZU338" s="42" t="s">
        <v>607</v>
      </c>
      <c r="MZV338" s="42" t="s">
        <v>607</v>
      </c>
      <c r="MZW338" s="42" t="s">
        <v>607</v>
      </c>
      <c r="MZX338" s="42" t="s">
        <v>607</v>
      </c>
      <c r="MZY338" s="42" t="s">
        <v>607</v>
      </c>
      <c r="MZZ338" s="42" t="s">
        <v>607</v>
      </c>
      <c r="NAA338" s="42" t="s">
        <v>607</v>
      </c>
      <c r="NAB338" s="42" t="s">
        <v>607</v>
      </c>
      <c r="NAC338" s="42" t="s">
        <v>607</v>
      </c>
      <c r="NAD338" s="42" t="s">
        <v>607</v>
      </c>
      <c r="NAE338" s="42" t="s">
        <v>607</v>
      </c>
      <c r="NAF338" s="42" t="s">
        <v>607</v>
      </c>
      <c r="NAG338" s="42" t="s">
        <v>607</v>
      </c>
      <c r="NAH338" s="42" t="s">
        <v>607</v>
      </c>
      <c r="NAI338" s="42" t="s">
        <v>607</v>
      </c>
      <c r="NAJ338" s="42" t="s">
        <v>607</v>
      </c>
      <c r="NAK338" s="42" t="s">
        <v>607</v>
      </c>
      <c r="NAL338" s="42" t="s">
        <v>607</v>
      </c>
      <c r="NAM338" s="42" t="s">
        <v>607</v>
      </c>
      <c r="NAN338" s="42" t="s">
        <v>607</v>
      </c>
      <c r="NAO338" s="42" t="s">
        <v>607</v>
      </c>
      <c r="NAP338" s="42" t="s">
        <v>607</v>
      </c>
      <c r="NAQ338" s="42" t="s">
        <v>607</v>
      </c>
      <c r="NAR338" s="42" t="s">
        <v>607</v>
      </c>
      <c r="NAS338" s="42" t="s">
        <v>607</v>
      </c>
      <c r="NAT338" s="42" t="s">
        <v>607</v>
      </c>
      <c r="NAU338" s="42" t="s">
        <v>607</v>
      </c>
      <c r="NAV338" s="42" t="s">
        <v>607</v>
      </c>
      <c r="NAW338" s="42" t="s">
        <v>607</v>
      </c>
      <c r="NAX338" s="42" t="s">
        <v>607</v>
      </c>
      <c r="NAY338" s="42" t="s">
        <v>607</v>
      </c>
      <c r="NAZ338" s="42" t="s">
        <v>607</v>
      </c>
      <c r="NBA338" s="42" t="s">
        <v>607</v>
      </c>
      <c r="NBB338" s="42" t="s">
        <v>607</v>
      </c>
      <c r="NBC338" s="42" t="s">
        <v>607</v>
      </c>
      <c r="NBD338" s="42" t="s">
        <v>607</v>
      </c>
      <c r="NBE338" s="42" t="s">
        <v>607</v>
      </c>
      <c r="NBF338" s="42" t="s">
        <v>607</v>
      </c>
      <c r="NBG338" s="42" t="s">
        <v>607</v>
      </c>
      <c r="NBH338" s="42" t="s">
        <v>607</v>
      </c>
      <c r="NBI338" s="42" t="s">
        <v>607</v>
      </c>
      <c r="NBJ338" s="42" t="s">
        <v>607</v>
      </c>
      <c r="NBK338" s="42" t="s">
        <v>607</v>
      </c>
      <c r="NBL338" s="42" t="s">
        <v>607</v>
      </c>
      <c r="NBM338" s="42" t="s">
        <v>607</v>
      </c>
      <c r="NBN338" s="42" t="s">
        <v>607</v>
      </c>
      <c r="NBO338" s="42" t="s">
        <v>607</v>
      </c>
      <c r="NBP338" s="42" t="s">
        <v>607</v>
      </c>
      <c r="NBQ338" s="42" t="s">
        <v>607</v>
      </c>
      <c r="NBR338" s="42" t="s">
        <v>607</v>
      </c>
      <c r="NBS338" s="42" t="s">
        <v>607</v>
      </c>
      <c r="NBT338" s="42" t="s">
        <v>607</v>
      </c>
      <c r="NBU338" s="42" t="s">
        <v>607</v>
      </c>
      <c r="NBV338" s="42" t="s">
        <v>607</v>
      </c>
      <c r="NBW338" s="42" t="s">
        <v>607</v>
      </c>
      <c r="NBX338" s="42" t="s">
        <v>607</v>
      </c>
      <c r="NBY338" s="42" t="s">
        <v>607</v>
      </c>
      <c r="NBZ338" s="42" t="s">
        <v>607</v>
      </c>
      <c r="NCA338" s="42" t="s">
        <v>607</v>
      </c>
      <c r="NCB338" s="42" t="s">
        <v>607</v>
      </c>
      <c r="NCC338" s="42" t="s">
        <v>607</v>
      </c>
      <c r="NCD338" s="42" t="s">
        <v>607</v>
      </c>
      <c r="NCE338" s="42" t="s">
        <v>607</v>
      </c>
      <c r="NCF338" s="42" t="s">
        <v>607</v>
      </c>
      <c r="NCG338" s="42" t="s">
        <v>607</v>
      </c>
      <c r="NCH338" s="42" t="s">
        <v>607</v>
      </c>
      <c r="NCI338" s="42" t="s">
        <v>607</v>
      </c>
      <c r="NCJ338" s="42" t="s">
        <v>607</v>
      </c>
      <c r="NCK338" s="42" t="s">
        <v>607</v>
      </c>
      <c r="NCL338" s="42" t="s">
        <v>607</v>
      </c>
      <c r="NCM338" s="42" t="s">
        <v>607</v>
      </c>
      <c r="NCN338" s="42" t="s">
        <v>607</v>
      </c>
      <c r="NCO338" s="42" t="s">
        <v>607</v>
      </c>
      <c r="NCP338" s="42" t="s">
        <v>607</v>
      </c>
      <c r="NCQ338" s="42" t="s">
        <v>607</v>
      </c>
      <c r="NCR338" s="42" t="s">
        <v>607</v>
      </c>
      <c r="NCS338" s="42" t="s">
        <v>607</v>
      </c>
      <c r="NCT338" s="42" t="s">
        <v>607</v>
      </c>
      <c r="NCU338" s="42" t="s">
        <v>607</v>
      </c>
      <c r="NCV338" s="42" t="s">
        <v>607</v>
      </c>
      <c r="NCW338" s="42" t="s">
        <v>607</v>
      </c>
      <c r="NCX338" s="42" t="s">
        <v>607</v>
      </c>
      <c r="NCY338" s="42" t="s">
        <v>607</v>
      </c>
      <c r="NCZ338" s="42" t="s">
        <v>607</v>
      </c>
      <c r="NDA338" s="42" t="s">
        <v>607</v>
      </c>
      <c r="NDB338" s="42" t="s">
        <v>607</v>
      </c>
      <c r="NDC338" s="42" t="s">
        <v>607</v>
      </c>
      <c r="NDD338" s="42" t="s">
        <v>607</v>
      </c>
      <c r="NDE338" s="42" t="s">
        <v>607</v>
      </c>
      <c r="NDF338" s="42" t="s">
        <v>607</v>
      </c>
      <c r="NDG338" s="42" t="s">
        <v>607</v>
      </c>
      <c r="NDH338" s="42" t="s">
        <v>607</v>
      </c>
      <c r="NDI338" s="42" t="s">
        <v>607</v>
      </c>
      <c r="NDJ338" s="42" t="s">
        <v>607</v>
      </c>
      <c r="NDK338" s="42" t="s">
        <v>607</v>
      </c>
      <c r="NDL338" s="42" t="s">
        <v>607</v>
      </c>
      <c r="NDM338" s="42" t="s">
        <v>607</v>
      </c>
      <c r="NDN338" s="42" t="s">
        <v>607</v>
      </c>
      <c r="NDO338" s="42" t="s">
        <v>607</v>
      </c>
      <c r="NDP338" s="42" t="s">
        <v>607</v>
      </c>
      <c r="NDQ338" s="42" t="s">
        <v>607</v>
      </c>
      <c r="NDR338" s="42" t="s">
        <v>607</v>
      </c>
      <c r="NDS338" s="42" t="s">
        <v>607</v>
      </c>
      <c r="NDT338" s="42" t="s">
        <v>607</v>
      </c>
      <c r="NDU338" s="42" t="s">
        <v>607</v>
      </c>
      <c r="NDV338" s="42" t="s">
        <v>607</v>
      </c>
      <c r="NDW338" s="42" t="s">
        <v>607</v>
      </c>
      <c r="NDX338" s="42" t="s">
        <v>607</v>
      </c>
      <c r="NDY338" s="42" t="s">
        <v>607</v>
      </c>
      <c r="NDZ338" s="42" t="s">
        <v>607</v>
      </c>
      <c r="NEA338" s="42" t="s">
        <v>607</v>
      </c>
      <c r="NEB338" s="42" t="s">
        <v>607</v>
      </c>
      <c r="NEC338" s="42" t="s">
        <v>607</v>
      </c>
      <c r="NED338" s="42" t="s">
        <v>607</v>
      </c>
      <c r="NEE338" s="42" t="s">
        <v>607</v>
      </c>
      <c r="NEF338" s="42" t="s">
        <v>607</v>
      </c>
      <c r="NEG338" s="42" t="s">
        <v>607</v>
      </c>
      <c r="NEH338" s="42" t="s">
        <v>607</v>
      </c>
      <c r="NEI338" s="42" t="s">
        <v>607</v>
      </c>
      <c r="NEJ338" s="42" t="s">
        <v>607</v>
      </c>
      <c r="NEK338" s="42" t="s">
        <v>607</v>
      </c>
      <c r="NEL338" s="42" t="s">
        <v>607</v>
      </c>
      <c r="NEM338" s="42" t="s">
        <v>607</v>
      </c>
      <c r="NEN338" s="42" t="s">
        <v>607</v>
      </c>
      <c r="NEO338" s="42" t="s">
        <v>607</v>
      </c>
      <c r="NEP338" s="42" t="s">
        <v>607</v>
      </c>
      <c r="NEQ338" s="42" t="s">
        <v>607</v>
      </c>
      <c r="NER338" s="42" t="s">
        <v>607</v>
      </c>
      <c r="NES338" s="42" t="s">
        <v>607</v>
      </c>
      <c r="NET338" s="42" t="s">
        <v>607</v>
      </c>
      <c r="NEU338" s="42" t="s">
        <v>607</v>
      </c>
      <c r="NEV338" s="42" t="s">
        <v>607</v>
      </c>
      <c r="NEW338" s="42" t="s">
        <v>607</v>
      </c>
      <c r="NEX338" s="42" t="s">
        <v>607</v>
      </c>
      <c r="NEY338" s="42" t="s">
        <v>607</v>
      </c>
      <c r="NEZ338" s="42" t="s">
        <v>607</v>
      </c>
      <c r="NFA338" s="42" t="s">
        <v>607</v>
      </c>
      <c r="NFB338" s="42" t="s">
        <v>607</v>
      </c>
      <c r="NFC338" s="42" t="s">
        <v>607</v>
      </c>
      <c r="NFD338" s="42" t="s">
        <v>607</v>
      </c>
      <c r="NFE338" s="42" t="s">
        <v>607</v>
      </c>
      <c r="NFF338" s="42" t="s">
        <v>607</v>
      </c>
      <c r="NFG338" s="42" t="s">
        <v>607</v>
      </c>
      <c r="NFH338" s="42" t="s">
        <v>607</v>
      </c>
      <c r="NFI338" s="42" t="s">
        <v>607</v>
      </c>
      <c r="NFJ338" s="42" t="s">
        <v>607</v>
      </c>
      <c r="NFK338" s="42" t="s">
        <v>607</v>
      </c>
      <c r="NFL338" s="42" t="s">
        <v>607</v>
      </c>
      <c r="NFM338" s="42" t="s">
        <v>607</v>
      </c>
      <c r="NFN338" s="42" t="s">
        <v>607</v>
      </c>
      <c r="NFO338" s="42" t="s">
        <v>607</v>
      </c>
      <c r="NFP338" s="42" t="s">
        <v>607</v>
      </c>
      <c r="NFQ338" s="42" t="s">
        <v>607</v>
      </c>
      <c r="NFR338" s="42" t="s">
        <v>607</v>
      </c>
      <c r="NFS338" s="42" t="s">
        <v>607</v>
      </c>
      <c r="NFT338" s="42" t="s">
        <v>607</v>
      </c>
      <c r="NFU338" s="42" t="s">
        <v>607</v>
      </c>
      <c r="NFV338" s="42" t="s">
        <v>607</v>
      </c>
      <c r="NFW338" s="42" t="s">
        <v>607</v>
      </c>
      <c r="NFX338" s="42" t="s">
        <v>607</v>
      </c>
      <c r="NFY338" s="42" t="s">
        <v>607</v>
      </c>
      <c r="NFZ338" s="42" t="s">
        <v>607</v>
      </c>
      <c r="NGA338" s="42" t="s">
        <v>607</v>
      </c>
      <c r="NGB338" s="42" t="s">
        <v>607</v>
      </c>
      <c r="NGC338" s="42" t="s">
        <v>607</v>
      </c>
      <c r="NGD338" s="42" t="s">
        <v>607</v>
      </c>
      <c r="NGE338" s="42" t="s">
        <v>607</v>
      </c>
      <c r="NGF338" s="42" t="s">
        <v>607</v>
      </c>
      <c r="NGG338" s="42" t="s">
        <v>607</v>
      </c>
      <c r="NGH338" s="42" t="s">
        <v>607</v>
      </c>
      <c r="NGI338" s="42" t="s">
        <v>607</v>
      </c>
      <c r="NGJ338" s="42" t="s">
        <v>607</v>
      </c>
      <c r="NGK338" s="42" t="s">
        <v>607</v>
      </c>
      <c r="NGL338" s="42" t="s">
        <v>607</v>
      </c>
      <c r="NGM338" s="42" t="s">
        <v>607</v>
      </c>
      <c r="NGN338" s="42" t="s">
        <v>607</v>
      </c>
      <c r="NGO338" s="42" t="s">
        <v>607</v>
      </c>
      <c r="NGP338" s="42" t="s">
        <v>607</v>
      </c>
      <c r="NGQ338" s="42" t="s">
        <v>607</v>
      </c>
      <c r="NGR338" s="42" t="s">
        <v>607</v>
      </c>
      <c r="NGS338" s="42" t="s">
        <v>607</v>
      </c>
      <c r="NGT338" s="42" t="s">
        <v>607</v>
      </c>
      <c r="NGU338" s="42" t="s">
        <v>607</v>
      </c>
      <c r="NGV338" s="42" t="s">
        <v>607</v>
      </c>
      <c r="NGW338" s="42" t="s">
        <v>607</v>
      </c>
      <c r="NGX338" s="42" t="s">
        <v>607</v>
      </c>
      <c r="NGY338" s="42" t="s">
        <v>607</v>
      </c>
      <c r="NGZ338" s="42" t="s">
        <v>607</v>
      </c>
      <c r="NHA338" s="42" t="s">
        <v>607</v>
      </c>
      <c r="NHB338" s="42" t="s">
        <v>607</v>
      </c>
      <c r="NHC338" s="42" t="s">
        <v>607</v>
      </c>
      <c r="NHD338" s="42" t="s">
        <v>607</v>
      </c>
      <c r="NHE338" s="42" t="s">
        <v>607</v>
      </c>
      <c r="NHF338" s="42" t="s">
        <v>607</v>
      </c>
      <c r="NHG338" s="42" t="s">
        <v>607</v>
      </c>
      <c r="NHH338" s="42" t="s">
        <v>607</v>
      </c>
      <c r="NHI338" s="42" t="s">
        <v>607</v>
      </c>
      <c r="NHJ338" s="42" t="s">
        <v>607</v>
      </c>
      <c r="NHK338" s="42" t="s">
        <v>607</v>
      </c>
      <c r="NHL338" s="42" t="s">
        <v>607</v>
      </c>
      <c r="NHM338" s="42" t="s">
        <v>607</v>
      </c>
      <c r="NHN338" s="42" t="s">
        <v>607</v>
      </c>
      <c r="NHO338" s="42" t="s">
        <v>607</v>
      </c>
      <c r="NHP338" s="42" t="s">
        <v>607</v>
      </c>
      <c r="NHQ338" s="42" t="s">
        <v>607</v>
      </c>
      <c r="NHR338" s="42" t="s">
        <v>607</v>
      </c>
      <c r="NHS338" s="42" t="s">
        <v>607</v>
      </c>
      <c r="NHT338" s="42" t="s">
        <v>607</v>
      </c>
      <c r="NHU338" s="42" t="s">
        <v>607</v>
      </c>
      <c r="NHV338" s="42" t="s">
        <v>607</v>
      </c>
      <c r="NHW338" s="42" t="s">
        <v>607</v>
      </c>
      <c r="NHX338" s="42" t="s">
        <v>607</v>
      </c>
      <c r="NHY338" s="42" t="s">
        <v>607</v>
      </c>
      <c r="NHZ338" s="42" t="s">
        <v>607</v>
      </c>
      <c r="NIA338" s="42" t="s">
        <v>607</v>
      </c>
      <c r="NIB338" s="42" t="s">
        <v>607</v>
      </c>
      <c r="NIC338" s="42" t="s">
        <v>607</v>
      </c>
      <c r="NID338" s="42" t="s">
        <v>607</v>
      </c>
      <c r="NIE338" s="42" t="s">
        <v>607</v>
      </c>
      <c r="NIF338" s="42" t="s">
        <v>607</v>
      </c>
      <c r="NIG338" s="42" t="s">
        <v>607</v>
      </c>
      <c r="NIH338" s="42" t="s">
        <v>607</v>
      </c>
      <c r="NII338" s="42" t="s">
        <v>607</v>
      </c>
      <c r="NIJ338" s="42" t="s">
        <v>607</v>
      </c>
      <c r="NIK338" s="42" t="s">
        <v>607</v>
      </c>
      <c r="NIL338" s="42" t="s">
        <v>607</v>
      </c>
      <c r="NIM338" s="42" t="s">
        <v>607</v>
      </c>
      <c r="NIN338" s="42" t="s">
        <v>607</v>
      </c>
      <c r="NIO338" s="42" t="s">
        <v>607</v>
      </c>
      <c r="NIP338" s="42" t="s">
        <v>607</v>
      </c>
      <c r="NIQ338" s="42" t="s">
        <v>607</v>
      </c>
      <c r="NIR338" s="42" t="s">
        <v>607</v>
      </c>
      <c r="NIS338" s="42" t="s">
        <v>607</v>
      </c>
      <c r="NIT338" s="42" t="s">
        <v>607</v>
      </c>
      <c r="NIU338" s="42" t="s">
        <v>607</v>
      </c>
      <c r="NIV338" s="42" t="s">
        <v>607</v>
      </c>
      <c r="NIW338" s="42" t="s">
        <v>607</v>
      </c>
      <c r="NIX338" s="42" t="s">
        <v>607</v>
      </c>
      <c r="NIY338" s="42" t="s">
        <v>607</v>
      </c>
      <c r="NIZ338" s="42" t="s">
        <v>607</v>
      </c>
      <c r="NJA338" s="42" t="s">
        <v>607</v>
      </c>
      <c r="NJB338" s="42" t="s">
        <v>607</v>
      </c>
      <c r="NJC338" s="42" t="s">
        <v>607</v>
      </c>
      <c r="NJD338" s="42" t="s">
        <v>607</v>
      </c>
      <c r="NJE338" s="42" t="s">
        <v>607</v>
      </c>
      <c r="NJF338" s="42" t="s">
        <v>607</v>
      </c>
      <c r="NJG338" s="42" t="s">
        <v>607</v>
      </c>
      <c r="NJH338" s="42" t="s">
        <v>607</v>
      </c>
      <c r="NJI338" s="42" t="s">
        <v>607</v>
      </c>
      <c r="NJJ338" s="42" t="s">
        <v>607</v>
      </c>
      <c r="NJK338" s="42" t="s">
        <v>607</v>
      </c>
      <c r="NJL338" s="42" t="s">
        <v>607</v>
      </c>
      <c r="NJM338" s="42" t="s">
        <v>607</v>
      </c>
      <c r="NJN338" s="42" t="s">
        <v>607</v>
      </c>
      <c r="NJO338" s="42" t="s">
        <v>607</v>
      </c>
      <c r="NJP338" s="42" t="s">
        <v>607</v>
      </c>
      <c r="NJQ338" s="42" t="s">
        <v>607</v>
      </c>
      <c r="NJR338" s="42" t="s">
        <v>607</v>
      </c>
      <c r="NJS338" s="42" t="s">
        <v>607</v>
      </c>
      <c r="NJT338" s="42" t="s">
        <v>607</v>
      </c>
      <c r="NJU338" s="42" t="s">
        <v>607</v>
      </c>
      <c r="NJV338" s="42" t="s">
        <v>607</v>
      </c>
      <c r="NJW338" s="42" t="s">
        <v>607</v>
      </c>
      <c r="NJX338" s="42" t="s">
        <v>607</v>
      </c>
      <c r="NJY338" s="42" t="s">
        <v>607</v>
      </c>
      <c r="NJZ338" s="42" t="s">
        <v>607</v>
      </c>
      <c r="NKA338" s="42" t="s">
        <v>607</v>
      </c>
      <c r="NKB338" s="42" t="s">
        <v>607</v>
      </c>
      <c r="NKC338" s="42" t="s">
        <v>607</v>
      </c>
      <c r="NKD338" s="42" t="s">
        <v>607</v>
      </c>
      <c r="NKE338" s="42" t="s">
        <v>607</v>
      </c>
      <c r="NKF338" s="42" t="s">
        <v>607</v>
      </c>
      <c r="NKG338" s="42" t="s">
        <v>607</v>
      </c>
      <c r="NKH338" s="42" t="s">
        <v>607</v>
      </c>
      <c r="NKI338" s="42" t="s">
        <v>607</v>
      </c>
      <c r="NKJ338" s="42" t="s">
        <v>607</v>
      </c>
      <c r="NKK338" s="42" t="s">
        <v>607</v>
      </c>
      <c r="NKL338" s="42" t="s">
        <v>607</v>
      </c>
      <c r="NKM338" s="42" t="s">
        <v>607</v>
      </c>
      <c r="NKN338" s="42" t="s">
        <v>607</v>
      </c>
      <c r="NKO338" s="42" t="s">
        <v>607</v>
      </c>
      <c r="NKP338" s="42" t="s">
        <v>607</v>
      </c>
      <c r="NKQ338" s="42" t="s">
        <v>607</v>
      </c>
      <c r="NKR338" s="42" t="s">
        <v>607</v>
      </c>
      <c r="NKS338" s="42" t="s">
        <v>607</v>
      </c>
      <c r="NKT338" s="42" t="s">
        <v>607</v>
      </c>
      <c r="NKU338" s="42" t="s">
        <v>607</v>
      </c>
      <c r="NKV338" s="42" t="s">
        <v>607</v>
      </c>
      <c r="NKW338" s="42" t="s">
        <v>607</v>
      </c>
      <c r="NKX338" s="42" t="s">
        <v>607</v>
      </c>
      <c r="NKY338" s="42" t="s">
        <v>607</v>
      </c>
      <c r="NKZ338" s="42" t="s">
        <v>607</v>
      </c>
      <c r="NLA338" s="42" t="s">
        <v>607</v>
      </c>
      <c r="NLB338" s="42" t="s">
        <v>607</v>
      </c>
      <c r="NLC338" s="42" t="s">
        <v>607</v>
      </c>
      <c r="NLD338" s="42" t="s">
        <v>607</v>
      </c>
      <c r="NLE338" s="42" t="s">
        <v>607</v>
      </c>
      <c r="NLF338" s="42" t="s">
        <v>607</v>
      </c>
      <c r="NLG338" s="42" t="s">
        <v>607</v>
      </c>
      <c r="NLH338" s="42" t="s">
        <v>607</v>
      </c>
      <c r="NLI338" s="42" t="s">
        <v>607</v>
      </c>
      <c r="NLJ338" s="42" t="s">
        <v>607</v>
      </c>
      <c r="NLK338" s="42" t="s">
        <v>607</v>
      </c>
      <c r="NLL338" s="42" t="s">
        <v>607</v>
      </c>
      <c r="NLM338" s="42" t="s">
        <v>607</v>
      </c>
      <c r="NLN338" s="42" t="s">
        <v>607</v>
      </c>
      <c r="NLO338" s="42" t="s">
        <v>607</v>
      </c>
      <c r="NLP338" s="42" t="s">
        <v>607</v>
      </c>
      <c r="NLQ338" s="42" t="s">
        <v>607</v>
      </c>
      <c r="NLR338" s="42" t="s">
        <v>607</v>
      </c>
      <c r="NLS338" s="42" t="s">
        <v>607</v>
      </c>
      <c r="NLT338" s="42" t="s">
        <v>607</v>
      </c>
      <c r="NLU338" s="42" t="s">
        <v>607</v>
      </c>
      <c r="NLV338" s="42" t="s">
        <v>607</v>
      </c>
      <c r="NLW338" s="42" t="s">
        <v>607</v>
      </c>
      <c r="NLX338" s="42" t="s">
        <v>607</v>
      </c>
      <c r="NLY338" s="42" t="s">
        <v>607</v>
      </c>
      <c r="NLZ338" s="42" t="s">
        <v>607</v>
      </c>
      <c r="NMA338" s="42" t="s">
        <v>607</v>
      </c>
      <c r="NMB338" s="42" t="s">
        <v>607</v>
      </c>
      <c r="NMC338" s="42" t="s">
        <v>607</v>
      </c>
      <c r="NMD338" s="42" t="s">
        <v>607</v>
      </c>
      <c r="NME338" s="42" t="s">
        <v>607</v>
      </c>
      <c r="NMF338" s="42" t="s">
        <v>607</v>
      </c>
      <c r="NMG338" s="42" t="s">
        <v>607</v>
      </c>
      <c r="NMH338" s="42" t="s">
        <v>607</v>
      </c>
      <c r="NMI338" s="42" t="s">
        <v>607</v>
      </c>
      <c r="NMJ338" s="42" t="s">
        <v>607</v>
      </c>
      <c r="NMK338" s="42" t="s">
        <v>607</v>
      </c>
      <c r="NML338" s="42" t="s">
        <v>607</v>
      </c>
      <c r="NMM338" s="42" t="s">
        <v>607</v>
      </c>
      <c r="NMN338" s="42" t="s">
        <v>607</v>
      </c>
      <c r="NMO338" s="42" t="s">
        <v>607</v>
      </c>
      <c r="NMP338" s="42" t="s">
        <v>607</v>
      </c>
      <c r="NMQ338" s="42" t="s">
        <v>607</v>
      </c>
      <c r="NMR338" s="42" t="s">
        <v>607</v>
      </c>
      <c r="NMS338" s="42" t="s">
        <v>607</v>
      </c>
      <c r="NMT338" s="42" t="s">
        <v>607</v>
      </c>
      <c r="NMU338" s="42" t="s">
        <v>607</v>
      </c>
      <c r="NMV338" s="42" t="s">
        <v>607</v>
      </c>
      <c r="NMW338" s="42" t="s">
        <v>607</v>
      </c>
      <c r="NMX338" s="42" t="s">
        <v>607</v>
      </c>
      <c r="NMY338" s="42" t="s">
        <v>607</v>
      </c>
      <c r="NMZ338" s="42" t="s">
        <v>607</v>
      </c>
      <c r="NNA338" s="42" t="s">
        <v>607</v>
      </c>
      <c r="NNB338" s="42" t="s">
        <v>607</v>
      </c>
      <c r="NNC338" s="42" t="s">
        <v>607</v>
      </c>
      <c r="NND338" s="42" t="s">
        <v>607</v>
      </c>
      <c r="NNE338" s="42" t="s">
        <v>607</v>
      </c>
      <c r="NNF338" s="42" t="s">
        <v>607</v>
      </c>
      <c r="NNG338" s="42" t="s">
        <v>607</v>
      </c>
      <c r="NNH338" s="42" t="s">
        <v>607</v>
      </c>
      <c r="NNI338" s="42" t="s">
        <v>607</v>
      </c>
      <c r="NNJ338" s="42" t="s">
        <v>607</v>
      </c>
      <c r="NNK338" s="42" t="s">
        <v>607</v>
      </c>
      <c r="NNL338" s="42" t="s">
        <v>607</v>
      </c>
      <c r="NNM338" s="42" t="s">
        <v>607</v>
      </c>
      <c r="NNN338" s="42" t="s">
        <v>607</v>
      </c>
      <c r="NNO338" s="42" t="s">
        <v>607</v>
      </c>
      <c r="NNP338" s="42" t="s">
        <v>607</v>
      </c>
      <c r="NNQ338" s="42" t="s">
        <v>607</v>
      </c>
      <c r="NNR338" s="42" t="s">
        <v>607</v>
      </c>
      <c r="NNS338" s="42" t="s">
        <v>607</v>
      </c>
      <c r="NNT338" s="42" t="s">
        <v>607</v>
      </c>
      <c r="NNU338" s="42" t="s">
        <v>607</v>
      </c>
      <c r="NNV338" s="42" t="s">
        <v>607</v>
      </c>
      <c r="NNW338" s="42" t="s">
        <v>607</v>
      </c>
      <c r="NNX338" s="42" t="s">
        <v>607</v>
      </c>
      <c r="NNY338" s="42" t="s">
        <v>607</v>
      </c>
      <c r="NNZ338" s="42" t="s">
        <v>607</v>
      </c>
      <c r="NOA338" s="42" t="s">
        <v>607</v>
      </c>
      <c r="NOB338" s="42" t="s">
        <v>607</v>
      </c>
      <c r="NOC338" s="42" t="s">
        <v>607</v>
      </c>
      <c r="NOD338" s="42" t="s">
        <v>607</v>
      </c>
      <c r="NOE338" s="42" t="s">
        <v>607</v>
      </c>
      <c r="NOF338" s="42" t="s">
        <v>607</v>
      </c>
      <c r="NOG338" s="42" t="s">
        <v>607</v>
      </c>
      <c r="NOH338" s="42" t="s">
        <v>607</v>
      </c>
      <c r="NOI338" s="42" t="s">
        <v>607</v>
      </c>
      <c r="NOJ338" s="42" t="s">
        <v>607</v>
      </c>
      <c r="NOK338" s="42" t="s">
        <v>607</v>
      </c>
      <c r="NOL338" s="42" t="s">
        <v>607</v>
      </c>
      <c r="NOM338" s="42" t="s">
        <v>607</v>
      </c>
      <c r="NON338" s="42" t="s">
        <v>607</v>
      </c>
      <c r="NOO338" s="42" t="s">
        <v>607</v>
      </c>
      <c r="NOP338" s="42" t="s">
        <v>607</v>
      </c>
      <c r="NOQ338" s="42" t="s">
        <v>607</v>
      </c>
      <c r="NOR338" s="42" t="s">
        <v>607</v>
      </c>
      <c r="NOS338" s="42" t="s">
        <v>607</v>
      </c>
      <c r="NOT338" s="42" t="s">
        <v>607</v>
      </c>
      <c r="NOU338" s="42" t="s">
        <v>607</v>
      </c>
      <c r="NOV338" s="42" t="s">
        <v>607</v>
      </c>
      <c r="NOW338" s="42" t="s">
        <v>607</v>
      </c>
      <c r="NOX338" s="42" t="s">
        <v>607</v>
      </c>
      <c r="NOY338" s="42" t="s">
        <v>607</v>
      </c>
      <c r="NOZ338" s="42" t="s">
        <v>607</v>
      </c>
      <c r="NPA338" s="42" t="s">
        <v>607</v>
      </c>
      <c r="NPB338" s="42" t="s">
        <v>607</v>
      </c>
      <c r="NPC338" s="42" t="s">
        <v>607</v>
      </c>
      <c r="NPD338" s="42" t="s">
        <v>607</v>
      </c>
      <c r="NPE338" s="42" t="s">
        <v>607</v>
      </c>
      <c r="NPF338" s="42" t="s">
        <v>607</v>
      </c>
      <c r="NPG338" s="42" t="s">
        <v>607</v>
      </c>
      <c r="NPH338" s="42" t="s">
        <v>607</v>
      </c>
      <c r="NPI338" s="42" t="s">
        <v>607</v>
      </c>
      <c r="NPJ338" s="42" t="s">
        <v>607</v>
      </c>
      <c r="NPK338" s="42" t="s">
        <v>607</v>
      </c>
      <c r="NPL338" s="42" t="s">
        <v>607</v>
      </c>
      <c r="NPM338" s="42" t="s">
        <v>607</v>
      </c>
      <c r="NPN338" s="42" t="s">
        <v>607</v>
      </c>
      <c r="NPO338" s="42" t="s">
        <v>607</v>
      </c>
      <c r="NPP338" s="42" t="s">
        <v>607</v>
      </c>
      <c r="NPQ338" s="42" t="s">
        <v>607</v>
      </c>
      <c r="NPR338" s="42" t="s">
        <v>607</v>
      </c>
      <c r="NPS338" s="42" t="s">
        <v>607</v>
      </c>
      <c r="NPT338" s="42" t="s">
        <v>607</v>
      </c>
      <c r="NPU338" s="42" t="s">
        <v>607</v>
      </c>
      <c r="NPV338" s="42" t="s">
        <v>607</v>
      </c>
      <c r="NPW338" s="42" t="s">
        <v>607</v>
      </c>
      <c r="NPX338" s="42" t="s">
        <v>607</v>
      </c>
      <c r="NPY338" s="42" t="s">
        <v>607</v>
      </c>
      <c r="NPZ338" s="42" t="s">
        <v>607</v>
      </c>
      <c r="NQA338" s="42" t="s">
        <v>607</v>
      </c>
      <c r="NQB338" s="42" t="s">
        <v>607</v>
      </c>
      <c r="NQC338" s="42" t="s">
        <v>607</v>
      </c>
      <c r="NQD338" s="42" t="s">
        <v>607</v>
      </c>
      <c r="NQE338" s="42" t="s">
        <v>607</v>
      </c>
      <c r="NQF338" s="42" t="s">
        <v>607</v>
      </c>
      <c r="NQG338" s="42" t="s">
        <v>607</v>
      </c>
      <c r="NQH338" s="42" t="s">
        <v>607</v>
      </c>
      <c r="NQI338" s="42" t="s">
        <v>607</v>
      </c>
      <c r="NQJ338" s="42" t="s">
        <v>607</v>
      </c>
      <c r="NQK338" s="42" t="s">
        <v>607</v>
      </c>
      <c r="NQL338" s="42" t="s">
        <v>607</v>
      </c>
      <c r="NQM338" s="42" t="s">
        <v>607</v>
      </c>
      <c r="NQN338" s="42" t="s">
        <v>607</v>
      </c>
      <c r="NQO338" s="42" t="s">
        <v>607</v>
      </c>
      <c r="NQP338" s="42" t="s">
        <v>607</v>
      </c>
      <c r="NQQ338" s="42" t="s">
        <v>607</v>
      </c>
      <c r="NQR338" s="42" t="s">
        <v>607</v>
      </c>
      <c r="NQS338" s="42" t="s">
        <v>607</v>
      </c>
      <c r="NQT338" s="42" t="s">
        <v>607</v>
      </c>
      <c r="NQU338" s="42" t="s">
        <v>607</v>
      </c>
      <c r="NQV338" s="42" t="s">
        <v>607</v>
      </c>
      <c r="NQW338" s="42" t="s">
        <v>607</v>
      </c>
      <c r="NQX338" s="42" t="s">
        <v>607</v>
      </c>
      <c r="NQY338" s="42" t="s">
        <v>607</v>
      </c>
      <c r="NQZ338" s="42" t="s">
        <v>607</v>
      </c>
      <c r="NRA338" s="42" t="s">
        <v>607</v>
      </c>
      <c r="NRB338" s="42" t="s">
        <v>607</v>
      </c>
      <c r="NRC338" s="42" t="s">
        <v>607</v>
      </c>
      <c r="NRD338" s="42" t="s">
        <v>607</v>
      </c>
      <c r="NRE338" s="42" t="s">
        <v>607</v>
      </c>
      <c r="NRF338" s="42" t="s">
        <v>607</v>
      </c>
      <c r="NRG338" s="42" t="s">
        <v>607</v>
      </c>
      <c r="NRH338" s="42" t="s">
        <v>607</v>
      </c>
      <c r="NRI338" s="42" t="s">
        <v>607</v>
      </c>
      <c r="NRJ338" s="42" t="s">
        <v>607</v>
      </c>
      <c r="NRK338" s="42" t="s">
        <v>607</v>
      </c>
      <c r="NRL338" s="42" t="s">
        <v>607</v>
      </c>
      <c r="NRM338" s="42" t="s">
        <v>607</v>
      </c>
      <c r="NRN338" s="42" t="s">
        <v>607</v>
      </c>
      <c r="NRO338" s="42" t="s">
        <v>607</v>
      </c>
      <c r="NRP338" s="42" t="s">
        <v>607</v>
      </c>
      <c r="NRQ338" s="42" t="s">
        <v>607</v>
      </c>
      <c r="NRR338" s="42" t="s">
        <v>607</v>
      </c>
      <c r="NRS338" s="42" t="s">
        <v>607</v>
      </c>
      <c r="NRT338" s="42" t="s">
        <v>607</v>
      </c>
      <c r="NRU338" s="42" t="s">
        <v>607</v>
      </c>
      <c r="NRV338" s="42" t="s">
        <v>607</v>
      </c>
      <c r="NRW338" s="42" t="s">
        <v>607</v>
      </c>
      <c r="NRX338" s="42" t="s">
        <v>607</v>
      </c>
      <c r="NRY338" s="42" t="s">
        <v>607</v>
      </c>
      <c r="NRZ338" s="42" t="s">
        <v>607</v>
      </c>
      <c r="NSA338" s="42" t="s">
        <v>607</v>
      </c>
      <c r="NSB338" s="42" t="s">
        <v>607</v>
      </c>
      <c r="NSC338" s="42" t="s">
        <v>607</v>
      </c>
      <c r="NSD338" s="42" t="s">
        <v>607</v>
      </c>
      <c r="NSE338" s="42" t="s">
        <v>607</v>
      </c>
      <c r="NSF338" s="42" t="s">
        <v>607</v>
      </c>
      <c r="NSG338" s="42" t="s">
        <v>607</v>
      </c>
      <c r="NSH338" s="42" t="s">
        <v>607</v>
      </c>
      <c r="NSI338" s="42" t="s">
        <v>607</v>
      </c>
      <c r="NSJ338" s="42" t="s">
        <v>607</v>
      </c>
      <c r="NSK338" s="42" t="s">
        <v>607</v>
      </c>
      <c r="NSL338" s="42" t="s">
        <v>607</v>
      </c>
      <c r="NSM338" s="42" t="s">
        <v>607</v>
      </c>
      <c r="NSN338" s="42" t="s">
        <v>607</v>
      </c>
      <c r="NSO338" s="42" t="s">
        <v>607</v>
      </c>
      <c r="NSP338" s="42" t="s">
        <v>607</v>
      </c>
      <c r="NSQ338" s="42" t="s">
        <v>607</v>
      </c>
      <c r="NSR338" s="42" t="s">
        <v>607</v>
      </c>
      <c r="NSS338" s="42" t="s">
        <v>607</v>
      </c>
      <c r="NST338" s="42" t="s">
        <v>607</v>
      </c>
      <c r="NSU338" s="42" t="s">
        <v>607</v>
      </c>
      <c r="NSV338" s="42" t="s">
        <v>607</v>
      </c>
      <c r="NSW338" s="42" t="s">
        <v>607</v>
      </c>
      <c r="NSX338" s="42" t="s">
        <v>607</v>
      </c>
      <c r="NSY338" s="42" t="s">
        <v>607</v>
      </c>
      <c r="NSZ338" s="42" t="s">
        <v>607</v>
      </c>
      <c r="NTA338" s="42" t="s">
        <v>607</v>
      </c>
      <c r="NTB338" s="42" t="s">
        <v>607</v>
      </c>
      <c r="NTC338" s="42" t="s">
        <v>607</v>
      </c>
      <c r="NTD338" s="42" t="s">
        <v>607</v>
      </c>
      <c r="NTE338" s="42" t="s">
        <v>607</v>
      </c>
      <c r="NTF338" s="42" t="s">
        <v>607</v>
      </c>
      <c r="NTG338" s="42" t="s">
        <v>607</v>
      </c>
      <c r="NTH338" s="42" t="s">
        <v>607</v>
      </c>
      <c r="NTI338" s="42" t="s">
        <v>607</v>
      </c>
      <c r="NTJ338" s="42" t="s">
        <v>607</v>
      </c>
      <c r="NTK338" s="42" t="s">
        <v>607</v>
      </c>
      <c r="NTL338" s="42" t="s">
        <v>607</v>
      </c>
      <c r="NTM338" s="42" t="s">
        <v>607</v>
      </c>
      <c r="NTN338" s="42" t="s">
        <v>607</v>
      </c>
      <c r="NTO338" s="42" t="s">
        <v>607</v>
      </c>
      <c r="NTP338" s="42" t="s">
        <v>607</v>
      </c>
      <c r="NTQ338" s="42" t="s">
        <v>607</v>
      </c>
      <c r="NTR338" s="42" t="s">
        <v>607</v>
      </c>
      <c r="NTS338" s="42" t="s">
        <v>607</v>
      </c>
      <c r="NTT338" s="42" t="s">
        <v>607</v>
      </c>
      <c r="NTU338" s="42" t="s">
        <v>607</v>
      </c>
      <c r="NTV338" s="42" t="s">
        <v>607</v>
      </c>
      <c r="NTW338" s="42" t="s">
        <v>607</v>
      </c>
      <c r="NTX338" s="42" t="s">
        <v>607</v>
      </c>
      <c r="NTY338" s="42" t="s">
        <v>607</v>
      </c>
      <c r="NTZ338" s="42" t="s">
        <v>607</v>
      </c>
      <c r="NUA338" s="42" t="s">
        <v>607</v>
      </c>
      <c r="NUB338" s="42" t="s">
        <v>607</v>
      </c>
      <c r="NUC338" s="42" t="s">
        <v>607</v>
      </c>
      <c r="NUD338" s="42" t="s">
        <v>607</v>
      </c>
      <c r="NUE338" s="42" t="s">
        <v>607</v>
      </c>
      <c r="NUF338" s="42" t="s">
        <v>607</v>
      </c>
      <c r="NUG338" s="42" t="s">
        <v>607</v>
      </c>
      <c r="NUH338" s="42" t="s">
        <v>607</v>
      </c>
      <c r="NUI338" s="42" t="s">
        <v>607</v>
      </c>
      <c r="NUJ338" s="42" t="s">
        <v>607</v>
      </c>
      <c r="NUK338" s="42" t="s">
        <v>607</v>
      </c>
      <c r="NUL338" s="42" t="s">
        <v>607</v>
      </c>
      <c r="NUM338" s="42" t="s">
        <v>607</v>
      </c>
      <c r="NUN338" s="42" t="s">
        <v>607</v>
      </c>
      <c r="NUO338" s="42" t="s">
        <v>607</v>
      </c>
      <c r="NUP338" s="42" t="s">
        <v>607</v>
      </c>
      <c r="NUQ338" s="42" t="s">
        <v>607</v>
      </c>
      <c r="NUR338" s="42" t="s">
        <v>607</v>
      </c>
      <c r="NUS338" s="42" t="s">
        <v>607</v>
      </c>
      <c r="NUT338" s="42" t="s">
        <v>607</v>
      </c>
      <c r="NUU338" s="42" t="s">
        <v>607</v>
      </c>
      <c r="NUV338" s="42" t="s">
        <v>607</v>
      </c>
      <c r="NUW338" s="42" t="s">
        <v>607</v>
      </c>
      <c r="NUX338" s="42" t="s">
        <v>607</v>
      </c>
      <c r="NUY338" s="42" t="s">
        <v>607</v>
      </c>
      <c r="NUZ338" s="42" t="s">
        <v>607</v>
      </c>
      <c r="NVA338" s="42" t="s">
        <v>607</v>
      </c>
      <c r="NVB338" s="42" t="s">
        <v>607</v>
      </c>
      <c r="NVC338" s="42" t="s">
        <v>607</v>
      </c>
      <c r="NVD338" s="42" t="s">
        <v>607</v>
      </c>
      <c r="NVE338" s="42" t="s">
        <v>607</v>
      </c>
      <c r="NVF338" s="42" t="s">
        <v>607</v>
      </c>
      <c r="NVG338" s="42" t="s">
        <v>607</v>
      </c>
      <c r="NVH338" s="42" t="s">
        <v>607</v>
      </c>
      <c r="NVI338" s="42" t="s">
        <v>607</v>
      </c>
      <c r="NVJ338" s="42" t="s">
        <v>607</v>
      </c>
      <c r="NVK338" s="42" t="s">
        <v>607</v>
      </c>
      <c r="NVL338" s="42" t="s">
        <v>607</v>
      </c>
      <c r="NVM338" s="42" t="s">
        <v>607</v>
      </c>
      <c r="NVN338" s="42" t="s">
        <v>607</v>
      </c>
      <c r="NVO338" s="42" t="s">
        <v>607</v>
      </c>
      <c r="NVP338" s="42" t="s">
        <v>607</v>
      </c>
      <c r="NVQ338" s="42" t="s">
        <v>607</v>
      </c>
      <c r="NVR338" s="42" t="s">
        <v>607</v>
      </c>
      <c r="NVS338" s="42" t="s">
        <v>607</v>
      </c>
      <c r="NVT338" s="42" t="s">
        <v>607</v>
      </c>
      <c r="NVU338" s="42" t="s">
        <v>607</v>
      </c>
      <c r="NVV338" s="42" t="s">
        <v>607</v>
      </c>
      <c r="NVW338" s="42" t="s">
        <v>607</v>
      </c>
      <c r="NVX338" s="42" t="s">
        <v>607</v>
      </c>
      <c r="NVY338" s="42" t="s">
        <v>607</v>
      </c>
      <c r="NVZ338" s="42" t="s">
        <v>607</v>
      </c>
      <c r="NWA338" s="42" t="s">
        <v>607</v>
      </c>
      <c r="NWB338" s="42" t="s">
        <v>607</v>
      </c>
      <c r="NWC338" s="42" t="s">
        <v>607</v>
      </c>
      <c r="NWD338" s="42" t="s">
        <v>607</v>
      </c>
      <c r="NWE338" s="42" t="s">
        <v>607</v>
      </c>
      <c r="NWF338" s="42" t="s">
        <v>607</v>
      </c>
      <c r="NWG338" s="42" t="s">
        <v>607</v>
      </c>
      <c r="NWH338" s="42" t="s">
        <v>607</v>
      </c>
      <c r="NWI338" s="42" t="s">
        <v>607</v>
      </c>
      <c r="NWJ338" s="42" t="s">
        <v>607</v>
      </c>
      <c r="NWK338" s="42" t="s">
        <v>607</v>
      </c>
      <c r="NWL338" s="42" t="s">
        <v>607</v>
      </c>
      <c r="NWM338" s="42" t="s">
        <v>607</v>
      </c>
      <c r="NWN338" s="42" t="s">
        <v>607</v>
      </c>
      <c r="NWO338" s="42" t="s">
        <v>607</v>
      </c>
      <c r="NWP338" s="42" t="s">
        <v>607</v>
      </c>
      <c r="NWQ338" s="42" t="s">
        <v>607</v>
      </c>
      <c r="NWR338" s="42" t="s">
        <v>607</v>
      </c>
      <c r="NWS338" s="42" t="s">
        <v>607</v>
      </c>
      <c r="NWT338" s="42" t="s">
        <v>607</v>
      </c>
      <c r="NWU338" s="42" t="s">
        <v>607</v>
      </c>
      <c r="NWV338" s="42" t="s">
        <v>607</v>
      </c>
      <c r="NWW338" s="42" t="s">
        <v>607</v>
      </c>
      <c r="NWX338" s="42" t="s">
        <v>607</v>
      </c>
      <c r="NWY338" s="42" t="s">
        <v>607</v>
      </c>
      <c r="NWZ338" s="42" t="s">
        <v>607</v>
      </c>
      <c r="NXA338" s="42" t="s">
        <v>607</v>
      </c>
      <c r="NXB338" s="42" t="s">
        <v>607</v>
      </c>
      <c r="NXC338" s="42" t="s">
        <v>607</v>
      </c>
      <c r="NXD338" s="42" t="s">
        <v>607</v>
      </c>
      <c r="NXE338" s="42" t="s">
        <v>607</v>
      </c>
      <c r="NXF338" s="42" t="s">
        <v>607</v>
      </c>
      <c r="NXG338" s="42" t="s">
        <v>607</v>
      </c>
      <c r="NXH338" s="42" t="s">
        <v>607</v>
      </c>
      <c r="NXI338" s="42" t="s">
        <v>607</v>
      </c>
      <c r="NXJ338" s="42" t="s">
        <v>607</v>
      </c>
      <c r="NXK338" s="42" t="s">
        <v>607</v>
      </c>
      <c r="NXL338" s="42" t="s">
        <v>607</v>
      </c>
      <c r="NXM338" s="42" t="s">
        <v>607</v>
      </c>
      <c r="NXN338" s="42" t="s">
        <v>607</v>
      </c>
      <c r="NXO338" s="42" t="s">
        <v>607</v>
      </c>
      <c r="NXP338" s="42" t="s">
        <v>607</v>
      </c>
      <c r="NXQ338" s="42" t="s">
        <v>607</v>
      </c>
      <c r="NXR338" s="42" t="s">
        <v>607</v>
      </c>
      <c r="NXS338" s="42" t="s">
        <v>607</v>
      </c>
      <c r="NXT338" s="42" t="s">
        <v>607</v>
      </c>
      <c r="NXU338" s="42" t="s">
        <v>607</v>
      </c>
      <c r="NXV338" s="42" t="s">
        <v>607</v>
      </c>
      <c r="NXW338" s="42" t="s">
        <v>607</v>
      </c>
      <c r="NXX338" s="42" t="s">
        <v>607</v>
      </c>
      <c r="NXY338" s="42" t="s">
        <v>607</v>
      </c>
      <c r="NXZ338" s="42" t="s">
        <v>607</v>
      </c>
      <c r="NYA338" s="42" t="s">
        <v>607</v>
      </c>
      <c r="NYB338" s="42" t="s">
        <v>607</v>
      </c>
      <c r="NYC338" s="42" t="s">
        <v>607</v>
      </c>
      <c r="NYD338" s="42" t="s">
        <v>607</v>
      </c>
      <c r="NYE338" s="42" t="s">
        <v>607</v>
      </c>
      <c r="NYF338" s="42" t="s">
        <v>607</v>
      </c>
      <c r="NYG338" s="42" t="s">
        <v>607</v>
      </c>
      <c r="NYH338" s="42" t="s">
        <v>607</v>
      </c>
      <c r="NYI338" s="42" t="s">
        <v>607</v>
      </c>
      <c r="NYJ338" s="42" t="s">
        <v>607</v>
      </c>
      <c r="NYK338" s="42" t="s">
        <v>607</v>
      </c>
      <c r="NYL338" s="42" t="s">
        <v>607</v>
      </c>
      <c r="NYM338" s="42" t="s">
        <v>607</v>
      </c>
      <c r="NYN338" s="42" t="s">
        <v>607</v>
      </c>
      <c r="NYO338" s="42" t="s">
        <v>607</v>
      </c>
      <c r="NYP338" s="42" t="s">
        <v>607</v>
      </c>
      <c r="NYQ338" s="42" t="s">
        <v>607</v>
      </c>
      <c r="NYR338" s="42" t="s">
        <v>607</v>
      </c>
      <c r="NYS338" s="42" t="s">
        <v>607</v>
      </c>
      <c r="NYT338" s="42" t="s">
        <v>607</v>
      </c>
      <c r="NYU338" s="42" t="s">
        <v>607</v>
      </c>
      <c r="NYV338" s="42" t="s">
        <v>607</v>
      </c>
      <c r="NYW338" s="42" t="s">
        <v>607</v>
      </c>
      <c r="NYX338" s="42" t="s">
        <v>607</v>
      </c>
      <c r="NYY338" s="42" t="s">
        <v>607</v>
      </c>
      <c r="NYZ338" s="42" t="s">
        <v>607</v>
      </c>
      <c r="NZA338" s="42" t="s">
        <v>607</v>
      </c>
      <c r="NZB338" s="42" t="s">
        <v>607</v>
      </c>
      <c r="NZC338" s="42" t="s">
        <v>607</v>
      </c>
      <c r="NZD338" s="42" t="s">
        <v>607</v>
      </c>
      <c r="NZE338" s="42" t="s">
        <v>607</v>
      </c>
      <c r="NZF338" s="42" t="s">
        <v>607</v>
      </c>
      <c r="NZG338" s="42" t="s">
        <v>607</v>
      </c>
      <c r="NZH338" s="42" t="s">
        <v>607</v>
      </c>
      <c r="NZI338" s="42" t="s">
        <v>607</v>
      </c>
      <c r="NZJ338" s="42" t="s">
        <v>607</v>
      </c>
      <c r="NZK338" s="42" t="s">
        <v>607</v>
      </c>
      <c r="NZL338" s="42" t="s">
        <v>607</v>
      </c>
      <c r="NZM338" s="42" t="s">
        <v>607</v>
      </c>
      <c r="NZN338" s="42" t="s">
        <v>607</v>
      </c>
      <c r="NZO338" s="42" t="s">
        <v>607</v>
      </c>
      <c r="NZP338" s="42" t="s">
        <v>607</v>
      </c>
      <c r="NZQ338" s="42" t="s">
        <v>607</v>
      </c>
      <c r="NZR338" s="42" t="s">
        <v>607</v>
      </c>
      <c r="NZS338" s="42" t="s">
        <v>607</v>
      </c>
      <c r="NZT338" s="42" t="s">
        <v>607</v>
      </c>
      <c r="NZU338" s="42" t="s">
        <v>607</v>
      </c>
      <c r="NZV338" s="42" t="s">
        <v>607</v>
      </c>
      <c r="NZW338" s="42" t="s">
        <v>607</v>
      </c>
      <c r="NZX338" s="42" t="s">
        <v>607</v>
      </c>
      <c r="NZY338" s="42" t="s">
        <v>607</v>
      </c>
      <c r="NZZ338" s="42" t="s">
        <v>607</v>
      </c>
      <c r="OAA338" s="42" t="s">
        <v>607</v>
      </c>
      <c r="OAB338" s="42" t="s">
        <v>607</v>
      </c>
      <c r="OAC338" s="42" t="s">
        <v>607</v>
      </c>
      <c r="OAD338" s="42" t="s">
        <v>607</v>
      </c>
      <c r="OAE338" s="42" t="s">
        <v>607</v>
      </c>
      <c r="OAF338" s="42" t="s">
        <v>607</v>
      </c>
      <c r="OAG338" s="42" t="s">
        <v>607</v>
      </c>
      <c r="OAH338" s="42" t="s">
        <v>607</v>
      </c>
      <c r="OAI338" s="42" t="s">
        <v>607</v>
      </c>
      <c r="OAJ338" s="42" t="s">
        <v>607</v>
      </c>
      <c r="OAK338" s="42" t="s">
        <v>607</v>
      </c>
      <c r="OAL338" s="42" t="s">
        <v>607</v>
      </c>
      <c r="OAM338" s="42" t="s">
        <v>607</v>
      </c>
      <c r="OAN338" s="42" t="s">
        <v>607</v>
      </c>
      <c r="OAO338" s="42" t="s">
        <v>607</v>
      </c>
      <c r="OAP338" s="42" t="s">
        <v>607</v>
      </c>
      <c r="OAQ338" s="42" t="s">
        <v>607</v>
      </c>
      <c r="OAR338" s="42" t="s">
        <v>607</v>
      </c>
      <c r="OAS338" s="42" t="s">
        <v>607</v>
      </c>
      <c r="OAT338" s="42" t="s">
        <v>607</v>
      </c>
      <c r="OAU338" s="42" t="s">
        <v>607</v>
      </c>
      <c r="OAV338" s="42" t="s">
        <v>607</v>
      </c>
      <c r="OAW338" s="42" t="s">
        <v>607</v>
      </c>
      <c r="OAX338" s="42" t="s">
        <v>607</v>
      </c>
      <c r="OAY338" s="42" t="s">
        <v>607</v>
      </c>
      <c r="OAZ338" s="42" t="s">
        <v>607</v>
      </c>
      <c r="OBA338" s="42" t="s">
        <v>607</v>
      </c>
      <c r="OBB338" s="42" t="s">
        <v>607</v>
      </c>
      <c r="OBC338" s="42" t="s">
        <v>607</v>
      </c>
      <c r="OBD338" s="42" t="s">
        <v>607</v>
      </c>
      <c r="OBE338" s="42" t="s">
        <v>607</v>
      </c>
      <c r="OBF338" s="42" t="s">
        <v>607</v>
      </c>
      <c r="OBG338" s="42" t="s">
        <v>607</v>
      </c>
      <c r="OBH338" s="42" t="s">
        <v>607</v>
      </c>
      <c r="OBI338" s="42" t="s">
        <v>607</v>
      </c>
      <c r="OBJ338" s="42" t="s">
        <v>607</v>
      </c>
      <c r="OBK338" s="42" t="s">
        <v>607</v>
      </c>
      <c r="OBL338" s="42" t="s">
        <v>607</v>
      </c>
      <c r="OBM338" s="42" t="s">
        <v>607</v>
      </c>
      <c r="OBN338" s="42" t="s">
        <v>607</v>
      </c>
      <c r="OBO338" s="42" t="s">
        <v>607</v>
      </c>
      <c r="OBP338" s="42" t="s">
        <v>607</v>
      </c>
      <c r="OBQ338" s="42" t="s">
        <v>607</v>
      </c>
      <c r="OBR338" s="42" t="s">
        <v>607</v>
      </c>
      <c r="OBS338" s="42" t="s">
        <v>607</v>
      </c>
      <c r="OBT338" s="42" t="s">
        <v>607</v>
      </c>
      <c r="OBU338" s="42" t="s">
        <v>607</v>
      </c>
      <c r="OBV338" s="42" t="s">
        <v>607</v>
      </c>
      <c r="OBW338" s="42" t="s">
        <v>607</v>
      </c>
      <c r="OBX338" s="42" t="s">
        <v>607</v>
      </c>
      <c r="OBY338" s="42" t="s">
        <v>607</v>
      </c>
      <c r="OBZ338" s="42" t="s">
        <v>607</v>
      </c>
      <c r="OCA338" s="42" t="s">
        <v>607</v>
      </c>
      <c r="OCB338" s="42" t="s">
        <v>607</v>
      </c>
      <c r="OCC338" s="42" t="s">
        <v>607</v>
      </c>
      <c r="OCD338" s="42" t="s">
        <v>607</v>
      </c>
      <c r="OCE338" s="42" t="s">
        <v>607</v>
      </c>
      <c r="OCF338" s="42" t="s">
        <v>607</v>
      </c>
      <c r="OCG338" s="42" t="s">
        <v>607</v>
      </c>
      <c r="OCH338" s="42" t="s">
        <v>607</v>
      </c>
      <c r="OCI338" s="42" t="s">
        <v>607</v>
      </c>
      <c r="OCJ338" s="42" t="s">
        <v>607</v>
      </c>
      <c r="OCK338" s="42" t="s">
        <v>607</v>
      </c>
      <c r="OCL338" s="42" t="s">
        <v>607</v>
      </c>
      <c r="OCM338" s="42" t="s">
        <v>607</v>
      </c>
      <c r="OCN338" s="42" t="s">
        <v>607</v>
      </c>
      <c r="OCO338" s="42" t="s">
        <v>607</v>
      </c>
      <c r="OCP338" s="42" t="s">
        <v>607</v>
      </c>
      <c r="OCQ338" s="42" t="s">
        <v>607</v>
      </c>
      <c r="OCR338" s="42" t="s">
        <v>607</v>
      </c>
      <c r="OCS338" s="42" t="s">
        <v>607</v>
      </c>
      <c r="OCT338" s="42" t="s">
        <v>607</v>
      </c>
      <c r="OCU338" s="42" t="s">
        <v>607</v>
      </c>
      <c r="OCV338" s="42" t="s">
        <v>607</v>
      </c>
      <c r="OCW338" s="42" t="s">
        <v>607</v>
      </c>
      <c r="OCX338" s="42" t="s">
        <v>607</v>
      </c>
      <c r="OCY338" s="42" t="s">
        <v>607</v>
      </c>
      <c r="OCZ338" s="42" t="s">
        <v>607</v>
      </c>
      <c r="ODA338" s="42" t="s">
        <v>607</v>
      </c>
      <c r="ODB338" s="42" t="s">
        <v>607</v>
      </c>
      <c r="ODC338" s="42" t="s">
        <v>607</v>
      </c>
      <c r="ODD338" s="42" t="s">
        <v>607</v>
      </c>
      <c r="ODE338" s="42" t="s">
        <v>607</v>
      </c>
      <c r="ODF338" s="42" t="s">
        <v>607</v>
      </c>
      <c r="ODG338" s="42" t="s">
        <v>607</v>
      </c>
      <c r="ODH338" s="42" t="s">
        <v>607</v>
      </c>
      <c r="ODI338" s="42" t="s">
        <v>607</v>
      </c>
      <c r="ODJ338" s="42" t="s">
        <v>607</v>
      </c>
      <c r="ODK338" s="42" t="s">
        <v>607</v>
      </c>
      <c r="ODL338" s="42" t="s">
        <v>607</v>
      </c>
      <c r="ODM338" s="42" t="s">
        <v>607</v>
      </c>
      <c r="ODN338" s="42" t="s">
        <v>607</v>
      </c>
      <c r="ODO338" s="42" t="s">
        <v>607</v>
      </c>
      <c r="ODP338" s="42" t="s">
        <v>607</v>
      </c>
      <c r="ODQ338" s="42" t="s">
        <v>607</v>
      </c>
      <c r="ODR338" s="42" t="s">
        <v>607</v>
      </c>
      <c r="ODS338" s="42" t="s">
        <v>607</v>
      </c>
      <c r="ODT338" s="42" t="s">
        <v>607</v>
      </c>
      <c r="ODU338" s="42" t="s">
        <v>607</v>
      </c>
      <c r="ODV338" s="42" t="s">
        <v>607</v>
      </c>
      <c r="ODW338" s="42" t="s">
        <v>607</v>
      </c>
      <c r="ODX338" s="42" t="s">
        <v>607</v>
      </c>
      <c r="ODY338" s="42" t="s">
        <v>607</v>
      </c>
      <c r="ODZ338" s="42" t="s">
        <v>607</v>
      </c>
      <c r="OEA338" s="42" t="s">
        <v>607</v>
      </c>
      <c r="OEB338" s="42" t="s">
        <v>607</v>
      </c>
      <c r="OEC338" s="42" t="s">
        <v>607</v>
      </c>
      <c r="OED338" s="42" t="s">
        <v>607</v>
      </c>
      <c r="OEE338" s="42" t="s">
        <v>607</v>
      </c>
      <c r="OEF338" s="42" t="s">
        <v>607</v>
      </c>
      <c r="OEG338" s="42" t="s">
        <v>607</v>
      </c>
      <c r="OEH338" s="42" t="s">
        <v>607</v>
      </c>
      <c r="OEI338" s="42" t="s">
        <v>607</v>
      </c>
      <c r="OEJ338" s="42" t="s">
        <v>607</v>
      </c>
      <c r="OEK338" s="42" t="s">
        <v>607</v>
      </c>
      <c r="OEL338" s="42" t="s">
        <v>607</v>
      </c>
      <c r="OEM338" s="42" t="s">
        <v>607</v>
      </c>
      <c r="OEN338" s="42" t="s">
        <v>607</v>
      </c>
      <c r="OEO338" s="42" t="s">
        <v>607</v>
      </c>
      <c r="OEP338" s="42" t="s">
        <v>607</v>
      </c>
      <c r="OEQ338" s="42" t="s">
        <v>607</v>
      </c>
      <c r="OER338" s="42" t="s">
        <v>607</v>
      </c>
      <c r="OES338" s="42" t="s">
        <v>607</v>
      </c>
      <c r="OET338" s="42" t="s">
        <v>607</v>
      </c>
      <c r="OEU338" s="42" t="s">
        <v>607</v>
      </c>
      <c r="OEV338" s="42" t="s">
        <v>607</v>
      </c>
      <c r="OEW338" s="42" t="s">
        <v>607</v>
      </c>
      <c r="OEX338" s="42" t="s">
        <v>607</v>
      </c>
      <c r="OEY338" s="42" t="s">
        <v>607</v>
      </c>
      <c r="OEZ338" s="42" t="s">
        <v>607</v>
      </c>
      <c r="OFA338" s="42" t="s">
        <v>607</v>
      </c>
      <c r="OFB338" s="42" t="s">
        <v>607</v>
      </c>
      <c r="OFC338" s="42" t="s">
        <v>607</v>
      </c>
      <c r="OFD338" s="42" t="s">
        <v>607</v>
      </c>
      <c r="OFE338" s="42" t="s">
        <v>607</v>
      </c>
      <c r="OFF338" s="42" t="s">
        <v>607</v>
      </c>
      <c r="OFG338" s="42" t="s">
        <v>607</v>
      </c>
      <c r="OFH338" s="42" t="s">
        <v>607</v>
      </c>
      <c r="OFI338" s="42" t="s">
        <v>607</v>
      </c>
      <c r="OFJ338" s="42" t="s">
        <v>607</v>
      </c>
      <c r="OFK338" s="42" t="s">
        <v>607</v>
      </c>
      <c r="OFL338" s="42" t="s">
        <v>607</v>
      </c>
      <c r="OFM338" s="42" t="s">
        <v>607</v>
      </c>
      <c r="OFN338" s="42" t="s">
        <v>607</v>
      </c>
      <c r="OFO338" s="42" t="s">
        <v>607</v>
      </c>
      <c r="OFP338" s="42" t="s">
        <v>607</v>
      </c>
      <c r="OFQ338" s="42" t="s">
        <v>607</v>
      </c>
      <c r="OFR338" s="42" t="s">
        <v>607</v>
      </c>
      <c r="OFS338" s="42" t="s">
        <v>607</v>
      </c>
      <c r="OFT338" s="42" t="s">
        <v>607</v>
      </c>
      <c r="OFU338" s="42" t="s">
        <v>607</v>
      </c>
      <c r="OFV338" s="42" t="s">
        <v>607</v>
      </c>
      <c r="OFW338" s="42" t="s">
        <v>607</v>
      </c>
      <c r="OFX338" s="42" t="s">
        <v>607</v>
      </c>
      <c r="OFY338" s="42" t="s">
        <v>607</v>
      </c>
      <c r="OFZ338" s="42" t="s">
        <v>607</v>
      </c>
      <c r="OGA338" s="42" t="s">
        <v>607</v>
      </c>
      <c r="OGB338" s="42" t="s">
        <v>607</v>
      </c>
      <c r="OGC338" s="42" t="s">
        <v>607</v>
      </c>
      <c r="OGD338" s="42" t="s">
        <v>607</v>
      </c>
      <c r="OGE338" s="42" t="s">
        <v>607</v>
      </c>
      <c r="OGF338" s="42" t="s">
        <v>607</v>
      </c>
      <c r="OGG338" s="42" t="s">
        <v>607</v>
      </c>
      <c r="OGH338" s="42" t="s">
        <v>607</v>
      </c>
      <c r="OGI338" s="42" t="s">
        <v>607</v>
      </c>
      <c r="OGJ338" s="42" t="s">
        <v>607</v>
      </c>
      <c r="OGK338" s="42" t="s">
        <v>607</v>
      </c>
      <c r="OGL338" s="42" t="s">
        <v>607</v>
      </c>
      <c r="OGM338" s="42" t="s">
        <v>607</v>
      </c>
      <c r="OGN338" s="42" t="s">
        <v>607</v>
      </c>
      <c r="OGO338" s="42" t="s">
        <v>607</v>
      </c>
      <c r="OGP338" s="42" t="s">
        <v>607</v>
      </c>
      <c r="OGQ338" s="42" t="s">
        <v>607</v>
      </c>
      <c r="OGR338" s="42" t="s">
        <v>607</v>
      </c>
      <c r="OGS338" s="42" t="s">
        <v>607</v>
      </c>
      <c r="OGT338" s="42" t="s">
        <v>607</v>
      </c>
      <c r="OGU338" s="42" t="s">
        <v>607</v>
      </c>
      <c r="OGV338" s="42" t="s">
        <v>607</v>
      </c>
      <c r="OGW338" s="42" t="s">
        <v>607</v>
      </c>
      <c r="OGX338" s="42" t="s">
        <v>607</v>
      </c>
      <c r="OGY338" s="42" t="s">
        <v>607</v>
      </c>
      <c r="OGZ338" s="42" t="s">
        <v>607</v>
      </c>
      <c r="OHA338" s="42" t="s">
        <v>607</v>
      </c>
      <c r="OHB338" s="42" t="s">
        <v>607</v>
      </c>
      <c r="OHC338" s="42" t="s">
        <v>607</v>
      </c>
      <c r="OHD338" s="42" t="s">
        <v>607</v>
      </c>
      <c r="OHE338" s="42" t="s">
        <v>607</v>
      </c>
      <c r="OHF338" s="42" t="s">
        <v>607</v>
      </c>
      <c r="OHG338" s="42" t="s">
        <v>607</v>
      </c>
      <c r="OHH338" s="42" t="s">
        <v>607</v>
      </c>
      <c r="OHI338" s="42" t="s">
        <v>607</v>
      </c>
      <c r="OHJ338" s="42" t="s">
        <v>607</v>
      </c>
      <c r="OHK338" s="42" t="s">
        <v>607</v>
      </c>
      <c r="OHL338" s="42" t="s">
        <v>607</v>
      </c>
      <c r="OHM338" s="42" t="s">
        <v>607</v>
      </c>
      <c r="OHN338" s="42" t="s">
        <v>607</v>
      </c>
      <c r="OHO338" s="42" t="s">
        <v>607</v>
      </c>
      <c r="OHP338" s="42" t="s">
        <v>607</v>
      </c>
      <c r="OHQ338" s="42" t="s">
        <v>607</v>
      </c>
      <c r="OHR338" s="42" t="s">
        <v>607</v>
      </c>
      <c r="OHS338" s="42" t="s">
        <v>607</v>
      </c>
      <c r="OHT338" s="42" t="s">
        <v>607</v>
      </c>
      <c r="OHU338" s="42" t="s">
        <v>607</v>
      </c>
      <c r="OHV338" s="42" t="s">
        <v>607</v>
      </c>
      <c r="OHW338" s="42" t="s">
        <v>607</v>
      </c>
      <c r="OHX338" s="42" t="s">
        <v>607</v>
      </c>
      <c r="OHY338" s="42" t="s">
        <v>607</v>
      </c>
      <c r="OHZ338" s="42" t="s">
        <v>607</v>
      </c>
      <c r="OIA338" s="42" t="s">
        <v>607</v>
      </c>
      <c r="OIB338" s="42" t="s">
        <v>607</v>
      </c>
      <c r="OIC338" s="42" t="s">
        <v>607</v>
      </c>
      <c r="OID338" s="42" t="s">
        <v>607</v>
      </c>
      <c r="OIE338" s="42" t="s">
        <v>607</v>
      </c>
      <c r="OIF338" s="42" t="s">
        <v>607</v>
      </c>
      <c r="OIG338" s="42" t="s">
        <v>607</v>
      </c>
      <c r="OIH338" s="42" t="s">
        <v>607</v>
      </c>
      <c r="OII338" s="42" t="s">
        <v>607</v>
      </c>
      <c r="OIJ338" s="42" t="s">
        <v>607</v>
      </c>
      <c r="OIK338" s="42" t="s">
        <v>607</v>
      </c>
      <c r="OIL338" s="42" t="s">
        <v>607</v>
      </c>
      <c r="OIM338" s="42" t="s">
        <v>607</v>
      </c>
      <c r="OIN338" s="42" t="s">
        <v>607</v>
      </c>
      <c r="OIO338" s="42" t="s">
        <v>607</v>
      </c>
      <c r="OIP338" s="42" t="s">
        <v>607</v>
      </c>
      <c r="OIQ338" s="42" t="s">
        <v>607</v>
      </c>
      <c r="OIR338" s="42" t="s">
        <v>607</v>
      </c>
      <c r="OIS338" s="42" t="s">
        <v>607</v>
      </c>
      <c r="OIT338" s="42" t="s">
        <v>607</v>
      </c>
      <c r="OIU338" s="42" t="s">
        <v>607</v>
      </c>
      <c r="OIV338" s="42" t="s">
        <v>607</v>
      </c>
      <c r="OIW338" s="42" t="s">
        <v>607</v>
      </c>
      <c r="OIX338" s="42" t="s">
        <v>607</v>
      </c>
      <c r="OIY338" s="42" t="s">
        <v>607</v>
      </c>
      <c r="OIZ338" s="42" t="s">
        <v>607</v>
      </c>
      <c r="OJA338" s="42" t="s">
        <v>607</v>
      </c>
      <c r="OJB338" s="42" t="s">
        <v>607</v>
      </c>
      <c r="OJC338" s="42" t="s">
        <v>607</v>
      </c>
      <c r="OJD338" s="42" t="s">
        <v>607</v>
      </c>
      <c r="OJE338" s="42" t="s">
        <v>607</v>
      </c>
      <c r="OJF338" s="42" t="s">
        <v>607</v>
      </c>
      <c r="OJG338" s="42" t="s">
        <v>607</v>
      </c>
      <c r="OJH338" s="42" t="s">
        <v>607</v>
      </c>
      <c r="OJI338" s="42" t="s">
        <v>607</v>
      </c>
      <c r="OJJ338" s="42" t="s">
        <v>607</v>
      </c>
      <c r="OJK338" s="42" t="s">
        <v>607</v>
      </c>
      <c r="OJL338" s="42" t="s">
        <v>607</v>
      </c>
      <c r="OJM338" s="42" t="s">
        <v>607</v>
      </c>
      <c r="OJN338" s="42" t="s">
        <v>607</v>
      </c>
      <c r="OJO338" s="42" t="s">
        <v>607</v>
      </c>
      <c r="OJP338" s="42" t="s">
        <v>607</v>
      </c>
      <c r="OJQ338" s="42" t="s">
        <v>607</v>
      </c>
      <c r="OJR338" s="42" t="s">
        <v>607</v>
      </c>
      <c r="OJS338" s="42" t="s">
        <v>607</v>
      </c>
      <c r="OJT338" s="42" t="s">
        <v>607</v>
      </c>
      <c r="OJU338" s="42" t="s">
        <v>607</v>
      </c>
      <c r="OJV338" s="42" t="s">
        <v>607</v>
      </c>
      <c r="OJW338" s="42" t="s">
        <v>607</v>
      </c>
      <c r="OJX338" s="42" t="s">
        <v>607</v>
      </c>
      <c r="OJY338" s="42" t="s">
        <v>607</v>
      </c>
      <c r="OJZ338" s="42" t="s">
        <v>607</v>
      </c>
      <c r="OKA338" s="42" t="s">
        <v>607</v>
      </c>
      <c r="OKB338" s="42" t="s">
        <v>607</v>
      </c>
      <c r="OKC338" s="42" t="s">
        <v>607</v>
      </c>
      <c r="OKD338" s="42" t="s">
        <v>607</v>
      </c>
      <c r="OKE338" s="42" t="s">
        <v>607</v>
      </c>
      <c r="OKF338" s="42" t="s">
        <v>607</v>
      </c>
      <c r="OKG338" s="42" t="s">
        <v>607</v>
      </c>
      <c r="OKH338" s="42" t="s">
        <v>607</v>
      </c>
      <c r="OKI338" s="42" t="s">
        <v>607</v>
      </c>
      <c r="OKJ338" s="42" t="s">
        <v>607</v>
      </c>
      <c r="OKK338" s="42" t="s">
        <v>607</v>
      </c>
      <c r="OKL338" s="42" t="s">
        <v>607</v>
      </c>
      <c r="OKM338" s="42" t="s">
        <v>607</v>
      </c>
      <c r="OKN338" s="42" t="s">
        <v>607</v>
      </c>
      <c r="OKO338" s="42" t="s">
        <v>607</v>
      </c>
      <c r="OKP338" s="42" t="s">
        <v>607</v>
      </c>
      <c r="OKQ338" s="42" t="s">
        <v>607</v>
      </c>
      <c r="OKR338" s="42" t="s">
        <v>607</v>
      </c>
      <c r="OKS338" s="42" t="s">
        <v>607</v>
      </c>
      <c r="OKT338" s="42" t="s">
        <v>607</v>
      </c>
      <c r="OKU338" s="42" t="s">
        <v>607</v>
      </c>
      <c r="OKV338" s="42" t="s">
        <v>607</v>
      </c>
      <c r="OKW338" s="42" t="s">
        <v>607</v>
      </c>
      <c r="OKX338" s="42" t="s">
        <v>607</v>
      </c>
      <c r="OKY338" s="42" t="s">
        <v>607</v>
      </c>
      <c r="OKZ338" s="42" t="s">
        <v>607</v>
      </c>
      <c r="OLA338" s="42" t="s">
        <v>607</v>
      </c>
      <c r="OLB338" s="42" t="s">
        <v>607</v>
      </c>
      <c r="OLC338" s="42" t="s">
        <v>607</v>
      </c>
      <c r="OLD338" s="42" t="s">
        <v>607</v>
      </c>
      <c r="OLE338" s="42" t="s">
        <v>607</v>
      </c>
      <c r="OLF338" s="42" t="s">
        <v>607</v>
      </c>
      <c r="OLG338" s="42" t="s">
        <v>607</v>
      </c>
      <c r="OLH338" s="42" t="s">
        <v>607</v>
      </c>
      <c r="OLI338" s="42" t="s">
        <v>607</v>
      </c>
      <c r="OLJ338" s="42" t="s">
        <v>607</v>
      </c>
      <c r="OLK338" s="42" t="s">
        <v>607</v>
      </c>
      <c r="OLL338" s="42" t="s">
        <v>607</v>
      </c>
      <c r="OLM338" s="42" t="s">
        <v>607</v>
      </c>
      <c r="OLN338" s="42" t="s">
        <v>607</v>
      </c>
      <c r="OLO338" s="42" t="s">
        <v>607</v>
      </c>
      <c r="OLP338" s="42" t="s">
        <v>607</v>
      </c>
      <c r="OLQ338" s="42" t="s">
        <v>607</v>
      </c>
      <c r="OLR338" s="42" t="s">
        <v>607</v>
      </c>
      <c r="OLS338" s="42" t="s">
        <v>607</v>
      </c>
      <c r="OLT338" s="42" t="s">
        <v>607</v>
      </c>
      <c r="OLU338" s="42" t="s">
        <v>607</v>
      </c>
      <c r="OLV338" s="42" t="s">
        <v>607</v>
      </c>
      <c r="OLW338" s="42" t="s">
        <v>607</v>
      </c>
      <c r="OLX338" s="42" t="s">
        <v>607</v>
      </c>
      <c r="OLY338" s="42" t="s">
        <v>607</v>
      </c>
      <c r="OLZ338" s="42" t="s">
        <v>607</v>
      </c>
      <c r="OMA338" s="42" t="s">
        <v>607</v>
      </c>
      <c r="OMB338" s="42" t="s">
        <v>607</v>
      </c>
      <c r="OMC338" s="42" t="s">
        <v>607</v>
      </c>
      <c r="OMD338" s="42" t="s">
        <v>607</v>
      </c>
      <c r="OME338" s="42" t="s">
        <v>607</v>
      </c>
      <c r="OMF338" s="42" t="s">
        <v>607</v>
      </c>
      <c r="OMG338" s="42" t="s">
        <v>607</v>
      </c>
      <c r="OMH338" s="42" t="s">
        <v>607</v>
      </c>
      <c r="OMI338" s="42" t="s">
        <v>607</v>
      </c>
      <c r="OMJ338" s="42" t="s">
        <v>607</v>
      </c>
      <c r="OMK338" s="42" t="s">
        <v>607</v>
      </c>
      <c r="OML338" s="42" t="s">
        <v>607</v>
      </c>
      <c r="OMM338" s="42" t="s">
        <v>607</v>
      </c>
      <c r="OMN338" s="42" t="s">
        <v>607</v>
      </c>
      <c r="OMO338" s="42" t="s">
        <v>607</v>
      </c>
      <c r="OMP338" s="42" t="s">
        <v>607</v>
      </c>
      <c r="OMQ338" s="42" t="s">
        <v>607</v>
      </c>
      <c r="OMR338" s="42" t="s">
        <v>607</v>
      </c>
      <c r="OMS338" s="42" t="s">
        <v>607</v>
      </c>
      <c r="OMT338" s="42" t="s">
        <v>607</v>
      </c>
      <c r="OMU338" s="42" t="s">
        <v>607</v>
      </c>
      <c r="OMV338" s="42" t="s">
        <v>607</v>
      </c>
      <c r="OMW338" s="42" t="s">
        <v>607</v>
      </c>
      <c r="OMX338" s="42" t="s">
        <v>607</v>
      </c>
      <c r="OMY338" s="42" t="s">
        <v>607</v>
      </c>
      <c r="OMZ338" s="42" t="s">
        <v>607</v>
      </c>
      <c r="ONA338" s="42" t="s">
        <v>607</v>
      </c>
      <c r="ONB338" s="42" t="s">
        <v>607</v>
      </c>
      <c r="ONC338" s="42" t="s">
        <v>607</v>
      </c>
      <c r="OND338" s="42" t="s">
        <v>607</v>
      </c>
      <c r="ONE338" s="42" t="s">
        <v>607</v>
      </c>
      <c r="ONF338" s="42" t="s">
        <v>607</v>
      </c>
      <c r="ONG338" s="42" t="s">
        <v>607</v>
      </c>
      <c r="ONH338" s="42" t="s">
        <v>607</v>
      </c>
      <c r="ONI338" s="42" t="s">
        <v>607</v>
      </c>
      <c r="ONJ338" s="42" t="s">
        <v>607</v>
      </c>
      <c r="ONK338" s="42" t="s">
        <v>607</v>
      </c>
      <c r="ONL338" s="42" t="s">
        <v>607</v>
      </c>
      <c r="ONM338" s="42" t="s">
        <v>607</v>
      </c>
      <c r="ONN338" s="42" t="s">
        <v>607</v>
      </c>
      <c r="ONO338" s="42" t="s">
        <v>607</v>
      </c>
      <c r="ONP338" s="42" t="s">
        <v>607</v>
      </c>
      <c r="ONQ338" s="42" t="s">
        <v>607</v>
      </c>
      <c r="ONR338" s="42" t="s">
        <v>607</v>
      </c>
      <c r="ONS338" s="42" t="s">
        <v>607</v>
      </c>
      <c r="ONT338" s="42" t="s">
        <v>607</v>
      </c>
      <c r="ONU338" s="42" t="s">
        <v>607</v>
      </c>
      <c r="ONV338" s="42" t="s">
        <v>607</v>
      </c>
      <c r="ONW338" s="42" t="s">
        <v>607</v>
      </c>
      <c r="ONX338" s="42" t="s">
        <v>607</v>
      </c>
      <c r="ONY338" s="42" t="s">
        <v>607</v>
      </c>
      <c r="ONZ338" s="42" t="s">
        <v>607</v>
      </c>
      <c r="OOA338" s="42" t="s">
        <v>607</v>
      </c>
      <c r="OOB338" s="42" t="s">
        <v>607</v>
      </c>
      <c r="OOC338" s="42" t="s">
        <v>607</v>
      </c>
      <c r="OOD338" s="42" t="s">
        <v>607</v>
      </c>
      <c r="OOE338" s="42" t="s">
        <v>607</v>
      </c>
      <c r="OOF338" s="42" t="s">
        <v>607</v>
      </c>
      <c r="OOG338" s="42" t="s">
        <v>607</v>
      </c>
      <c r="OOH338" s="42" t="s">
        <v>607</v>
      </c>
      <c r="OOI338" s="42" t="s">
        <v>607</v>
      </c>
      <c r="OOJ338" s="42" t="s">
        <v>607</v>
      </c>
      <c r="OOK338" s="42" t="s">
        <v>607</v>
      </c>
      <c r="OOL338" s="42" t="s">
        <v>607</v>
      </c>
      <c r="OOM338" s="42" t="s">
        <v>607</v>
      </c>
      <c r="OON338" s="42" t="s">
        <v>607</v>
      </c>
      <c r="OOO338" s="42" t="s">
        <v>607</v>
      </c>
      <c r="OOP338" s="42" t="s">
        <v>607</v>
      </c>
      <c r="OOQ338" s="42" t="s">
        <v>607</v>
      </c>
      <c r="OOR338" s="42" t="s">
        <v>607</v>
      </c>
      <c r="OOS338" s="42" t="s">
        <v>607</v>
      </c>
      <c r="OOT338" s="42" t="s">
        <v>607</v>
      </c>
      <c r="OOU338" s="42" t="s">
        <v>607</v>
      </c>
      <c r="OOV338" s="42" t="s">
        <v>607</v>
      </c>
      <c r="OOW338" s="42" t="s">
        <v>607</v>
      </c>
      <c r="OOX338" s="42" t="s">
        <v>607</v>
      </c>
      <c r="OOY338" s="42" t="s">
        <v>607</v>
      </c>
      <c r="OOZ338" s="42" t="s">
        <v>607</v>
      </c>
      <c r="OPA338" s="42" t="s">
        <v>607</v>
      </c>
      <c r="OPB338" s="42" t="s">
        <v>607</v>
      </c>
      <c r="OPC338" s="42" t="s">
        <v>607</v>
      </c>
      <c r="OPD338" s="42" t="s">
        <v>607</v>
      </c>
      <c r="OPE338" s="42" t="s">
        <v>607</v>
      </c>
      <c r="OPF338" s="42" t="s">
        <v>607</v>
      </c>
      <c r="OPG338" s="42" t="s">
        <v>607</v>
      </c>
      <c r="OPH338" s="42" t="s">
        <v>607</v>
      </c>
      <c r="OPI338" s="42" t="s">
        <v>607</v>
      </c>
      <c r="OPJ338" s="42" t="s">
        <v>607</v>
      </c>
      <c r="OPK338" s="42" t="s">
        <v>607</v>
      </c>
      <c r="OPL338" s="42" t="s">
        <v>607</v>
      </c>
      <c r="OPM338" s="42" t="s">
        <v>607</v>
      </c>
      <c r="OPN338" s="42" t="s">
        <v>607</v>
      </c>
      <c r="OPO338" s="42" t="s">
        <v>607</v>
      </c>
      <c r="OPP338" s="42" t="s">
        <v>607</v>
      </c>
      <c r="OPQ338" s="42" t="s">
        <v>607</v>
      </c>
      <c r="OPR338" s="42" t="s">
        <v>607</v>
      </c>
      <c r="OPS338" s="42" t="s">
        <v>607</v>
      </c>
      <c r="OPT338" s="42" t="s">
        <v>607</v>
      </c>
      <c r="OPU338" s="42" t="s">
        <v>607</v>
      </c>
      <c r="OPV338" s="42" t="s">
        <v>607</v>
      </c>
      <c r="OPW338" s="42" t="s">
        <v>607</v>
      </c>
      <c r="OPX338" s="42" t="s">
        <v>607</v>
      </c>
      <c r="OPY338" s="42" t="s">
        <v>607</v>
      </c>
      <c r="OPZ338" s="42" t="s">
        <v>607</v>
      </c>
      <c r="OQA338" s="42" t="s">
        <v>607</v>
      </c>
      <c r="OQB338" s="42" t="s">
        <v>607</v>
      </c>
      <c r="OQC338" s="42" t="s">
        <v>607</v>
      </c>
      <c r="OQD338" s="42" t="s">
        <v>607</v>
      </c>
      <c r="OQE338" s="42" t="s">
        <v>607</v>
      </c>
      <c r="OQF338" s="42" t="s">
        <v>607</v>
      </c>
      <c r="OQG338" s="42" t="s">
        <v>607</v>
      </c>
      <c r="OQH338" s="42" t="s">
        <v>607</v>
      </c>
      <c r="OQI338" s="42" t="s">
        <v>607</v>
      </c>
      <c r="OQJ338" s="42" t="s">
        <v>607</v>
      </c>
      <c r="OQK338" s="42" t="s">
        <v>607</v>
      </c>
      <c r="OQL338" s="42" t="s">
        <v>607</v>
      </c>
      <c r="OQM338" s="42" t="s">
        <v>607</v>
      </c>
      <c r="OQN338" s="42" t="s">
        <v>607</v>
      </c>
      <c r="OQO338" s="42" t="s">
        <v>607</v>
      </c>
      <c r="OQP338" s="42" t="s">
        <v>607</v>
      </c>
      <c r="OQQ338" s="42" t="s">
        <v>607</v>
      </c>
      <c r="OQR338" s="42" t="s">
        <v>607</v>
      </c>
      <c r="OQS338" s="42" t="s">
        <v>607</v>
      </c>
      <c r="OQT338" s="42" t="s">
        <v>607</v>
      </c>
      <c r="OQU338" s="42" t="s">
        <v>607</v>
      </c>
      <c r="OQV338" s="42" t="s">
        <v>607</v>
      </c>
      <c r="OQW338" s="42" t="s">
        <v>607</v>
      </c>
      <c r="OQX338" s="42" t="s">
        <v>607</v>
      </c>
      <c r="OQY338" s="42" t="s">
        <v>607</v>
      </c>
      <c r="OQZ338" s="42" t="s">
        <v>607</v>
      </c>
      <c r="ORA338" s="42" t="s">
        <v>607</v>
      </c>
      <c r="ORB338" s="42" t="s">
        <v>607</v>
      </c>
      <c r="ORC338" s="42" t="s">
        <v>607</v>
      </c>
      <c r="ORD338" s="42" t="s">
        <v>607</v>
      </c>
      <c r="ORE338" s="42" t="s">
        <v>607</v>
      </c>
      <c r="ORF338" s="42" t="s">
        <v>607</v>
      </c>
      <c r="ORG338" s="42" t="s">
        <v>607</v>
      </c>
      <c r="ORH338" s="42" t="s">
        <v>607</v>
      </c>
      <c r="ORI338" s="42" t="s">
        <v>607</v>
      </c>
      <c r="ORJ338" s="42" t="s">
        <v>607</v>
      </c>
      <c r="ORK338" s="42" t="s">
        <v>607</v>
      </c>
      <c r="ORL338" s="42" t="s">
        <v>607</v>
      </c>
      <c r="ORM338" s="42" t="s">
        <v>607</v>
      </c>
      <c r="ORN338" s="42" t="s">
        <v>607</v>
      </c>
      <c r="ORO338" s="42" t="s">
        <v>607</v>
      </c>
      <c r="ORP338" s="42" t="s">
        <v>607</v>
      </c>
      <c r="ORQ338" s="42" t="s">
        <v>607</v>
      </c>
      <c r="ORR338" s="42" t="s">
        <v>607</v>
      </c>
      <c r="ORS338" s="42" t="s">
        <v>607</v>
      </c>
      <c r="ORT338" s="42" t="s">
        <v>607</v>
      </c>
      <c r="ORU338" s="42" t="s">
        <v>607</v>
      </c>
      <c r="ORV338" s="42" t="s">
        <v>607</v>
      </c>
      <c r="ORW338" s="42" t="s">
        <v>607</v>
      </c>
      <c r="ORX338" s="42" t="s">
        <v>607</v>
      </c>
      <c r="ORY338" s="42" t="s">
        <v>607</v>
      </c>
      <c r="ORZ338" s="42" t="s">
        <v>607</v>
      </c>
      <c r="OSA338" s="42" t="s">
        <v>607</v>
      </c>
      <c r="OSB338" s="42" t="s">
        <v>607</v>
      </c>
      <c r="OSC338" s="42" t="s">
        <v>607</v>
      </c>
      <c r="OSD338" s="42" t="s">
        <v>607</v>
      </c>
      <c r="OSE338" s="42" t="s">
        <v>607</v>
      </c>
      <c r="OSF338" s="42" t="s">
        <v>607</v>
      </c>
      <c r="OSG338" s="42" t="s">
        <v>607</v>
      </c>
      <c r="OSH338" s="42" t="s">
        <v>607</v>
      </c>
      <c r="OSI338" s="42" t="s">
        <v>607</v>
      </c>
      <c r="OSJ338" s="42" t="s">
        <v>607</v>
      </c>
      <c r="OSK338" s="42" t="s">
        <v>607</v>
      </c>
      <c r="OSL338" s="42" t="s">
        <v>607</v>
      </c>
      <c r="OSM338" s="42" t="s">
        <v>607</v>
      </c>
      <c r="OSN338" s="42" t="s">
        <v>607</v>
      </c>
      <c r="OSO338" s="42" t="s">
        <v>607</v>
      </c>
      <c r="OSP338" s="42" t="s">
        <v>607</v>
      </c>
      <c r="OSQ338" s="42" t="s">
        <v>607</v>
      </c>
      <c r="OSR338" s="42" t="s">
        <v>607</v>
      </c>
      <c r="OSS338" s="42" t="s">
        <v>607</v>
      </c>
      <c r="OST338" s="42" t="s">
        <v>607</v>
      </c>
      <c r="OSU338" s="42" t="s">
        <v>607</v>
      </c>
      <c r="OSV338" s="42" t="s">
        <v>607</v>
      </c>
      <c r="OSW338" s="42" t="s">
        <v>607</v>
      </c>
      <c r="OSX338" s="42" t="s">
        <v>607</v>
      </c>
      <c r="OSY338" s="42" t="s">
        <v>607</v>
      </c>
      <c r="OSZ338" s="42" t="s">
        <v>607</v>
      </c>
      <c r="OTA338" s="42" t="s">
        <v>607</v>
      </c>
      <c r="OTB338" s="42" t="s">
        <v>607</v>
      </c>
      <c r="OTC338" s="42" t="s">
        <v>607</v>
      </c>
      <c r="OTD338" s="42" t="s">
        <v>607</v>
      </c>
      <c r="OTE338" s="42" t="s">
        <v>607</v>
      </c>
      <c r="OTF338" s="42" t="s">
        <v>607</v>
      </c>
      <c r="OTG338" s="42" t="s">
        <v>607</v>
      </c>
      <c r="OTH338" s="42" t="s">
        <v>607</v>
      </c>
      <c r="OTI338" s="42" t="s">
        <v>607</v>
      </c>
      <c r="OTJ338" s="42" t="s">
        <v>607</v>
      </c>
      <c r="OTK338" s="42" t="s">
        <v>607</v>
      </c>
      <c r="OTL338" s="42" t="s">
        <v>607</v>
      </c>
      <c r="OTM338" s="42" t="s">
        <v>607</v>
      </c>
      <c r="OTN338" s="42" t="s">
        <v>607</v>
      </c>
      <c r="OTO338" s="42" t="s">
        <v>607</v>
      </c>
      <c r="OTP338" s="42" t="s">
        <v>607</v>
      </c>
      <c r="OTQ338" s="42" t="s">
        <v>607</v>
      </c>
      <c r="OTR338" s="42" t="s">
        <v>607</v>
      </c>
      <c r="OTS338" s="42" t="s">
        <v>607</v>
      </c>
      <c r="OTT338" s="42" t="s">
        <v>607</v>
      </c>
      <c r="OTU338" s="42" t="s">
        <v>607</v>
      </c>
      <c r="OTV338" s="42" t="s">
        <v>607</v>
      </c>
      <c r="OTW338" s="42" t="s">
        <v>607</v>
      </c>
      <c r="OTX338" s="42" t="s">
        <v>607</v>
      </c>
      <c r="OTY338" s="42" t="s">
        <v>607</v>
      </c>
      <c r="OTZ338" s="42" t="s">
        <v>607</v>
      </c>
      <c r="OUA338" s="42" t="s">
        <v>607</v>
      </c>
      <c r="OUB338" s="42" t="s">
        <v>607</v>
      </c>
      <c r="OUC338" s="42" t="s">
        <v>607</v>
      </c>
      <c r="OUD338" s="42" t="s">
        <v>607</v>
      </c>
      <c r="OUE338" s="42" t="s">
        <v>607</v>
      </c>
      <c r="OUF338" s="42" t="s">
        <v>607</v>
      </c>
      <c r="OUG338" s="42" t="s">
        <v>607</v>
      </c>
      <c r="OUH338" s="42" t="s">
        <v>607</v>
      </c>
      <c r="OUI338" s="42" t="s">
        <v>607</v>
      </c>
      <c r="OUJ338" s="42" t="s">
        <v>607</v>
      </c>
      <c r="OUK338" s="42" t="s">
        <v>607</v>
      </c>
      <c r="OUL338" s="42" t="s">
        <v>607</v>
      </c>
      <c r="OUM338" s="42" t="s">
        <v>607</v>
      </c>
      <c r="OUN338" s="42" t="s">
        <v>607</v>
      </c>
      <c r="OUO338" s="42" t="s">
        <v>607</v>
      </c>
      <c r="OUP338" s="42" t="s">
        <v>607</v>
      </c>
      <c r="OUQ338" s="42" t="s">
        <v>607</v>
      </c>
      <c r="OUR338" s="42" t="s">
        <v>607</v>
      </c>
      <c r="OUS338" s="42" t="s">
        <v>607</v>
      </c>
      <c r="OUT338" s="42" t="s">
        <v>607</v>
      </c>
      <c r="OUU338" s="42" t="s">
        <v>607</v>
      </c>
      <c r="OUV338" s="42" t="s">
        <v>607</v>
      </c>
      <c r="OUW338" s="42" t="s">
        <v>607</v>
      </c>
      <c r="OUX338" s="42" t="s">
        <v>607</v>
      </c>
      <c r="OUY338" s="42" t="s">
        <v>607</v>
      </c>
      <c r="OUZ338" s="42" t="s">
        <v>607</v>
      </c>
      <c r="OVA338" s="42" t="s">
        <v>607</v>
      </c>
      <c r="OVB338" s="42" t="s">
        <v>607</v>
      </c>
      <c r="OVC338" s="42" t="s">
        <v>607</v>
      </c>
      <c r="OVD338" s="42" t="s">
        <v>607</v>
      </c>
      <c r="OVE338" s="42" t="s">
        <v>607</v>
      </c>
      <c r="OVF338" s="42" t="s">
        <v>607</v>
      </c>
      <c r="OVG338" s="42" t="s">
        <v>607</v>
      </c>
      <c r="OVH338" s="42" t="s">
        <v>607</v>
      </c>
      <c r="OVI338" s="42" t="s">
        <v>607</v>
      </c>
      <c r="OVJ338" s="42" t="s">
        <v>607</v>
      </c>
      <c r="OVK338" s="42" t="s">
        <v>607</v>
      </c>
      <c r="OVL338" s="42" t="s">
        <v>607</v>
      </c>
      <c r="OVM338" s="42" t="s">
        <v>607</v>
      </c>
      <c r="OVN338" s="42" t="s">
        <v>607</v>
      </c>
      <c r="OVO338" s="42" t="s">
        <v>607</v>
      </c>
      <c r="OVP338" s="42" t="s">
        <v>607</v>
      </c>
      <c r="OVQ338" s="42" t="s">
        <v>607</v>
      </c>
      <c r="OVR338" s="42" t="s">
        <v>607</v>
      </c>
      <c r="OVS338" s="42" t="s">
        <v>607</v>
      </c>
      <c r="OVT338" s="42" t="s">
        <v>607</v>
      </c>
      <c r="OVU338" s="42" t="s">
        <v>607</v>
      </c>
      <c r="OVV338" s="42" t="s">
        <v>607</v>
      </c>
      <c r="OVW338" s="42" t="s">
        <v>607</v>
      </c>
      <c r="OVX338" s="42" t="s">
        <v>607</v>
      </c>
      <c r="OVY338" s="42" t="s">
        <v>607</v>
      </c>
      <c r="OVZ338" s="42" t="s">
        <v>607</v>
      </c>
      <c r="OWA338" s="42" t="s">
        <v>607</v>
      </c>
      <c r="OWB338" s="42" t="s">
        <v>607</v>
      </c>
      <c r="OWC338" s="42" t="s">
        <v>607</v>
      </c>
      <c r="OWD338" s="42" t="s">
        <v>607</v>
      </c>
      <c r="OWE338" s="42" t="s">
        <v>607</v>
      </c>
      <c r="OWF338" s="42" t="s">
        <v>607</v>
      </c>
      <c r="OWG338" s="42" t="s">
        <v>607</v>
      </c>
      <c r="OWH338" s="42" t="s">
        <v>607</v>
      </c>
      <c r="OWI338" s="42" t="s">
        <v>607</v>
      </c>
      <c r="OWJ338" s="42" t="s">
        <v>607</v>
      </c>
      <c r="OWK338" s="42" t="s">
        <v>607</v>
      </c>
      <c r="OWL338" s="42" t="s">
        <v>607</v>
      </c>
      <c r="OWM338" s="42" t="s">
        <v>607</v>
      </c>
      <c r="OWN338" s="42" t="s">
        <v>607</v>
      </c>
      <c r="OWO338" s="42" t="s">
        <v>607</v>
      </c>
      <c r="OWP338" s="42" t="s">
        <v>607</v>
      </c>
      <c r="OWQ338" s="42" t="s">
        <v>607</v>
      </c>
      <c r="OWR338" s="42" t="s">
        <v>607</v>
      </c>
      <c r="OWS338" s="42" t="s">
        <v>607</v>
      </c>
      <c r="OWT338" s="42" t="s">
        <v>607</v>
      </c>
      <c r="OWU338" s="42" t="s">
        <v>607</v>
      </c>
      <c r="OWV338" s="42" t="s">
        <v>607</v>
      </c>
      <c r="OWW338" s="42" t="s">
        <v>607</v>
      </c>
      <c r="OWX338" s="42" t="s">
        <v>607</v>
      </c>
      <c r="OWY338" s="42" t="s">
        <v>607</v>
      </c>
      <c r="OWZ338" s="42" t="s">
        <v>607</v>
      </c>
      <c r="OXA338" s="42" t="s">
        <v>607</v>
      </c>
      <c r="OXB338" s="42" t="s">
        <v>607</v>
      </c>
      <c r="OXC338" s="42" t="s">
        <v>607</v>
      </c>
      <c r="OXD338" s="42" t="s">
        <v>607</v>
      </c>
      <c r="OXE338" s="42" t="s">
        <v>607</v>
      </c>
      <c r="OXF338" s="42" t="s">
        <v>607</v>
      </c>
      <c r="OXG338" s="42" t="s">
        <v>607</v>
      </c>
      <c r="OXH338" s="42" t="s">
        <v>607</v>
      </c>
      <c r="OXI338" s="42" t="s">
        <v>607</v>
      </c>
      <c r="OXJ338" s="42" t="s">
        <v>607</v>
      </c>
      <c r="OXK338" s="42" t="s">
        <v>607</v>
      </c>
      <c r="OXL338" s="42" t="s">
        <v>607</v>
      </c>
      <c r="OXM338" s="42" t="s">
        <v>607</v>
      </c>
      <c r="OXN338" s="42" t="s">
        <v>607</v>
      </c>
      <c r="OXO338" s="42" t="s">
        <v>607</v>
      </c>
      <c r="OXP338" s="42" t="s">
        <v>607</v>
      </c>
      <c r="OXQ338" s="42" t="s">
        <v>607</v>
      </c>
      <c r="OXR338" s="42" t="s">
        <v>607</v>
      </c>
      <c r="OXS338" s="42" t="s">
        <v>607</v>
      </c>
      <c r="OXT338" s="42" t="s">
        <v>607</v>
      </c>
      <c r="OXU338" s="42" t="s">
        <v>607</v>
      </c>
      <c r="OXV338" s="42" t="s">
        <v>607</v>
      </c>
      <c r="OXW338" s="42" t="s">
        <v>607</v>
      </c>
      <c r="OXX338" s="42" t="s">
        <v>607</v>
      </c>
      <c r="OXY338" s="42" t="s">
        <v>607</v>
      </c>
      <c r="OXZ338" s="42" t="s">
        <v>607</v>
      </c>
      <c r="OYA338" s="42" t="s">
        <v>607</v>
      </c>
      <c r="OYB338" s="42" t="s">
        <v>607</v>
      </c>
      <c r="OYC338" s="42" t="s">
        <v>607</v>
      </c>
      <c r="OYD338" s="42" t="s">
        <v>607</v>
      </c>
      <c r="OYE338" s="42" t="s">
        <v>607</v>
      </c>
      <c r="OYF338" s="42" t="s">
        <v>607</v>
      </c>
      <c r="OYG338" s="42" t="s">
        <v>607</v>
      </c>
      <c r="OYH338" s="42" t="s">
        <v>607</v>
      </c>
      <c r="OYI338" s="42" t="s">
        <v>607</v>
      </c>
      <c r="OYJ338" s="42" t="s">
        <v>607</v>
      </c>
      <c r="OYK338" s="42" t="s">
        <v>607</v>
      </c>
      <c r="OYL338" s="42" t="s">
        <v>607</v>
      </c>
      <c r="OYM338" s="42" t="s">
        <v>607</v>
      </c>
      <c r="OYN338" s="42" t="s">
        <v>607</v>
      </c>
      <c r="OYO338" s="42" t="s">
        <v>607</v>
      </c>
      <c r="OYP338" s="42" t="s">
        <v>607</v>
      </c>
      <c r="OYQ338" s="42" t="s">
        <v>607</v>
      </c>
      <c r="OYR338" s="42" t="s">
        <v>607</v>
      </c>
      <c r="OYS338" s="42" t="s">
        <v>607</v>
      </c>
      <c r="OYT338" s="42" t="s">
        <v>607</v>
      </c>
      <c r="OYU338" s="42" t="s">
        <v>607</v>
      </c>
      <c r="OYV338" s="42" t="s">
        <v>607</v>
      </c>
      <c r="OYW338" s="42" t="s">
        <v>607</v>
      </c>
      <c r="OYX338" s="42" t="s">
        <v>607</v>
      </c>
      <c r="OYY338" s="42" t="s">
        <v>607</v>
      </c>
      <c r="OYZ338" s="42" t="s">
        <v>607</v>
      </c>
      <c r="OZA338" s="42" t="s">
        <v>607</v>
      </c>
      <c r="OZB338" s="42" t="s">
        <v>607</v>
      </c>
      <c r="OZC338" s="42" t="s">
        <v>607</v>
      </c>
      <c r="OZD338" s="42" t="s">
        <v>607</v>
      </c>
      <c r="OZE338" s="42" t="s">
        <v>607</v>
      </c>
      <c r="OZF338" s="42" t="s">
        <v>607</v>
      </c>
      <c r="OZG338" s="42" t="s">
        <v>607</v>
      </c>
      <c r="OZH338" s="42" t="s">
        <v>607</v>
      </c>
      <c r="OZI338" s="42" t="s">
        <v>607</v>
      </c>
      <c r="OZJ338" s="42" t="s">
        <v>607</v>
      </c>
      <c r="OZK338" s="42" t="s">
        <v>607</v>
      </c>
      <c r="OZL338" s="42" t="s">
        <v>607</v>
      </c>
      <c r="OZM338" s="42" t="s">
        <v>607</v>
      </c>
      <c r="OZN338" s="42" t="s">
        <v>607</v>
      </c>
      <c r="OZO338" s="42" t="s">
        <v>607</v>
      </c>
      <c r="OZP338" s="42" t="s">
        <v>607</v>
      </c>
      <c r="OZQ338" s="42" t="s">
        <v>607</v>
      </c>
      <c r="OZR338" s="42" t="s">
        <v>607</v>
      </c>
      <c r="OZS338" s="42" t="s">
        <v>607</v>
      </c>
      <c r="OZT338" s="42" t="s">
        <v>607</v>
      </c>
      <c r="OZU338" s="42" t="s">
        <v>607</v>
      </c>
      <c r="OZV338" s="42" t="s">
        <v>607</v>
      </c>
      <c r="OZW338" s="42" t="s">
        <v>607</v>
      </c>
      <c r="OZX338" s="42" t="s">
        <v>607</v>
      </c>
      <c r="OZY338" s="42" t="s">
        <v>607</v>
      </c>
      <c r="OZZ338" s="42" t="s">
        <v>607</v>
      </c>
      <c r="PAA338" s="42" t="s">
        <v>607</v>
      </c>
      <c r="PAB338" s="42" t="s">
        <v>607</v>
      </c>
      <c r="PAC338" s="42" t="s">
        <v>607</v>
      </c>
      <c r="PAD338" s="42" t="s">
        <v>607</v>
      </c>
      <c r="PAE338" s="42" t="s">
        <v>607</v>
      </c>
      <c r="PAF338" s="42" t="s">
        <v>607</v>
      </c>
      <c r="PAG338" s="42" t="s">
        <v>607</v>
      </c>
      <c r="PAH338" s="42" t="s">
        <v>607</v>
      </c>
      <c r="PAI338" s="42" t="s">
        <v>607</v>
      </c>
      <c r="PAJ338" s="42" t="s">
        <v>607</v>
      </c>
      <c r="PAK338" s="42" t="s">
        <v>607</v>
      </c>
      <c r="PAL338" s="42" t="s">
        <v>607</v>
      </c>
      <c r="PAM338" s="42" t="s">
        <v>607</v>
      </c>
      <c r="PAN338" s="42" t="s">
        <v>607</v>
      </c>
      <c r="PAO338" s="42" t="s">
        <v>607</v>
      </c>
      <c r="PAP338" s="42" t="s">
        <v>607</v>
      </c>
      <c r="PAQ338" s="42" t="s">
        <v>607</v>
      </c>
      <c r="PAR338" s="42" t="s">
        <v>607</v>
      </c>
      <c r="PAS338" s="42" t="s">
        <v>607</v>
      </c>
      <c r="PAT338" s="42" t="s">
        <v>607</v>
      </c>
      <c r="PAU338" s="42" t="s">
        <v>607</v>
      </c>
      <c r="PAV338" s="42" t="s">
        <v>607</v>
      </c>
      <c r="PAW338" s="42" t="s">
        <v>607</v>
      </c>
      <c r="PAX338" s="42" t="s">
        <v>607</v>
      </c>
      <c r="PAY338" s="42" t="s">
        <v>607</v>
      </c>
      <c r="PAZ338" s="42" t="s">
        <v>607</v>
      </c>
      <c r="PBA338" s="42" t="s">
        <v>607</v>
      </c>
      <c r="PBB338" s="42" t="s">
        <v>607</v>
      </c>
      <c r="PBC338" s="42" t="s">
        <v>607</v>
      </c>
      <c r="PBD338" s="42" t="s">
        <v>607</v>
      </c>
      <c r="PBE338" s="42" t="s">
        <v>607</v>
      </c>
      <c r="PBF338" s="42" t="s">
        <v>607</v>
      </c>
      <c r="PBG338" s="42" t="s">
        <v>607</v>
      </c>
      <c r="PBH338" s="42" t="s">
        <v>607</v>
      </c>
      <c r="PBI338" s="42" t="s">
        <v>607</v>
      </c>
      <c r="PBJ338" s="42" t="s">
        <v>607</v>
      </c>
      <c r="PBK338" s="42" t="s">
        <v>607</v>
      </c>
      <c r="PBL338" s="42" t="s">
        <v>607</v>
      </c>
      <c r="PBM338" s="42" t="s">
        <v>607</v>
      </c>
      <c r="PBN338" s="42" t="s">
        <v>607</v>
      </c>
      <c r="PBO338" s="42" t="s">
        <v>607</v>
      </c>
      <c r="PBP338" s="42" t="s">
        <v>607</v>
      </c>
      <c r="PBQ338" s="42" t="s">
        <v>607</v>
      </c>
      <c r="PBR338" s="42" t="s">
        <v>607</v>
      </c>
      <c r="PBS338" s="42" t="s">
        <v>607</v>
      </c>
      <c r="PBT338" s="42" t="s">
        <v>607</v>
      </c>
      <c r="PBU338" s="42" t="s">
        <v>607</v>
      </c>
      <c r="PBV338" s="42" t="s">
        <v>607</v>
      </c>
      <c r="PBW338" s="42" t="s">
        <v>607</v>
      </c>
      <c r="PBX338" s="42" t="s">
        <v>607</v>
      </c>
      <c r="PBY338" s="42" t="s">
        <v>607</v>
      </c>
      <c r="PBZ338" s="42" t="s">
        <v>607</v>
      </c>
      <c r="PCA338" s="42" t="s">
        <v>607</v>
      </c>
      <c r="PCB338" s="42" t="s">
        <v>607</v>
      </c>
      <c r="PCC338" s="42" t="s">
        <v>607</v>
      </c>
      <c r="PCD338" s="42" t="s">
        <v>607</v>
      </c>
      <c r="PCE338" s="42" t="s">
        <v>607</v>
      </c>
      <c r="PCF338" s="42" t="s">
        <v>607</v>
      </c>
      <c r="PCG338" s="42" t="s">
        <v>607</v>
      </c>
      <c r="PCH338" s="42" t="s">
        <v>607</v>
      </c>
      <c r="PCI338" s="42" t="s">
        <v>607</v>
      </c>
      <c r="PCJ338" s="42" t="s">
        <v>607</v>
      </c>
      <c r="PCK338" s="42" t="s">
        <v>607</v>
      </c>
      <c r="PCL338" s="42" t="s">
        <v>607</v>
      </c>
      <c r="PCM338" s="42" t="s">
        <v>607</v>
      </c>
      <c r="PCN338" s="42" t="s">
        <v>607</v>
      </c>
      <c r="PCO338" s="42" t="s">
        <v>607</v>
      </c>
      <c r="PCP338" s="42" t="s">
        <v>607</v>
      </c>
      <c r="PCQ338" s="42" t="s">
        <v>607</v>
      </c>
      <c r="PCR338" s="42" t="s">
        <v>607</v>
      </c>
      <c r="PCS338" s="42" t="s">
        <v>607</v>
      </c>
      <c r="PCT338" s="42" t="s">
        <v>607</v>
      </c>
      <c r="PCU338" s="42" t="s">
        <v>607</v>
      </c>
      <c r="PCV338" s="42" t="s">
        <v>607</v>
      </c>
      <c r="PCW338" s="42" t="s">
        <v>607</v>
      </c>
      <c r="PCX338" s="42" t="s">
        <v>607</v>
      </c>
      <c r="PCY338" s="42" t="s">
        <v>607</v>
      </c>
      <c r="PCZ338" s="42" t="s">
        <v>607</v>
      </c>
      <c r="PDA338" s="42" t="s">
        <v>607</v>
      </c>
      <c r="PDB338" s="42" t="s">
        <v>607</v>
      </c>
      <c r="PDC338" s="42" t="s">
        <v>607</v>
      </c>
      <c r="PDD338" s="42" t="s">
        <v>607</v>
      </c>
      <c r="PDE338" s="42" t="s">
        <v>607</v>
      </c>
      <c r="PDF338" s="42" t="s">
        <v>607</v>
      </c>
      <c r="PDG338" s="42" t="s">
        <v>607</v>
      </c>
      <c r="PDH338" s="42" t="s">
        <v>607</v>
      </c>
      <c r="PDI338" s="42" t="s">
        <v>607</v>
      </c>
      <c r="PDJ338" s="42" t="s">
        <v>607</v>
      </c>
      <c r="PDK338" s="42" t="s">
        <v>607</v>
      </c>
      <c r="PDL338" s="42" t="s">
        <v>607</v>
      </c>
      <c r="PDM338" s="42" t="s">
        <v>607</v>
      </c>
      <c r="PDN338" s="42" t="s">
        <v>607</v>
      </c>
      <c r="PDO338" s="42" t="s">
        <v>607</v>
      </c>
      <c r="PDP338" s="42" t="s">
        <v>607</v>
      </c>
      <c r="PDQ338" s="42" t="s">
        <v>607</v>
      </c>
      <c r="PDR338" s="42" t="s">
        <v>607</v>
      </c>
      <c r="PDS338" s="42" t="s">
        <v>607</v>
      </c>
      <c r="PDT338" s="42" t="s">
        <v>607</v>
      </c>
      <c r="PDU338" s="42" t="s">
        <v>607</v>
      </c>
      <c r="PDV338" s="42" t="s">
        <v>607</v>
      </c>
      <c r="PDW338" s="42" t="s">
        <v>607</v>
      </c>
      <c r="PDX338" s="42" t="s">
        <v>607</v>
      </c>
      <c r="PDY338" s="42" t="s">
        <v>607</v>
      </c>
      <c r="PDZ338" s="42" t="s">
        <v>607</v>
      </c>
      <c r="PEA338" s="42" t="s">
        <v>607</v>
      </c>
      <c r="PEB338" s="42" t="s">
        <v>607</v>
      </c>
      <c r="PEC338" s="42" t="s">
        <v>607</v>
      </c>
      <c r="PED338" s="42" t="s">
        <v>607</v>
      </c>
      <c r="PEE338" s="42" t="s">
        <v>607</v>
      </c>
      <c r="PEF338" s="42" t="s">
        <v>607</v>
      </c>
      <c r="PEG338" s="42" t="s">
        <v>607</v>
      </c>
      <c r="PEH338" s="42" t="s">
        <v>607</v>
      </c>
      <c r="PEI338" s="42" t="s">
        <v>607</v>
      </c>
      <c r="PEJ338" s="42" t="s">
        <v>607</v>
      </c>
      <c r="PEK338" s="42" t="s">
        <v>607</v>
      </c>
      <c r="PEL338" s="42" t="s">
        <v>607</v>
      </c>
      <c r="PEM338" s="42" t="s">
        <v>607</v>
      </c>
      <c r="PEN338" s="42" t="s">
        <v>607</v>
      </c>
      <c r="PEO338" s="42" t="s">
        <v>607</v>
      </c>
      <c r="PEP338" s="42" t="s">
        <v>607</v>
      </c>
      <c r="PEQ338" s="42" t="s">
        <v>607</v>
      </c>
      <c r="PER338" s="42" t="s">
        <v>607</v>
      </c>
      <c r="PES338" s="42" t="s">
        <v>607</v>
      </c>
      <c r="PET338" s="42" t="s">
        <v>607</v>
      </c>
      <c r="PEU338" s="42" t="s">
        <v>607</v>
      </c>
      <c r="PEV338" s="42" t="s">
        <v>607</v>
      </c>
      <c r="PEW338" s="42" t="s">
        <v>607</v>
      </c>
      <c r="PEX338" s="42" t="s">
        <v>607</v>
      </c>
      <c r="PEY338" s="42" t="s">
        <v>607</v>
      </c>
      <c r="PEZ338" s="42" t="s">
        <v>607</v>
      </c>
      <c r="PFA338" s="42" t="s">
        <v>607</v>
      </c>
      <c r="PFB338" s="42" t="s">
        <v>607</v>
      </c>
      <c r="PFC338" s="42" t="s">
        <v>607</v>
      </c>
      <c r="PFD338" s="42" t="s">
        <v>607</v>
      </c>
      <c r="PFE338" s="42" t="s">
        <v>607</v>
      </c>
      <c r="PFF338" s="42" t="s">
        <v>607</v>
      </c>
      <c r="PFG338" s="42" t="s">
        <v>607</v>
      </c>
      <c r="PFH338" s="42" t="s">
        <v>607</v>
      </c>
      <c r="PFI338" s="42" t="s">
        <v>607</v>
      </c>
      <c r="PFJ338" s="42" t="s">
        <v>607</v>
      </c>
      <c r="PFK338" s="42" t="s">
        <v>607</v>
      </c>
      <c r="PFL338" s="42" t="s">
        <v>607</v>
      </c>
      <c r="PFM338" s="42" t="s">
        <v>607</v>
      </c>
      <c r="PFN338" s="42" t="s">
        <v>607</v>
      </c>
      <c r="PFO338" s="42" t="s">
        <v>607</v>
      </c>
      <c r="PFP338" s="42" t="s">
        <v>607</v>
      </c>
      <c r="PFQ338" s="42" t="s">
        <v>607</v>
      </c>
      <c r="PFR338" s="42" t="s">
        <v>607</v>
      </c>
      <c r="PFS338" s="42" t="s">
        <v>607</v>
      </c>
      <c r="PFT338" s="42" t="s">
        <v>607</v>
      </c>
      <c r="PFU338" s="42" t="s">
        <v>607</v>
      </c>
      <c r="PFV338" s="42" t="s">
        <v>607</v>
      </c>
      <c r="PFW338" s="42" t="s">
        <v>607</v>
      </c>
      <c r="PFX338" s="42" t="s">
        <v>607</v>
      </c>
      <c r="PFY338" s="42" t="s">
        <v>607</v>
      </c>
      <c r="PFZ338" s="42" t="s">
        <v>607</v>
      </c>
      <c r="PGA338" s="42" t="s">
        <v>607</v>
      </c>
      <c r="PGB338" s="42" t="s">
        <v>607</v>
      </c>
      <c r="PGC338" s="42" t="s">
        <v>607</v>
      </c>
      <c r="PGD338" s="42" t="s">
        <v>607</v>
      </c>
      <c r="PGE338" s="42" t="s">
        <v>607</v>
      </c>
      <c r="PGF338" s="42" t="s">
        <v>607</v>
      </c>
      <c r="PGG338" s="42" t="s">
        <v>607</v>
      </c>
      <c r="PGH338" s="42" t="s">
        <v>607</v>
      </c>
      <c r="PGI338" s="42" t="s">
        <v>607</v>
      </c>
      <c r="PGJ338" s="42" t="s">
        <v>607</v>
      </c>
      <c r="PGK338" s="42" t="s">
        <v>607</v>
      </c>
      <c r="PGL338" s="42" t="s">
        <v>607</v>
      </c>
      <c r="PGM338" s="42" t="s">
        <v>607</v>
      </c>
      <c r="PGN338" s="42" t="s">
        <v>607</v>
      </c>
      <c r="PGO338" s="42" t="s">
        <v>607</v>
      </c>
      <c r="PGP338" s="42" t="s">
        <v>607</v>
      </c>
      <c r="PGQ338" s="42" t="s">
        <v>607</v>
      </c>
      <c r="PGR338" s="42" t="s">
        <v>607</v>
      </c>
      <c r="PGS338" s="42" t="s">
        <v>607</v>
      </c>
      <c r="PGT338" s="42" t="s">
        <v>607</v>
      </c>
      <c r="PGU338" s="42" t="s">
        <v>607</v>
      </c>
      <c r="PGV338" s="42" t="s">
        <v>607</v>
      </c>
      <c r="PGW338" s="42" t="s">
        <v>607</v>
      </c>
      <c r="PGX338" s="42" t="s">
        <v>607</v>
      </c>
      <c r="PGY338" s="42" t="s">
        <v>607</v>
      </c>
      <c r="PGZ338" s="42" t="s">
        <v>607</v>
      </c>
      <c r="PHA338" s="42" t="s">
        <v>607</v>
      </c>
      <c r="PHB338" s="42" t="s">
        <v>607</v>
      </c>
      <c r="PHC338" s="42" t="s">
        <v>607</v>
      </c>
      <c r="PHD338" s="42" t="s">
        <v>607</v>
      </c>
      <c r="PHE338" s="42" t="s">
        <v>607</v>
      </c>
      <c r="PHF338" s="42" t="s">
        <v>607</v>
      </c>
      <c r="PHG338" s="42" t="s">
        <v>607</v>
      </c>
      <c r="PHH338" s="42" t="s">
        <v>607</v>
      </c>
      <c r="PHI338" s="42" t="s">
        <v>607</v>
      </c>
      <c r="PHJ338" s="42" t="s">
        <v>607</v>
      </c>
      <c r="PHK338" s="42" t="s">
        <v>607</v>
      </c>
      <c r="PHL338" s="42" t="s">
        <v>607</v>
      </c>
      <c r="PHM338" s="42" t="s">
        <v>607</v>
      </c>
      <c r="PHN338" s="42" t="s">
        <v>607</v>
      </c>
      <c r="PHO338" s="42" t="s">
        <v>607</v>
      </c>
      <c r="PHP338" s="42" t="s">
        <v>607</v>
      </c>
      <c r="PHQ338" s="42" t="s">
        <v>607</v>
      </c>
      <c r="PHR338" s="42" t="s">
        <v>607</v>
      </c>
      <c r="PHS338" s="42" t="s">
        <v>607</v>
      </c>
      <c r="PHT338" s="42" t="s">
        <v>607</v>
      </c>
      <c r="PHU338" s="42" t="s">
        <v>607</v>
      </c>
      <c r="PHV338" s="42" t="s">
        <v>607</v>
      </c>
      <c r="PHW338" s="42" t="s">
        <v>607</v>
      </c>
      <c r="PHX338" s="42" t="s">
        <v>607</v>
      </c>
      <c r="PHY338" s="42" t="s">
        <v>607</v>
      </c>
      <c r="PHZ338" s="42" t="s">
        <v>607</v>
      </c>
      <c r="PIA338" s="42" t="s">
        <v>607</v>
      </c>
      <c r="PIB338" s="42" t="s">
        <v>607</v>
      </c>
      <c r="PIC338" s="42" t="s">
        <v>607</v>
      </c>
      <c r="PID338" s="42" t="s">
        <v>607</v>
      </c>
      <c r="PIE338" s="42" t="s">
        <v>607</v>
      </c>
      <c r="PIF338" s="42" t="s">
        <v>607</v>
      </c>
      <c r="PIG338" s="42" t="s">
        <v>607</v>
      </c>
      <c r="PIH338" s="42" t="s">
        <v>607</v>
      </c>
      <c r="PII338" s="42" t="s">
        <v>607</v>
      </c>
      <c r="PIJ338" s="42" t="s">
        <v>607</v>
      </c>
      <c r="PIK338" s="42" t="s">
        <v>607</v>
      </c>
      <c r="PIL338" s="42" t="s">
        <v>607</v>
      </c>
      <c r="PIM338" s="42" t="s">
        <v>607</v>
      </c>
      <c r="PIN338" s="42" t="s">
        <v>607</v>
      </c>
      <c r="PIO338" s="42" t="s">
        <v>607</v>
      </c>
      <c r="PIP338" s="42" t="s">
        <v>607</v>
      </c>
      <c r="PIQ338" s="42" t="s">
        <v>607</v>
      </c>
      <c r="PIR338" s="42" t="s">
        <v>607</v>
      </c>
      <c r="PIS338" s="42" t="s">
        <v>607</v>
      </c>
      <c r="PIT338" s="42" t="s">
        <v>607</v>
      </c>
      <c r="PIU338" s="42" t="s">
        <v>607</v>
      </c>
      <c r="PIV338" s="42" t="s">
        <v>607</v>
      </c>
      <c r="PIW338" s="42" t="s">
        <v>607</v>
      </c>
      <c r="PIX338" s="42" t="s">
        <v>607</v>
      </c>
      <c r="PIY338" s="42" t="s">
        <v>607</v>
      </c>
      <c r="PIZ338" s="42" t="s">
        <v>607</v>
      </c>
      <c r="PJA338" s="42" t="s">
        <v>607</v>
      </c>
      <c r="PJB338" s="42" t="s">
        <v>607</v>
      </c>
      <c r="PJC338" s="42" t="s">
        <v>607</v>
      </c>
      <c r="PJD338" s="42" t="s">
        <v>607</v>
      </c>
      <c r="PJE338" s="42" t="s">
        <v>607</v>
      </c>
      <c r="PJF338" s="42" t="s">
        <v>607</v>
      </c>
      <c r="PJG338" s="42" t="s">
        <v>607</v>
      </c>
      <c r="PJH338" s="42" t="s">
        <v>607</v>
      </c>
      <c r="PJI338" s="42" t="s">
        <v>607</v>
      </c>
      <c r="PJJ338" s="42" t="s">
        <v>607</v>
      </c>
      <c r="PJK338" s="42" t="s">
        <v>607</v>
      </c>
      <c r="PJL338" s="42" t="s">
        <v>607</v>
      </c>
      <c r="PJM338" s="42" t="s">
        <v>607</v>
      </c>
      <c r="PJN338" s="42" t="s">
        <v>607</v>
      </c>
      <c r="PJO338" s="42" t="s">
        <v>607</v>
      </c>
      <c r="PJP338" s="42" t="s">
        <v>607</v>
      </c>
      <c r="PJQ338" s="42" t="s">
        <v>607</v>
      </c>
      <c r="PJR338" s="42" t="s">
        <v>607</v>
      </c>
      <c r="PJS338" s="42" t="s">
        <v>607</v>
      </c>
      <c r="PJT338" s="42" t="s">
        <v>607</v>
      </c>
      <c r="PJU338" s="42" t="s">
        <v>607</v>
      </c>
      <c r="PJV338" s="42" t="s">
        <v>607</v>
      </c>
      <c r="PJW338" s="42" t="s">
        <v>607</v>
      </c>
      <c r="PJX338" s="42" t="s">
        <v>607</v>
      </c>
      <c r="PJY338" s="42" t="s">
        <v>607</v>
      </c>
      <c r="PJZ338" s="42" t="s">
        <v>607</v>
      </c>
      <c r="PKA338" s="42" t="s">
        <v>607</v>
      </c>
      <c r="PKB338" s="42" t="s">
        <v>607</v>
      </c>
      <c r="PKC338" s="42" t="s">
        <v>607</v>
      </c>
      <c r="PKD338" s="42" t="s">
        <v>607</v>
      </c>
      <c r="PKE338" s="42" t="s">
        <v>607</v>
      </c>
      <c r="PKF338" s="42" t="s">
        <v>607</v>
      </c>
      <c r="PKG338" s="42" t="s">
        <v>607</v>
      </c>
      <c r="PKH338" s="42" t="s">
        <v>607</v>
      </c>
      <c r="PKI338" s="42" t="s">
        <v>607</v>
      </c>
      <c r="PKJ338" s="42" t="s">
        <v>607</v>
      </c>
      <c r="PKK338" s="42" t="s">
        <v>607</v>
      </c>
      <c r="PKL338" s="42" t="s">
        <v>607</v>
      </c>
      <c r="PKM338" s="42" t="s">
        <v>607</v>
      </c>
      <c r="PKN338" s="42" t="s">
        <v>607</v>
      </c>
      <c r="PKO338" s="42" t="s">
        <v>607</v>
      </c>
      <c r="PKP338" s="42" t="s">
        <v>607</v>
      </c>
      <c r="PKQ338" s="42" t="s">
        <v>607</v>
      </c>
      <c r="PKR338" s="42" t="s">
        <v>607</v>
      </c>
      <c r="PKS338" s="42" t="s">
        <v>607</v>
      </c>
      <c r="PKT338" s="42" t="s">
        <v>607</v>
      </c>
      <c r="PKU338" s="42" t="s">
        <v>607</v>
      </c>
      <c r="PKV338" s="42" t="s">
        <v>607</v>
      </c>
      <c r="PKW338" s="42" t="s">
        <v>607</v>
      </c>
      <c r="PKX338" s="42" t="s">
        <v>607</v>
      </c>
      <c r="PKY338" s="42" t="s">
        <v>607</v>
      </c>
      <c r="PKZ338" s="42" t="s">
        <v>607</v>
      </c>
      <c r="PLA338" s="42" t="s">
        <v>607</v>
      </c>
      <c r="PLB338" s="42" t="s">
        <v>607</v>
      </c>
      <c r="PLC338" s="42" t="s">
        <v>607</v>
      </c>
      <c r="PLD338" s="42" t="s">
        <v>607</v>
      </c>
      <c r="PLE338" s="42" t="s">
        <v>607</v>
      </c>
      <c r="PLF338" s="42" t="s">
        <v>607</v>
      </c>
      <c r="PLG338" s="42" t="s">
        <v>607</v>
      </c>
      <c r="PLH338" s="42" t="s">
        <v>607</v>
      </c>
      <c r="PLI338" s="42" t="s">
        <v>607</v>
      </c>
      <c r="PLJ338" s="42" t="s">
        <v>607</v>
      </c>
      <c r="PLK338" s="42" t="s">
        <v>607</v>
      </c>
      <c r="PLL338" s="42" t="s">
        <v>607</v>
      </c>
      <c r="PLM338" s="42" t="s">
        <v>607</v>
      </c>
      <c r="PLN338" s="42" t="s">
        <v>607</v>
      </c>
      <c r="PLO338" s="42" t="s">
        <v>607</v>
      </c>
      <c r="PLP338" s="42" t="s">
        <v>607</v>
      </c>
      <c r="PLQ338" s="42" t="s">
        <v>607</v>
      </c>
      <c r="PLR338" s="42" t="s">
        <v>607</v>
      </c>
      <c r="PLS338" s="42" t="s">
        <v>607</v>
      </c>
      <c r="PLT338" s="42" t="s">
        <v>607</v>
      </c>
      <c r="PLU338" s="42" t="s">
        <v>607</v>
      </c>
      <c r="PLV338" s="42" t="s">
        <v>607</v>
      </c>
      <c r="PLW338" s="42" t="s">
        <v>607</v>
      </c>
      <c r="PLX338" s="42" t="s">
        <v>607</v>
      </c>
      <c r="PLY338" s="42" t="s">
        <v>607</v>
      </c>
      <c r="PLZ338" s="42" t="s">
        <v>607</v>
      </c>
      <c r="PMA338" s="42" t="s">
        <v>607</v>
      </c>
      <c r="PMB338" s="42" t="s">
        <v>607</v>
      </c>
      <c r="PMC338" s="42" t="s">
        <v>607</v>
      </c>
      <c r="PMD338" s="42" t="s">
        <v>607</v>
      </c>
      <c r="PME338" s="42" t="s">
        <v>607</v>
      </c>
      <c r="PMF338" s="42" t="s">
        <v>607</v>
      </c>
      <c r="PMG338" s="42" t="s">
        <v>607</v>
      </c>
      <c r="PMH338" s="42" t="s">
        <v>607</v>
      </c>
      <c r="PMI338" s="42" t="s">
        <v>607</v>
      </c>
      <c r="PMJ338" s="42" t="s">
        <v>607</v>
      </c>
      <c r="PMK338" s="42" t="s">
        <v>607</v>
      </c>
      <c r="PML338" s="42" t="s">
        <v>607</v>
      </c>
      <c r="PMM338" s="42" t="s">
        <v>607</v>
      </c>
      <c r="PMN338" s="42" t="s">
        <v>607</v>
      </c>
      <c r="PMO338" s="42" t="s">
        <v>607</v>
      </c>
      <c r="PMP338" s="42" t="s">
        <v>607</v>
      </c>
      <c r="PMQ338" s="42" t="s">
        <v>607</v>
      </c>
      <c r="PMR338" s="42" t="s">
        <v>607</v>
      </c>
      <c r="PMS338" s="42" t="s">
        <v>607</v>
      </c>
      <c r="PMT338" s="42" t="s">
        <v>607</v>
      </c>
      <c r="PMU338" s="42" t="s">
        <v>607</v>
      </c>
      <c r="PMV338" s="42" t="s">
        <v>607</v>
      </c>
      <c r="PMW338" s="42" t="s">
        <v>607</v>
      </c>
      <c r="PMX338" s="42" t="s">
        <v>607</v>
      </c>
      <c r="PMY338" s="42" t="s">
        <v>607</v>
      </c>
      <c r="PMZ338" s="42" t="s">
        <v>607</v>
      </c>
      <c r="PNA338" s="42" t="s">
        <v>607</v>
      </c>
      <c r="PNB338" s="42" t="s">
        <v>607</v>
      </c>
      <c r="PNC338" s="42" t="s">
        <v>607</v>
      </c>
      <c r="PND338" s="42" t="s">
        <v>607</v>
      </c>
      <c r="PNE338" s="42" t="s">
        <v>607</v>
      </c>
      <c r="PNF338" s="42" t="s">
        <v>607</v>
      </c>
      <c r="PNG338" s="42" t="s">
        <v>607</v>
      </c>
      <c r="PNH338" s="42" t="s">
        <v>607</v>
      </c>
      <c r="PNI338" s="42" t="s">
        <v>607</v>
      </c>
      <c r="PNJ338" s="42" t="s">
        <v>607</v>
      </c>
      <c r="PNK338" s="42" t="s">
        <v>607</v>
      </c>
      <c r="PNL338" s="42" t="s">
        <v>607</v>
      </c>
      <c r="PNM338" s="42" t="s">
        <v>607</v>
      </c>
      <c r="PNN338" s="42" t="s">
        <v>607</v>
      </c>
      <c r="PNO338" s="42" t="s">
        <v>607</v>
      </c>
      <c r="PNP338" s="42" t="s">
        <v>607</v>
      </c>
      <c r="PNQ338" s="42" t="s">
        <v>607</v>
      </c>
      <c r="PNR338" s="42" t="s">
        <v>607</v>
      </c>
      <c r="PNS338" s="42" t="s">
        <v>607</v>
      </c>
      <c r="PNT338" s="42" t="s">
        <v>607</v>
      </c>
      <c r="PNU338" s="42" t="s">
        <v>607</v>
      </c>
      <c r="PNV338" s="42" t="s">
        <v>607</v>
      </c>
      <c r="PNW338" s="42" t="s">
        <v>607</v>
      </c>
      <c r="PNX338" s="42" t="s">
        <v>607</v>
      </c>
      <c r="PNY338" s="42" t="s">
        <v>607</v>
      </c>
      <c r="PNZ338" s="42" t="s">
        <v>607</v>
      </c>
      <c r="POA338" s="42" t="s">
        <v>607</v>
      </c>
      <c r="POB338" s="42" t="s">
        <v>607</v>
      </c>
      <c r="POC338" s="42" t="s">
        <v>607</v>
      </c>
      <c r="POD338" s="42" t="s">
        <v>607</v>
      </c>
      <c r="POE338" s="42" t="s">
        <v>607</v>
      </c>
      <c r="POF338" s="42" t="s">
        <v>607</v>
      </c>
      <c r="POG338" s="42" t="s">
        <v>607</v>
      </c>
      <c r="POH338" s="42" t="s">
        <v>607</v>
      </c>
      <c r="POI338" s="42" t="s">
        <v>607</v>
      </c>
      <c r="POJ338" s="42" t="s">
        <v>607</v>
      </c>
      <c r="POK338" s="42" t="s">
        <v>607</v>
      </c>
      <c r="POL338" s="42" t="s">
        <v>607</v>
      </c>
      <c r="POM338" s="42" t="s">
        <v>607</v>
      </c>
      <c r="PON338" s="42" t="s">
        <v>607</v>
      </c>
      <c r="POO338" s="42" t="s">
        <v>607</v>
      </c>
      <c r="POP338" s="42" t="s">
        <v>607</v>
      </c>
      <c r="POQ338" s="42" t="s">
        <v>607</v>
      </c>
      <c r="POR338" s="42" t="s">
        <v>607</v>
      </c>
      <c r="POS338" s="42" t="s">
        <v>607</v>
      </c>
      <c r="POT338" s="42" t="s">
        <v>607</v>
      </c>
      <c r="POU338" s="42" t="s">
        <v>607</v>
      </c>
      <c r="POV338" s="42" t="s">
        <v>607</v>
      </c>
      <c r="POW338" s="42" t="s">
        <v>607</v>
      </c>
      <c r="POX338" s="42" t="s">
        <v>607</v>
      </c>
      <c r="POY338" s="42" t="s">
        <v>607</v>
      </c>
      <c r="POZ338" s="42" t="s">
        <v>607</v>
      </c>
      <c r="PPA338" s="42" t="s">
        <v>607</v>
      </c>
      <c r="PPB338" s="42" t="s">
        <v>607</v>
      </c>
      <c r="PPC338" s="42" t="s">
        <v>607</v>
      </c>
      <c r="PPD338" s="42" t="s">
        <v>607</v>
      </c>
      <c r="PPE338" s="42" t="s">
        <v>607</v>
      </c>
      <c r="PPF338" s="42" t="s">
        <v>607</v>
      </c>
      <c r="PPG338" s="42" t="s">
        <v>607</v>
      </c>
      <c r="PPH338" s="42" t="s">
        <v>607</v>
      </c>
      <c r="PPI338" s="42" t="s">
        <v>607</v>
      </c>
      <c r="PPJ338" s="42" t="s">
        <v>607</v>
      </c>
      <c r="PPK338" s="42" t="s">
        <v>607</v>
      </c>
      <c r="PPL338" s="42" t="s">
        <v>607</v>
      </c>
      <c r="PPM338" s="42" t="s">
        <v>607</v>
      </c>
      <c r="PPN338" s="42" t="s">
        <v>607</v>
      </c>
      <c r="PPO338" s="42" t="s">
        <v>607</v>
      </c>
      <c r="PPP338" s="42" t="s">
        <v>607</v>
      </c>
      <c r="PPQ338" s="42" t="s">
        <v>607</v>
      </c>
      <c r="PPR338" s="42" t="s">
        <v>607</v>
      </c>
      <c r="PPS338" s="42" t="s">
        <v>607</v>
      </c>
      <c r="PPT338" s="42" t="s">
        <v>607</v>
      </c>
      <c r="PPU338" s="42" t="s">
        <v>607</v>
      </c>
      <c r="PPV338" s="42" t="s">
        <v>607</v>
      </c>
      <c r="PPW338" s="42" t="s">
        <v>607</v>
      </c>
      <c r="PPX338" s="42" t="s">
        <v>607</v>
      </c>
      <c r="PPY338" s="42" t="s">
        <v>607</v>
      </c>
      <c r="PPZ338" s="42" t="s">
        <v>607</v>
      </c>
      <c r="PQA338" s="42" t="s">
        <v>607</v>
      </c>
      <c r="PQB338" s="42" t="s">
        <v>607</v>
      </c>
      <c r="PQC338" s="42" t="s">
        <v>607</v>
      </c>
      <c r="PQD338" s="42" t="s">
        <v>607</v>
      </c>
      <c r="PQE338" s="42" t="s">
        <v>607</v>
      </c>
      <c r="PQF338" s="42" t="s">
        <v>607</v>
      </c>
      <c r="PQG338" s="42" t="s">
        <v>607</v>
      </c>
      <c r="PQH338" s="42" t="s">
        <v>607</v>
      </c>
      <c r="PQI338" s="42" t="s">
        <v>607</v>
      </c>
      <c r="PQJ338" s="42" t="s">
        <v>607</v>
      </c>
      <c r="PQK338" s="42" t="s">
        <v>607</v>
      </c>
      <c r="PQL338" s="42" t="s">
        <v>607</v>
      </c>
      <c r="PQM338" s="42" t="s">
        <v>607</v>
      </c>
      <c r="PQN338" s="42" t="s">
        <v>607</v>
      </c>
      <c r="PQO338" s="42" t="s">
        <v>607</v>
      </c>
      <c r="PQP338" s="42" t="s">
        <v>607</v>
      </c>
      <c r="PQQ338" s="42" t="s">
        <v>607</v>
      </c>
      <c r="PQR338" s="42" t="s">
        <v>607</v>
      </c>
      <c r="PQS338" s="42" t="s">
        <v>607</v>
      </c>
      <c r="PQT338" s="42" t="s">
        <v>607</v>
      </c>
      <c r="PQU338" s="42" t="s">
        <v>607</v>
      </c>
      <c r="PQV338" s="42" t="s">
        <v>607</v>
      </c>
      <c r="PQW338" s="42" t="s">
        <v>607</v>
      </c>
      <c r="PQX338" s="42" t="s">
        <v>607</v>
      </c>
      <c r="PQY338" s="42" t="s">
        <v>607</v>
      </c>
      <c r="PQZ338" s="42" t="s">
        <v>607</v>
      </c>
      <c r="PRA338" s="42" t="s">
        <v>607</v>
      </c>
      <c r="PRB338" s="42" t="s">
        <v>607</v>
      </c>
      <c r="PRC338" s="42" t="s">
        <v>607</v>
      </c>
      <c r="PRD338" s="42" t="s">
        <v>607</v>
      </c>
      <c r="PRE338" s="42" t="s">
        <v>607</v>
      </c>
      <c r="PRF338" s="42" t="s">
        <v>607</v>
      </c>
      <c r="PRG338" s="42" t="s">
        <v>607</v>
      </c>
      <c r="PRH338" s="42" t="s">
        <v>607</v>
      </c>
      <c r="PRI338" s="42" t="s">
        <v>607</v>
      </c>
      <c r="PRJ338" s="42" t="s">
        <v>607</v>
      </c>
      <c r="PRK338" s="42" t="s">
        <v>607</v>
      </c>
      <c r="PRL338" s="42" t="s">
        <v>607</v>
      </c>
      <c r="PRM338" s="42" t="s">
        <v>607</v>
      </c>
      <c r="PRN338" s="42" t="s">
        <v>607</v>
      </c>
      <c r="PRO338" s="42" t="s">
        <v>607</v>
      </c>
      <c r="PRP338" s="42" t="s">
        <v>607</v>
      </c>
      <c r="PRQ338" s="42" t="s">
        <v>607</v>
      </c>
      <c r="PRR338" s="42" t="s">
        <v>607</v>
      </c>
      <c r="PRS338" s="42" t="s">
        <v>607</v>
      </c>
      <c r="PRT338" s="42" t="s">
        <v>607</v>
      </c>
      <c r="PRU338" s="42" t="s">
        <v>607</v>
      </c>
      <c r="PRV338" s="42" t="s">
        <v>607</v>
      </c>
      <c r="PRW338" s="42" t="s">
        <v>607</v>
      </c>
      <c r="PRX338" s="42" t="s">
        <v>607</v>
      </c>
      <c r="PRY338" s="42" t="s">
        <v>607</v>
      </c>
      <c r="PRZ338" s="42" t="s">
        <v>607</v>
      </c>
      <c r="PSA338" s="42" t="s">
        <v>607</v>
      </c>
      <c r="PSB338" s="42" t="s">
        <v>607</v>
      </c>
      <c r="PSC338" s="42" t="s">
        <v>607</v>
      </c>
      <c r="PSD338" s="42" t="s">
        <v>607</v>
      </c>
      <c r="PSE338" s="42" t="s">
        <v>607</v>
      </c>
      <c r="PSF338" s="42" t="s">
        <v>607</v>
      </c>
      <c r="PSG338" s="42" t="s">
        <v>607</v>
      </c>
      <c r="PSH338" s="42" t="s">
        <v>607</v>
      </c>
      <c r="PSI338" s="42" t="s">
        <v>607</v>
      </c>
      <c r="PSJ338" s="42" t="s">
        <v>607</v>
      </c>
      <c r="PSK338" s="42" t="s">
        <v>607</v>
      </c>
      <c r="PSL338" s="42" t="s">
        <v>607</v>
      </c>
      <c r="PSM338" s="42" t="s">
        <v>607</v>
      </c>
      <c r="PSN338" s="42" t="s">
        <v>607</v>
      </c>
      <c r="PSO338" s="42" t="s">
        <v>607</v>
      </c>
      <c r="PSP338" s="42" t="s">
        <v>607</v>
      </c>
      <c r="PSQ338" s="42" t="s">
        <v>607</v>
      </c>
      <c r="PSR338" s="42" t="s">
        <v>607</v>
      </c>
      <c r="PSS338" s="42" t="s">
        <v>607</v>
      </c>
      <c r="PST338" s="42" t="s">
        <v>607</v>
      </c>
      <c r="PSU338" s="42" t="s">
        <v>607</v>
      </c>
      <c r="PSV338" s="42" t="s">
        <v>607</v>
      </c>
      <c r="PSW338" s="42" t="s">
        <v>607</v>
      </c>
      <c r="PSX338" s="42" t="s">
        <v>607</v>
      </c>
      <c r="PSY338" s="42" t="s">
        <v>607</v>
      </c>
      <c r="PSZ338" s="42" t="s">
        <v>607</v>
      </c>
      <c r="PTA338" s="42" t="s">
        <v>607</v>
      </c>
      <c r="PTB338" s="42" t="s">
        <v>607</v>
      </c>
      <c r="PTC338" s="42" t="s">
        <v>607</v>
      </c>
      <c r="PTD338" s="42" t="s">
        <v>607</v>
      </c>
      <c r="PTE338" s="42" t="s">
        <v>607</v>
      </c>
      <c r="PTF338" s="42" t="s">
        <v>607</v>
      </c>
      <c r="PTG338" s="42" t="s">
        <v>607</v>
      </c>
      <c r="PTH338" s="42" t="s">
        <v>607</v>
      </c>
      <c r="PTI338" s="42" t="s">
        <v>607</v>
      </c>
      <c r="PTJ338" s="42" t="s">
        <v>607</v>
      </c>
      <c r="PTK338" s="42" t="s">
        <v>607</v>
      </c>
      <c r="PTL338" s="42" t="s">
        <v>607</v>
      </c>
      <c r="PTM338" s="42" t="s">
        <v>607</v>
      </c>
      <c r="PTN338" s="42" t="s">
        <v>607</v>
      </c>
      <c r="PTO338" s="42" t="s">
        <v>607</v>
      </c>
      <c r="PTP338" s="42" t="s">
        <v>607</v>
      </c>
      <c r="PTQ338" s="42" t="s">
        <v>607</v>
      </c>
      <c r="PTR338" s="42" t="s">
        <v>607</v>
      </c>
      <c r="PTS338" s="42" t="s">
        <v>607</v>
      </c>
      <c r="PTT338" s="42" t="s">
        <v>607</v>
      </c>
      <c r="PTU338" s="42" t="s">
        <v>607</v>
      </c>
      <c r="PTV338" s="42" t="s">
        <v>607</v>
      </c>
      <c r="PTW338" s="42" t="s">
        <v>607</v>
      </c>
      <c r="PTX338" s="42" t="s">
        <v>607</v>
      </c>
      <c r="PTY338" s="42" t="s">
        <v>607</v>
      </c>
      <c r="PTZ338" s="42" t="s">
        <v>607</v>
      </c>
      <c r="PUA338" s="42" t="s">
        <v>607</v>
      </c>
      <c r="PUB338" s="42" t="s">
        <v>607</v>
      </c>
      <c r="PUC338" s="42" t="s">
        <v>607</v>
      </c>
      <c r="PUD338" s="42" t="s">
        <v>607</v>
      </c>
      <c r="PUE338" s="42" t="s">
        <v>607</v>
      </c>
      <c r="PUF338" s="42" t="s">
        <v>607</v>
      </c>
      <c r="PUG338" s="42" t="s">
        <v>607</v>
      </c>
      <c r="PUH338" s="42" t="s">
        <v>607</v>
      </c>
      <c r="PUI338" s="42" t="s">
        <v>607</v>
      </c>
      <c r="PUJ338" s="42" t="s">
        <v>607</v>
      </c>
      <c r="PUK338" s="42" t="s">
        <v>607</v>
      </c>
      <c r="PUL338" s="42" t="s">
        <v>607</v>
      </c>
      <c r="PUM338" s="42" t="s">
        <v>607</v>
      </c>
      <c r="PUN338" s="42" t="s">
        <v>607</v>
      </c>
      <c r="PUO338" s="42" t="s">
        <v>607</v>
      </c>
      <c r="PUP338" s="42" t="s">
        <v>607</v>
      </c>
      <c r="PUQ338" s="42" t="s">
        <v>607</v>
      </c>
      <c r="PUR338" s="42" t="s">
        <v>607</v>
      </c>
      <c r="PUS338" s="42" t="s">
        <v>607</v>
      </c>
      <c r="PUT338" s="42" t="s">
        <v>607</v>
      </c>
      <c r="PUU338" s="42" t="s">
        <v>607</v>
      </c>
      <c r="PUV338" s="42" t="s">
        <v>607</v>
      </c>
      <c r="PUW338" s="42" t="s">
        <v>607</v>
      </c>
      <c r="PUX338" s="42" t="s">
        <v>607</v>
      </c>
      <c r="PUY338" s="42" t="s">
        <v>607</v>
      </c>
      <c r="PUZ338" s="42" t="s">
        <v>607</v>
      </c>
      <c r="PVA338" s="42" t="s">
        <v>607</v>
      </c>
      <c r="PVB338" s="42" t="s">
        <v>607</v>
      </c>
      <c r="PVC338" s="42" t="s">
        <v>607</v>
      </c>
      <c r="PVD338" s="42" t="s">
        <v>607</v>
      </c>
      <c r="PVE338" s="42" t="s">
        <v>607</v>
      </c>
      <c r="PVF338" s="42" t="s">
        <v>607</v>
      </c>
      <c r="PVG338" s="42" t="s">
        <v>607</v>
      </c>
      <c r="PVH338" s="42" t="s">
        <v>607</v>
      </c>
      <c r="PVI338" s="42" t="s">
        <v>607</v>
      </c>
      <c r="PVJ338" s="42" t="s">
        <v>607</v>
      </c>
      <c r="PVK338" s="42" t="s">
        <v>607</v>
      </c>
      <c r="PVL338" s="42" t="s">
        <v>607</v>
      </c>
      <c r="PVM338" s="42" t="s">
        <v>607</v>
      </c>
      <c r="PVN338" s="42" t="s">
        <v>607</v>
      </c>
      <c r="PVO338" s="42" t="s">
        <v>607</v>
      </c>
      <c r="PVP338" s="42" t="s">
        <v>607</v>
      </c>
      <c r="PVQ338" s="42" t="s">
        <v>607</v>
      </c>
      <c r="PVR338" s="42" t="s">
        <v>607</v>
      </c>
      <c r="PVS338" s="42" t="s">
        <v>607</v>
      </c>
      <c r="PVT338" s="42" t="s">
        <v>607</v>
      </c>
      <c r="PVU338" s="42" t="s">
        <v>607</v>
      </c>
      <c r="PVV338" s="42" t="s">
        <v>607</v>
      </c>
      <c r="PVW338" s="42" t="s">
        <v>607</v>
      </c>
      <c r="PVX338" s="42" t="s">
        <v>607</v>
      </c>
      <c r="PVY338" s="42" t="s">
        <v>607</v>
      </c>
      <c r="PVZ338" s="42" t="s">
        <v>607</v>
      </c>
      <c r="PWA338" s="42" t="s">
        <v>607</v>
      </c>
      <c r="PWB338" s="42" t="s">
        <v>607</v>
      </c>
      <c r="PWC338" s="42" t="s">
        <v>607</v>
      </c>
      <c r="PWD338" s="42" t="s">
        <v>607</v>
      </c>
      <c r="PWE338" s="42" t="s">
        <v>607</v>
      </c>
      <c r="PWF338" s="42" t="s">
        <v>607</v>
      </c>
      <c r="PWG338" s="42" t="s">
        <v>607</v>
      </c>
      <c r="PWH338" s="42" t="s">
        <v>607</v>
      </c>
      <c r="PWI338" s="42" t="s">
        <v>607</v>
      </c>
      <c r="PWJ338" s="42" t="s">
        <v>607</v>
      </c>
      <c r="PWK338" s="42" t="s">
        <v>607</v>
      </c>
      <c r="PWL338" s="42" t="s">
        <v>607</v>
      </c>
      <c r="PWM338" s="42" t="s">
        <v>607</v>
      </c>
      <c r="PWN338" s="42" t="s">
        <v>607</v>
      </c>
      <c r="PWO338" s="42" t="s">
        <v>607</v>
      </c>
      <c r="PWP338" s="42" t="s">
        <v>607</v>
      </c>
      <c r="PWQ338" s="42" t="s">
        <v>607</v>
      </c>
      <c r="PWR338" s="42" t="s">
        <v>607</v>
      </c>
      <c r="PWS338" s="42" t="s">
        <v>607</v>
      </c>
      <c r="PWT338" s="42" t="s">
        <v>607</v>
      </c>
      <c r="PWU338" s="42" t="s">
        <v>607</v>
      </c>
      <c r="PWV338" s="42" t="s">
        <v>607</v>
      </c>
      <c r="PWW338" s="42" t="s">
        <v>607</v>
      </c>
      <c r="PWX338" s="42" t="s">
        <v>607</v>
      </c>
      <c r="PWY338" s="42" t="s">
        <v>607</v>
      </c>
      <c r="PWZ338" s="42" t="s">
        <v>607</v>
      </c>
      <c r="PXA338" s="42" t="s">
        <v>607</v>
      </c>
      <c r="PXB338" s="42" t="s">
        <v>607</v>
      </c>
      <c r="PXC338" s="42" t="s">
        <v>607</v>
      </c>
      <c r="PXD338" s="42" t="s">
        <v>607</v>
      </c>
      <c r="PXE338" s="42" t="s">
        <v>607</v>
      </c>
      <c r="PXF338" s="42" t="s">
        <v>607</v>
      </c>
      <c r="PXG338" s="42" t="s">
        <v>607</v>
      </c>
      <c r="PXH338" s="42" t="s">
        <v>607</v>
      </c>
      <c r="PXI338" s="42" t="s">
        <v>607</v>
      </c>
      <c r="PXJ338" s="42" t="s">
        <v>607</v>
      </c>
      <c r="PXK338" s="42" t="s">
        <v>607</v>
      </c>
      <c r="PXL338" s="42" t="s">
        <v>607</v>
      </c>
      <c r="PXM338" s="42" t="s">
        <v>607</v>
      </c>
      <c r="PXN338" s="42" t="s">
        <v>607</v>
      </c>
      <c r="PXO338" s="42" t="s">
        <v>607</v>
      </c>
      <c r="PXP338" s="42" t="s">
        <v>607</v>
      </c>
      <c r="PXQ338" s="42" t="s">
        <v>607</v>
      </c>
      <c r="PXR338" s="42" t="s">
        <v>607</v>
      </c>
      <c r="PXS338" s="42" t="s">
        <v>607</v>
      </c>
      <c r="PXT338" s="42" t="s">
        <v>607</v>
      </c>
      <c r="PXU338" s="42" t="s">
        <v>607</v>
      </c>
      <c r="PXV338" s="42" t="s">
        <v>607</v>
      </c>
      <c r="PXW338" s="42" t="s">
        <v>607</v>
      </c>
      <c r="PXX338" s="42" t="s">
        <v>607</v>
      </c>
      <c r="PXY338" s="42" t="s">
        <v>607</v>
      </c>
      <c r="PXZ338" s="42" t="s">
        <v>607</v>
      </c>
      <c r="PYA338" s="42" t="s">
        <v>607</v>
      </c>
      <c r="PYB338" s="42" t="s">
        <v>607</v>
      </c>
      <c r="PYC338" s="42" t="s">
        <v>607</v>
      </c>
      <c r="PYD338" s="42" t="s">
        <v>607</v>
      </c>
      <c r="PYE338" s="42" t="s">
        <v>607</v>
      </c>
      <c r="PYF338" s="42" t="s">
        <v>607</v>
      </c>
      <c r="PYG338" s="42" t="s">
        <v>607</v>
      </c>
      <c r="PYH338" s="42" t="s">
        <v>607</v>
      </c>
      <c r="PYI338" s="42" t="s">
        <v>607</v>
      </c>
      <c r="PYJ338" s="42" t="s">
        <v>607</v>
      </c>
      <c r="PYK338" s="42" t="s">
        <v>607</v>
      </c>
      <c r="PYL338" s="42" t="s">
        <v>607</v>
      </c>
      <c r="PYM338" s="42" t="s">
        <v>607</v>
      </c>
      <c r="PYN338" s="42" t="s">
        <v>607</v>
      </c>
      <c r="PYO338" s="42" t="s">
        <v>607</v>
      </c>
      <c r="PYP338" s="42" t="s">
        <v>607</v>
      </c>
      <c r="PYQ338" s="42" t="s">
        <v>607</v>
      </c>
      <c r="PYR338" s="42" t="s">
        <v>607</v>
      </c>
      <c r="PYS338" s="42" t="s">
        <v>607</v>
      </c>
      <c r="PYT338" s="42" t="s">
        <v>607</v>
      </c>
      <c r="PYU338" s="42" t="s">
        <v>607</v>
      </c>
      <c r="PYV338" s="42" t="s">
        <v>607</v>
      </c>
      <c r="PYW338" s="42" t="s">
        <v>607</v>
      </c>
      <c r="PYX338" s="42" t="s">
        <v>607</v>
      </c>
      <c r="PYY338" s="42" t="s">
        <v>607</v>
      </c>
      <c r="PYZ338" s="42" t="s">
        <v>607</v>
      </c>
      <c r="PZA338" s="42" t="s">
        <v>607</v>
      </c>
      <c r="PZB338" s="42" t="s">
        <v>607</v>
      </c>
      <c r="PZC338" s="42" t="s">
        <v>607</v>
      </c>
      <c r="PZD338" s="42" t="s">
        <v>607</v>
      </c>
      <c r="PZE338" s="42" t="s">
        <v>607</v>
      </c>
      <c r="PZF338" s="42" t="s">
        <v>607</v>
      </c>
      <c r="PZG338" s="42" t="s">
        <v>607</v>
      </c>
      <c r="PZH338" s="42" t="s">
        <v>607</v>
      </c>
      <c r="PZI338" s="42" t="s">
        <v>607</v>
      </c>
      <c r="PZJ338" s="42" t="s">
        <v>607</v>
      </c>
      <c r="PZK338" s="42" t="s">
        <v>607</v>
      </c>
      <c r="PZL338" s="42" t="s">
        <v>607</v>
      </c>
      <c r="PZM338" s="42" t="s">
        <v>607</v>
      </c>
      <c r="PZN338" s="42" t="s">
        <v>607</v>
      </c>
      <c r="PZO338" s="42" t="s">
        <v>607</v>
      </c>
      <c r="PZP338" s="42" t="s">
        <v>607</v>
      </c>
      <c r="PZQ338" s="42" t="s">
        <v>607</v>
      </c>
      <c r="PZR338" s="42" t="s">
        <v>607</v>
      </c>
      <c r="PZS338" s="42" t="s">
        <v>607</v>
      </c>
      <c r="PZT338" s="42" t="s">
        <v>607</v>
      </c>
      <c r="PZU338" s="42" t="s">
        <v>607</v>
      </c>
      <c r="PZV338" s="42" t="s">
        <v>607</v>
      </c>
      <c r="PZW338" s="42" t="s">
        <v>607</v>
      </c>
      <c r="PZX338" s="42" t="s">
        <v>607</v>
      </c>
      <c r="PZY338" s="42" t="s">
        <v>607</v>
      </c>
      <c r="PZZ338" s="42" t="s">
        <v>607</v>
      </c>
      <c r="QAA338" s="42" t="s">
        <v>607</v>
      </c>
      <c r="QAB338" s="42" t="s">
        <v>607</v>
      </c>
      <c r="QAC338" s="42" t="s">
        <v>607</v>
      </c>
      <c r="QAD338" s="42" t="s">
        <v>607</v>
      </c>
      <c r="QAE338" s="42" t="s">
        <v>607</v>
      </c>
      <c r="QAF338" s="42" t="s">
        <v>607</v>
      </c>
      <c r="QAG338" s="42" t="s">
        <v>607</v>
      </c>
      <c r="QAH338" s="42" t="s">
        <v>607</v>
      </c>
      <c r="QAI338" s="42" t="s">
        <v>607</v>
      </c>
      <c r="QAJ338" s="42" t="s">
        <v>607</v>
      </c>
      <c r="QAK338" s="42" t="s">
        <v>607</v>
      </c>
      <c r="QAL338" s="42" t="s">
        <v>607</v>
      </c>
      <c r="QAM338" s="42" t="s">
        <v>607</v>
      </c>
      <c r="QAN338" s="42" t="s">
        <v>607</v>
      </c>
      <c r="QAO338" s="42" t="s">
        <v>607</v>
      </c>
      <c r="QAP338" s="42" t="s">
        <v>607</v>
      </c>
      <c r="QAQ338" s="42" t="s">
        <v>607</v>
      </c>
      <c r="QAR338" s="42" t="s">
        <v>607</v>
      </c>
      <c r="QAS338" s="42" t="s">
        <v>607</v>
      </c>
      <c r="QAT338" s="42" t="s">
        <v>607</v>
      </c>
      <c r="QAU338" s="42" t="s">
        <v>607</v>
      </c>
      <c r="QAV338" s="42" t="s">
        <v>607</v>
      </c>
      <c r="QAW338" s="42" t="s">
        <v>607</v>
      </c>
      <c r="QAX338" s="42" t="s">
        <v>607</v>
      </c>
      <c r="QAY338" s="42" t="s">
        <v>607</v>
      </c>
      <c r="QAZ338" s="42" t="s">
        <v>607</v>
      </c>
      <c r="QBA338" s="42" t="s">
        <v>607</v>
      </c>
      <c r="QBB338" s="42" t="s">
        <v>607</v>
      </c>
      <c r="QBC338" s="42" t="s">
        <v>607</v>
      </c>
      <c r="QBD338" s="42" t="s">
        <v>607</v>
      </c>
      <c r="QBE338" s="42" t="s">
        <v>607</v>
      </c>
      <c r="QBF338" s="42" t="s">
        <v>607</v>
      </c>
      <c r="QBG338" s="42" t="s">
        <v>607</v>
      </c>
      <c r="QBH338" s="42" t="s">
        <v>607</v>
      </c>
      <c r="QBI338" s="42" t="s">
        <v>607</v>
      </c>
      <c r="QBJ338" s="42" t="s">
        <v>607</v>
      </c>
      <c r="QBK338" s="42" t="s">
        <v>607</v>
      </c>
      <c r="QBL338" s="42" t="s">
        <v>607</v>
      </c>
      <c r="QBM338" s="42" t="s">
        <v>607</v>
      </c>
      <c r="QBN338" s="42" t="s">
        <v>607</v>
      </c>
      <c r="QBO338" s="42" t="s">
        <v>607</v>
      </c>
      <c r="QBP338" s="42" t="s">
        <v>607</v>
      </c>
      <c r="QBQ338" s="42" t="s">
        <v>607</v>
      </c>
      <c r="QBR338" s="42" t="s">
        <v>607</v>
      </c>
      <c r="QBS338" s="42" t="s">
        <v>607</v>
      </c>
      <c r="QBT338" s="42" t="s">
        <v>607</v>
      </c>
      <c r="QBU338" s="42" t="s">
        <v>607</v>
      </c>
      <c r="QBV338" s="42" t="s">
        <v>607</v>
      </c>
      <c r="QBW338" s="42" t="s">
        <v>607</v>
      </c>
      <c r="QBX338" s="42" t="s">
        <v>607</v>
      </c>
      <c r="QBY338" s="42" t="s">
        <v>607</v>
      </c>
      <c r="QBZ338" s="42" t="s">
        <v>607</v>
      </c>
      <c r="QCA338" s="42" t="s">
        <v>607</v>
      </c>
      <c r="QCB338" s="42" t="s">
        <v>607</v>
      </c>
      <c r="QCC338" s="42" t="s">
        <v>607</v>
      </c>
      <c r="QCD338" s="42" t="s">
        <v>607</v>
      </c>
      <c r="QCE338" s="42" t="s">
        <v>607</v>
      </c>
      <c r="QCF338" s="42" t="s">
        <v>607</v>
      </c>
      <c r="QCG338" s="42" t="s">
        <v>607</v>
      </c>
      <c r="QCH338" s="42" t="s">
        <v>607</v>
      </c>
      <c r="QCI338" s="42" t="s">
        <v>607</v>
      </c>
      <c r="QCJ338" s="42" t="s">
        <v>607</v>
      </c>
      <c r="QCK338" s="42" t="s">
        <v>607</v>
      </c>
      <c r="QCL338" s="42" t="s">
        <v>607</v>
      </c>
      <c r="QCM338" s="42" t="s">
        <v>607</v>
      </c>
      <c r="QCN338" s="42" t="s">
        <v>607</v>
      </c>
      <c r="QCO338" s="42" t="s">
        <v>607</v>
      </c>
      <c r="QCP338" s="42" t="s">
        <v>607</v>
      </c>
      <c r="QCQ338" s="42" t="s">
        <v>607</v>
      </c>
      <c r="QCR338" s="42" t="s">
        <v>607</v>
      </c>
      <c r="QCS338" s="42" t="s">
        <v>607</v>
      </c>
      <c r="QCT338" s="42" t="s">
        <v>607</v>
      </c>
      <c r="QCU338" s="42" t="s">
        <v>607</v>
      </c>
      <c r="QCV338" s="42" t="s">
        <v>607</v>
      </c>
      <c r="QCW338" s="42" t="s">
        <v>607</v>
      </c>
      <c r="QCX338" s="42" t="s">
        <v>607</v>
      </c>
      <c r="QCY338" s="42" t="s">
        <v>607</v>
      </c>
      <c r="QCZ338" s="42" t="s">
        <v>607</v>
      </c>
      <c r="QDA338" s="42" t="s">
        <v>607</v>
      </c>
      <c r="QDB338" s="42" t="s">
        <v>607</v>
      </c>
      <c r="QDC338" s="42" t="s">
        <v>607</v>
      </c>
      <c r="QDD338" s="42" t="s">
        <v>607</v>
      </c>
      <c r="QDE338" s="42" t="s">
        <v>607</v>
      </c>
      <c r="QDF338" s="42" t="s">
        <v>607</v>
      </c>
      <c r="QDG338" s="42" t="s">
        <v>607</v>
      </c>
      <c r="QDH338" s="42" t="s">
        <v>607</v>
      </c>
      <c r="QDI338" s="42" t="s">
        <v>607</v>
      </c>
      <c r="QDJ338" s="42" t="s">
        <v>607</v>
      </c>
      <c r="QDK338" s="42" t="s">
        <v>607</v>
      </c>
      <c r="QDL338" s="42" t="s">
        <v>607</v>
      </c>
      <c r="QDM338" s="42" t="s">
        <v>607</v>
      </c>
      <c r="QDN338" s="42" t="s">
        <v>607</v>
      </c>
      <c r="QDO338" s="42" t="s">
        <v>607</v>
      </c>
      <c r="QDP338" s="42" t="s">
        <v>607</v>
      </c>
      <c r="QDQ338" s="42" t="s">
        <v>607</v>
      </c>
      <c r="QDR338" s="42" t="s">
        <v>607</v>
      </c>
      <c r="QDS338" s="42" t="s">
        <v>607</v>
      </c>
      <c r="QDT338" s="42" t="s">
        <v>607</v>
      </c>
      <c r="QDU338" s="42" t="s">
        <v>607</v>
      </c>
      <c r="QDV338" s="42" t="s">
        <v>607</v>
      </c>
      <c r="QDW338" s="42" t="s">
        <v>607</v>
      </c>
      <c r="QDX338" s="42" t="s">
        <v>607</v>
      </c>
      <c r="QDY338" s="42" t="s">
        <v>607</v>
      </c>
      <c r="QDZ338" s="42" t="s">
        <v>607</v>
      </c>
      <c r="QEA338" s="42" t="s">
        <v>607</v>
      </c>
      <c r="QEB338" s="42" t="s">
        <v>607</v>
      </c>
      <c r="QEC338" s="42" t="s">
        <v>607</v>
      </c>
      <c r="QED338" s="42" t="s">
        <v>607</v>
      </c>
      <c r="QEE338" s="42" t="s">
        <v>607</v>
      </c>
      <c r="QEF338" s="42" t="s">
        <v>607</v>
      </c>
      <c r="QEG338" s="42" t="s">
        <v>607</v>
      </c>
      <c r="QEH338" s="42" t="s">
        <v>607</v>
      </c>
      <c r="QEI338" s="42" t="s">
        <v>607</v>
      </c>
      <c r="QEJ338" s="42" t="s">
        <v>607</v>
      </c>
      <c r="QEK338" s="42" t="s">
        <v>607</v>
      </c>
      <c r="QEL338" s="42" t="s">
        <v>607</v>
      </c>
      <c r="QEM338" s="42" t="s">
        <v>607</v>
      </c>
      <c r="QEN338" s="42" t="s">
        <v>607</v>
      </c>
      <c r="QEO338" s="42" t="s">
        <v>607</v>
      </c>
      <c r="QEP338" s="42" t="s">
        <v>607</v>
      </c>
      <c r="QEQ338" s="42" t="s">
        <v>607</v>
      </c>
      <c r="QER338" s="42" t="s">
        <v>607</v>
      </c>
      <c r="QES338" s="42" t="s">
        <v>607</v>
      </c>
      <c r="QET338" s="42" t="s">
        <v>607</v>
      </c>
      <c r="QEU338" s="42" t="s">
        <v>607</v>
      </c>
      <c r="QEV338" s="42" t="s">
        <v>607</v>
      </c>
      <c r="QEW338" s="42" t="s">
        <v>607</v>
      </c>
      <c r="QEX338" s="42" t="s">
        <v>607</v>
      </c>
      <c r="QEY338" s="42" t="s">
        <v>607</v>
      </c>
      <c r="QEZ338" s="42" t="s">
        <v>607</v>
      </c>
      <c r="QFA338" s="42" t="s">
        <v>607</v>
      </c>
      <c r="QFB338" s="42" t="s">
        <v>607</v>
      </c>
      <c r="QFC338" s="42" t="s">
        <v>607</v>
      </c>
      <c r="QFD338" s="42" t="s">
        <v>607</v>
      </c>
      <c r="QFE338" s="42" t="s">
        <v>607</v>
      </c>
      <c r="QFF338" s="42" t="s">
        <v>607</v>
      </c>
      <c r="QFG338" s="42" t="s">
        <v>607</v>
      </c>
      <c r="QFH338" s="42" t="s">
        <v>607</v>
      </c>
      <c r="QFI338" s="42" t="s">
        <v>607</v>
      </c>
      <c r="QFJ338" s="42" t="s">
        <v>607</v>
      </c>
      <c r="QFK338" s="42" t="s">
        <v>607</v>
      </c>
      <c r="QFL338" s="42" t="s">
        <v>607</v>
      </c>
      <c r="QFM338" s="42" t="s">
        <v>607</v>
      </c>
      <c r="QFN338" s="42" t="s">
        <v>607</v>
      </c>
      <c r="QFO338" s="42" t="s">
        <v>607</v>
      </c>
      <c r="QFP338" s="42" t="s">
        <v>607</v>
      </c>
      <c r="QFQ338" s="42" t="s">
        <v>607</v>
      </c>
      <c r="QFR338" s="42" t="s">
        <v>607</v>
      </c>
      <c r="QFS338" s="42" t="s">
        <v>607</v>
      </c>
      <c r="QFT338" s="42" t="s">
        <v>607</v>
      </c>
      <c r="QFU338" s="42" t="s">
        <v>607</v>
      </c>
      <c r="QFV338" s="42" t="s">
        <v>607</v>
      </c>
      <c r="QFW338" s="42" t="s">
        <v>607</v>
      </c>
      <c r="QFX338" s="42" t="s">
        <v>607</v>
      </c>
      <c r="QFY338" s="42" t="s">
        <v>607</v>
      </c>
      <c r="QFZ338" s="42" t="s">
        <v>607</v>
      </c>
      <c r="QGA338" s="42" t="s">
        <v>607</v>
      </c>
      <c r="QGB338" s="42" t="s">
        <v>607</v>
      </c>
      <c r="QGC338" s="42" t="s">
        <v>607</v>
      </c>
      <c r="QGD338" s="42" t="s">
        <v>607</v>
      </c>
      <c r="QGE338" s="42" t="s">
        <v>607</v>
      </c>
      <c r="QGF338" s="42" t="s">
        <v>607</v>
      </c>
      <c r="QGG338" s="42" t="s">
        <v>607</v>
      </c>
      <c r="QGH338" s="42" t="s">
        <v>607</v>
      </c>
      <c r="QGI338" s="42" t="s">
        <v>607</v>
      </c>
      <c r="QGJ338" s="42" t="s">
        <v>607</v>
      </c>
      <c r="QGK338" s="42" t="s">
        <v>607</v>
      </c>
      <c r="QGL338" s="42" t="s">
        <v>607</v>
      </c>
      <c r="QGM338" s="42" t="s">
        <v>607</v>
      </c>
      <c r="QGN338" s="42" t="s">
        <v>607</v>
      </c>
      <c r="QGO338" s="42" t="s">
        <v>607</v>
      </c>
      <c r="QGP338" s="42" t="s">
        <v>607</v>
      </c>
      <c r="QGQ338" s="42" t="s">
        <v>607</v>
      </c>
      <c r="QGR338" s="42" t="s">
        <v>607</v>
      </c>
      <c r="QGS338" s="42" t="s">
        <v>607</v>
      </c>
      <c r="QGT338" s="42" t="s">
        <v>607</v>
      </c>
      <c r="QGU338" s="42" t="s">
        <v>607</v>
      </c>
      <c r="QGV338" s="42" t="s">
        <v>607</v>
      </c>
      <c r="QGW338" s="42" t="s">
        <v>607</v>
      </c>
      <c r="QGX338" s="42" t="s">
        <v>607</v>
      </c>
      <c r="QGY338" s="42" t="s">
        <v>607</v>
      </c>
      <c r="QGZ338" s="42" t="s">
        <v>607</v>
      </c>
      <c r="QHA338" s="42" t="s">
        <v>607</v>
      </c>
      <c r="QHB338" s="42" t="s">
        <v>607</v>
      </c>
      <c r="QHC338" s="42" t="s">
        <v>607</v>
      </c>
      <c r="QHD338" s="42" t="s">
        <v>607</v>
      </c>
      <c r="QHE338" s="42" t="s">
        <v>607</v>
      </c>
      <c r="QHF338" s="42" t="s">
        <v>607</v>
      </c>
      <c r="QHG338" s="42" t="s">
        <v>607</v>
      </c>
      <c r="QHH338" s="42" t="s">
        <v>607</v>
      </c>
      <c r="QHI338" s="42" t="s">
        <v>607</v>
      </c>
      <c r="QHJ338" s="42" t="s">
        <v>607</v>
      </c>
      <c r="QHK338" s="42" t="s">
        <v>607</v>
      </c>
      <c r="QHL338" s="42" t="s">
        <v>607</v>
      </c>
      <c r="QHM338" s="42" t="s">
        <v>607</v>
      </c>
      <c r="QHN338" s="42" t="s">
        <v>607</v>
      </c>
      <c r="QHO338" s="42" t="s">
        <v>607</v>
      </c>
      <c r="QHP338" s="42" t="s">
        <v>607</v>
      </c>
      <c r="QHQ338" s="42" t="s">
        <v>607</v>
      </c>
      <c r="QHR338" s="42" t="s">
        <v>607</v>
      </c>
      <c r="QHS338" s="42" t="s">
        <v>607</v>
      </c>
      <c r="QHT338" s="42" t="s">
        <v>607</v>
      </c>
      <c r="QHU338" s="42" t="s">
        <v>607</v>
      </c>
      <c r="QHV338" s="42" t="s">
        <v>607</v>
      </c>
      <c r="QHW338" s="42" t="s">
        <v>607</v>
      </c>
      <c r="QHX338" s="42" t="s">
        <v>607</v>
      </c>
      <c r="QHY338" s="42" t="s">
        <v>607</v>
      </c>
      <c r="QHZ338" s="42" t="s">
        <v>607</v>
      </c>
      <c r="QIA338" s="42" t="s">
        <v>607</v>
      </c>
      <c r="QIB338" s="42" t="s">
        <v>607</v>
      </c>
      <c r="QIC338" s="42" t="s">
        <v>607</v>
      </c>
      <c r="QID338" s="42" t="s">
        <v>607</v>
      </c>
      <c r="QIE338" s="42" t="s">
        <v>607</v>
      </c>
      <c r="QIF338" s="42" t="s">
        <v>607</v>
      </c>
      <c r="QIG338" s="42" t="s">
        <v>607</v>
      </c>
      <c r="QIH338" s="42" t="s">
        <v>607</v>
      </c>
      <c r="QII338" s="42" t="s">
        <v>607</v>
      </c>
      <c r="QIJ338" s="42" t="s">
        <v>607</v>
      </c>
      <c r="QIK338" s="42" t="s">
        <v>607</v>
      </c>
      <c r="QIL338" s="42" t="s">
        <v>607</v>
      </c>
      <c r="QIM338" s="42" t="s">
        <v>607</v>
      </c>
      <c r="QIN338" s="42" t="s">
        <v>607</v>
      </c>
      <c r="QIO338" s="42" t="s">
        <v>607</v>
      </c>
      <c r="QIP338" s="42" t="s">
        <v>607</v>
      </c>
      <c r="QIQ338" s="42" t="s">
        <v>607</v>
      </c>
      <c r="QIR338" s="42" t="s">
        <v>607</v>
      </c>
      <c r="QIS338" s="42" t="s">
        <v>607</v>
      </c>
      <c r="QIT338" s="42" t="s">
        <v>607</v>
      </c>
      <c r="QIU338" s="42" t="s">
        <v>607</v>
      </c>
      <c r="QIV338" s="42" t="s">
        <v>607</v>
      </c>
      <c r="QIW338" s="42" t="s">
        <v>607</v>
      </c>
      <c r="QIX338" s="42" t="s">
        <v>607</v>
      </c>
      <c r="QIY338" s="42" t="s">
        <v>607</v>
      </c>
      <c r="QIZ338" s="42" t="s">
        <v>607</v>
      </c>
      <c r="QJA338" s="42" t="s">
        <v>607</v>
      </c>
      <c r="QJB338" s="42" t="s">
        <v>607</v>
      </c>
      <c r="QJC338" s="42" t="s">
        <v>607</v>
      </c>
      <c r="QJD338" s="42" t="s">
        <v>607</v>
      </c>
      <c r="QJE338" s="42" t="s">
        <v>607</v>
      </c>
      <c r="QJF338" s="42" t="s">
        <v>607</v>
      </c>
      <c r="QJG338" s="42" t="s">
        <v>607</v>
      </c>
      <c r="QJH338" s="42" t="s">
        <v>607</v>
      </c>
      <c r="QJI338" s="42" t="s">
        <v>607</v>
      </c>
      <c r="QJJ338" s="42" t="s">
        <v>607</v>
      </c>
      <c r="QJK338" s="42" t="s">
        <v>607</v>
      </c>
      <c r="QJL338" s="42" t="s">
        <v>607</v>
      </c>
      <c r="QJM338" s="42" t="s">
        <v>607</v>
      </c>
      <c r="QJN338" s="42" t="s">
        <v>607</v>
      </c>
      <c r="QJO338" s="42" t="s">
        <v>607</v>
      </c>
      <c r="QJP338" s="42" t="s">
        <v>607</v>
      </c>
      <c r="QJQ338" s="42" t="s">
        <v>607</v>
      </c>
      <c r="QJR338" s="42" t="s">
        <v>607</v>
      </c>
      <c r="QJS338" s="42" t="s">
        <v>607</v>
      </c>
      <c r="QJT338" s="42" t="s">
        <v>607</v>
      </c>
      <c r="QJU338" s="42" t="s">
        <v>607</v>
      </c>
      <c r="QJV338" s="42" t="s">
        <v>607</v>
      </c>
      <c r="QJW338" s="42" t="s">
        <v>607</v>
      </c>
      <c r="QJX338" s="42" t="s">
        <v>607</v>
      </c>
      <c r="QJY338" s="42" t="s">
        <v>607</v>
      </c>
      <c r="QJZ338" s="42" t="s">
        <v>607</v>
      </c>
      <c r="QKA338" s="42" t="s">
        <v>607</v>
      </c>
      <c r="QKB338" s="42" t="s">
        <v>607</v>
      </c>
      <c r="QKC338" s="42" t="s">
        <v>607</v>
      </c>
      <c r="QKD338" s="42" t="s">
        <v>607</v>
      </c>
      <c r="QKE338" s="42" t="s">
        <v>607</v>
      </c>
      <c r="QKF338" s="42" t="s">
        <v>607</v>
      </c>
      <c r="QKG338" s="42" t="s">
        <v>607</v>
      </c>
      <c r="QKH338" s="42" t="s">
        <v>607</v>
      </c>
      <c r="QKI338" s="42" t="s">
        <v>607</v>
      </c>
      <c r="QKJ338" s="42" t="s">
        <v>607</v>
      </c>
      <c r="QKK338" s="42" t="s">
        <v>607</v>
      </c>
      <c r="QKL338" s="42" t="s">
        <v>607</v>
      </c>
      <c r="QKM338" s="42" t="s">
        <v>607</v>
      </c>
      <c r="QKN338" s="42" t="s">
        <v>607</v>
      </c>
      <c r="QKO338" s="42" t="s">
        <v>607</v>
      </c>
      <c r="QKP338" s="42" t="s">
        <v>607</v>
      </c>
      <c r="QKQ338" s="42" t="s">
        <v>607</v>
      </c>
      <c r="QKR338" s="42" t="s">
        <v>607</v>
      </c>
      <c r="QKS338" s="42" t="s">
        <v>607</v>
      </c>
      <c r="QKT338" s="42" t="s">
        <v>607</v>
      </c>
      <c r="QKU338" s="42" t="s">
        <v>607</v>
      </c>
      <c r="QKV338" s="42" t="s">
        <v>607</v>
      </c>
      <c r="QKW338" s="42" t="s">
        <v>607</v>
      </c>
      <c r="QKX338" s="42" t="s">
        <v>607</v>
      </c>
      <c r="QKY338" s="42" t="s">
        <v>607</v>
      </c>
      <c r="QKZ338" s="42" t="s">
        <v>607</v>
      </c>
      <c r="QLA338" s="42" t="s">
        <v>607</v>
      </c>
      <c r="QLB338" s="42" t="s">
        <v>607</v>
      </c>
      <c r="QLC338" s="42" t="s">
        <v>607</v>
      </c>
      <c r="QLD338" s="42" t="s">
        <v>607</v>
      </c>
      <c r="QLE338" s="42" t="s">
        <v>607</v>
      </c>
      <c r="QLF338" s="42" t="s">
        <v>607</v>
      </c>
      <c r="QLG338" s="42" t="s">
        <v>607</v>
      </c>
      <c r="QLH338" s="42" t="s">
        <v>607</v>
      </c>
      <c r="QLI338" s="42" t="s">
        <v>607</v>
      </c>
      <c r="QLJ338" s="42" t="s">
        <v>607</v>
      </c>
      <c r="QLK338" s="42" t="s">
        <v>607</v>
      </c>
      <c r="QLL338" s="42" t="s">
        <v>607</v>
      </c>
      <c r="QLM338" s="42" t="s">
        <v>607</v>
      </c>
      <c r="QLN338" s="42" t="s">
        <v>607</v>
      </c>
      <c r="QLO338" s="42" t="s">
        <v>607</v>
      </c>
      <c r="QLP338" s="42" t="s">
        <v>607</v>
      </c>
      <c r="QLQ338" s="42" t="s">
        <v>607</v>
      </c>
      <c r="QLR338" s="42" t="s">
        <v>607</v>
      </c>
      <c r="QLS338" s="42" t="s">
        <v>607</v>
      </c>
      <c r="QLT338" s="42" t="s">
        <v>607</v>
      </c>
      <c r="QLU338" s="42" t="s">
        <v>607</v>
      </c>
      <c r="QLV338" s="42" t="s">
        <v>607</v>
      </c>
      <c r="QLW338" s="42" t="s">
        <v>607</v>
      </c>
      <c r="QLX338" s="42" t="s">
        <v>607</v>
      </c>
      <c r="QLY338" s="42" t="s">
        <v>607</v>
      </c>
      <c r="QLZ338" s="42" t="s">
        <v>607</v>
      </c>
      <c r="QMA338" s="42" t="s">
        <v>607</v>
      </c>
      <c r="QMB338" s="42" t="s">
        <v>607</v>
      </c>
      <c r="QMC338" s="42" t="s">
        <v>607</v>
      </c>
      <c r="QMD338" s="42" t="s">
        <v>607</v>
      </c>
      <c r="QME338" s="42" t="s">
        <v>607</v>
      </c>
      <c r="QMF338" s="42" t="s">
        <v>607</v>
      </c>
      <c r="QMG338" s="42" t="s">
        <v>607</v>
      </c>
      <c r="QMH338" s="42" t="s">
        <v>607</v>
      </c>
      <c r="QMI338" s="42" t="s">
        <v>607</v>
      </c>
      <c r="QMJ338" s="42" t="s">
        <v>607</v>
      </c>
      <c r="QMK338" s="42" t="s">
        <v>607</v>
      </c>
      <c r="QML338" s="42" t="s">
        <v>607</v>
      </c>
      <c r="QMM338" s="42" t="s">
        <v>607</v>
      </c>
      <c r="QMN338" s="42" t="s">
        <v>607</v>
      </c>
      <c r="QMO338" s="42" t="s">
        <v>607</v>
      </c>
      <c r="QMP338" s="42" t="s">
        <v>607</v>
      </c>
      <c r="QMQ338" s="42" t="s">
        <v>607</v>
      </c>
      <c r="QMR338" s="42" t="s">
        <v>607</v>
      </c>
      <c r="QMS338" s="42" t="s">
        <v>607</v>
      </c>
      <c r="QMT338" s="42" t="s">
        <v>607</v>
      </c>
      <c r="QMU338" s="42" t="s">
        <v>607</v>
      </c>
      <c r="QMV338" s="42" t="s">
        <v>607</v>
      </c>
      <c r="QMW338" s="42" t="s">
        <v>607</v>
      </c>
      <c r="QMX338" s="42" t="s">
        <v>607</v>
      </c>
      <c r="QMY338" s="42" t="s">
        <v>607</v>
      </c>
      <c r="QMZ338" s="42" t="s">
        <v>607</v>
      </c>
      <c r="QNA338" s="42" t="s">
        <v>607</v>
      </c>
      <c r="QNB338" s="42" t="s">
        <v>607</v>
      </c>
      <c r="QNC338" s="42" t="s">
        <v>607</v>
      </c>
      <c r="QND338" s="42" t="s">
        <v>607</v>
      </c>
      <c r="QNE338" s="42" t="s">
        <v>607</v>
      </c>
      <c r="QNF338" s="42" t="s">
        <v>607</v>
      </c>
      <c r="QNG338" s="42" t="s">
        <v>607</v>
      </c>
      <c r="QNH338" s="42" t="s">
        <v>607</v>
      </c>
      <c r="QNI338" s="42" t="s">
        <v>607</v>
      </c>
      <c r="QNJ338" s="42" t="s">
        <v>607</v>
      </c>
      <c r="QNK338" s="42" t="s">
        <v>607</v>
      </c>
      <c r="QNL338" s="42" t="s">
        <v>607</v>
      </c>
      <c r="QNM338" s="42" t="s">
        <v>607</v>
      </c>
      <c r="QNN338" s="42" t="s">
        <v>607</v>
      </c>
      <c r="QNO338" s="42" t="s">
        <v>607</v>
      </c>
      <c r="QNP338" s="42" t="s">
        <v>607</v>
      </c>
      <c r="QNQ338" s="42" t="s">
        <v>607</v>
      </c>
      <c r="QNR338" s="42" t="s">
        <v>607</v>
      </c>
      <c r="QNS338" s="42" t="s">
        <v>607</v>
      </c>
      <c r="QNT338" s="42" t="s">
        <v>607</v>
      </c>
      <c r="QNU338" s="42" t="s">
        <v>607</v>
      </c>
      <c r="QNV338" s="42" t="s">
        <v>607</v>
      </c>
      <c r="QNW338" s="42" t="s">
        <v>607</v>
      </c>
      <c r="QNX338" s="42" t="s">
        <v>607</v>
      </c>
      <c r="QNY338" s="42" t="s">
        <v>607</v>
      </c>
      <c r="QNZ338" s="42" t="s">
        <v>607</v>
      </c>
      <c r="QOA338" s="42" t="s">
        <v>607</v>
      </c>
      <c r="QOB338" s="42" t="s">
        <v>607</v>
      </c>
      <c r="QOC338" s="42" t="s">
        <v>607</v>
      </c>
      <c r="QOD338" s="42" t="s">
        <v>607</v>
      </c>
      <c r="QOE338" s="42" t="s">
        <v>607</v>
      </c>
      <c r="QOF338" s="42" t="s">
        <v>607</v>
      </c>
      <c r="QOG338" s="42" t="s">
        <v>607</v>
      </c>
      <c r="QOH338" s="42" t="s">
        <v>607</v>
      </c>
      <c r="QOI338" s="42" t="s">
        <v>607</v>
      </c>
      <c r="QOJ338" s="42" t="s">
        <v>607</v>
      </c>
      <c r="QOK338" s="42" t="s">
        <v>607</v>
      </c>
      <c r="QOL338" s="42" t="s">
        <v>607</v>
      </c>
      <c r="QOM338" s="42" t="s">
        <v>607</v>
      </c>
      <c r="QON338" s="42" t="s">
        <v>607</v>
      </c>
      <c r="QOO338" s="42" t="s">
        <v>607</v>
      </c>
      <c r="QOP338" s="42" t="s">
        <v>607</v>
      </c>
      <c r="QOQ338" s="42" t="s">
        <v>607</v>
      </c>
      <c r="QOR338" s="42" t="s">
        <v>607</v>
      </c>
      <c r="QOS338" s="42" t="s">
        <v>607</v>
      </c>
      <c r="QOT338" s="42" t="s">
        <v>607</v>
      </c>
      <c r="QOU338" s="42" t="s">
        <v>607</v>
      </c>
      <c r="QOV338" s="42" t="s">
        <v>607</v>
      </c>
      <c r="QOW338" s="42" t="s">
        <v>607</v>
      </c>
      <c r="QOX338" s="42" t="s">
        <v>607</v>
      </c>
      <c r="QOY338" s="42" t="s">
        <v>607</v>
      </c>
      <c r="QOZ338" s="42" t="s">
        <v>607</v>
      </c>
      <c r="QPA338" s="42" t="s">
        <v>607</v>
      </c>
      <c r="QPB338" s="42" t="s">
        <v>607</v>
      </c>
      <c r="QPC338" s="42" t="s">
        <v>607</v>
      </c>
      <c r="QPD338" s="42" t="s">
        <v>607</v>
      </c>
      <c r="QPE338" s="42" t="s">
        <v>607</v>
      </c>
      <c r="QPF338" s="42" t="s">
        <v>607</v>
      </c>
      <c r="QPG338" s="42" t="s">
        <v>607</v>
      </c>
      <c r="QPH338" s="42" t="s">
        <v>607</v>
      </c>
      <c r="QPI338" s="42" t="s">
        <v>607</v>
      </c>
      <c r="QPJ338" s="42" t="s">
        <v>607</v>
      </c>
      <c r="QPK338" s="42" t="s">
        <v>607</v>
      </c>
      <c r="QPL338" s="42" t="s">
        <v>607</v>
      </c>
      <c r="QPM338" s="42" t="s">
        <v>607</v>
      </c>
      <c r="QPN338" s="42" t="s">
        <v>607</v>
      </c>
      <c r="QPO338" s="42" t="s">
        <v>607</v>
      </c>
      <c r="QPP338" s="42" t="s">
        <v>607</v>
      </c>
      <c r="QPQ338" s="42" t="s">
        <v>607</v>
      </c>
      <c r="QPR338" s="42" t="s">
        <v>607</v>
      </c>
      <c r="QPS338" s="42" t="s">
        <v>607</v>
      </c>
      <c r="QPT338" s="42" t="s">
        <v>607</v>
      </c>
      <c r="QPU338" s="42" t="s">
        <v>607</v>
      </c>
      <c r="QPV338" s="42" t="s">
        <v>607</v>
      </c>
      <c r="QPW338" s="42" t="s">
        <v>607</v>
      </c>
      <c r="QPX338" s="42" t="s">
        <v>607</v>
      </c>
      <c r="QPY338" s="42" t="s">
        <v>607</v>
      </c>
      <c r="QPZ338" s="42" t="s">
        <v>607</v>
      </c>
      <c r="QQA338" s="42" t="s">
        <v>607</v>
      </c>
      <c r="QQB338" s="42" t="s">
        <v>607</v>
      </c>
      <c r="QQC338" s="42" t="s">
        <v>607</v>
      </c>
      <c r="QQD338" s="42" t="s">
        <v>607</v>
      </c>
      <c r="QQE338" s="42" t="s">
        <v>607</v>
      </c>
      <c r="QQF338" s="42" t="s">
        <v>607</v>
      </c>
      <c r="QQG338" s="42" t="s">
        <v>607</v>
      </c>
      <c r="QQH338" s="42" t="s">
        <v>607</v>
      </c>
      <c r="QQI338" s="42" t="s">
        <v>607</v>
      </c>
      <c r="QQJ338" s="42" t="s">
        <v>607</v>
      </c>
      <c r="QQK338" s="42" t="s">
        <v>607</v>
      </c>
      <c r="QQL338" s="42" t="s">
        <v>607</v>
      </c>
      <c r="QQM338" s="42" t="s">
        <v>607</v>
      </c>
      <c r="QQN338" s="42" t="s">
        <v>607</v>
      </c>
      <c r="QQO338" s="42" t="s">
        <v>607</v>
      </c>
      <c r="QQP338" s="42" t="s">
        <v>607</v>
      </c>
      <c r="QQQ338" s="42" t="s">
        <v>607</v>
      </c>
      <c r="QQR338" s="42" t="s">
        <v>607</v>
      </c>
      <c r="QQS338" s="42" t="s">
        <v>607</v>
      </c>
      <c r="QQT338" s="42" t="s">
        <v>607</v>
      </c>
      <c r="QQU338" s="42" t="s">
        <v>607</v>
      </c>
      <c r="QQV338" s="42" t="s">
        <v>607</v>
      </c>
      <c r="QQW338" s="42" t="s">
        <v>607</v>
      </c>
      <c r="QQX338" s="42" t="s">
        <v>607</v>
      </c>
      <c r="QQY338" s="42" t="s">
        <v>607</v>
      </c>
      <c r="QQZ338" s="42" t="s">
        <v>607</v>
      </c>
      <c r="QRA338" s="42" t="s">
        <v>607</v>
      </c>
      <c r="QRB338" s="42" t="s">
        <v>607</v>
      </c>
      <c r="QRC338" s="42" t="s">
        <v>607</v>
      </c>
      <c r="QRD338" s="42" t="s">
        <v>607</v>
      </c>
      <c r="QRE338" s="42" t="s">
        <v>607</v>
      </c>
      <c r="QRF338" s="42" t="s">
        <v>607</v>
      </c>
      <c r="QRG338" s="42" t="s">
        <v>607</v>
      </c>
      <c r="QRH338" s="42" t="s">
        <v>607</v>
      </c>
      <c r="QRI338" s="42" t="s">
        <v>607</v>
      </c>
      <c r="QRJ338" s="42" t="s">
        <v>607</v>
      </c>
      <c r="QRK338" s="42" t="s">
        <v>607</v>
      </c>
      <c r="QRL338" s="42" t="s">
        <v>607</v>
      </c>
      <c r="QRM338" s="42" t="s">
        <v>607</v>
      </c>
      <c r="QRN338" s="42" t="s">
        <v>607</v>
      </c>
      <c r="QRO338" s="42" t="s">
        <v>607</v>
      </c>
      <c r="QRP338" s="42" t="s">
        <v>607</v>
      </c>
      <c r="QRQ338" s="42" t="s">
        <v>607</v>
      </c>
      <c r="QRR338" s="42" t="s">
        <v>607</v>
      </c>
      <c r="QRS338" s="42" t="s">
        <v>607</v>
      </c>
      <c r="QRT338" s="42" t="s">
        <v>607</v>
      </c>
      <c r="QRU338" s="42" t="s">
        <v>607</v>
      </c>
      <c r="QRV338" s="42" t="s">
        <v>607</v>
      </c>
      <c r="QRW338" s="42" t="s">
        <v>607</v>
      </c>
      <c r="QRX338" s="42" t="s">
        <v>607</v>
      </c>
      <c r="QRY338" s="42" t="s">
        <v>607</v>
      </c>
      <c r="QRZ338" s="42" t="s">
        <v>607</v>
      </c>
      <c r="QSA338" s="42" t="s">
        <v>607</v>
      </c>
      <c r="QSB338" s="42" t="s">
        <v>607</v>
      </c>
      <c r="QSC338" s="42" t="s">
        <v>607</v>
      </c>
      <c r="QSD338" s="42" t="s">
        <v>607</v>
      </c>
      <c r="QSE338" s="42" t="s">
        <v>607</v>
      </c>
      <c r="QSF338" s="42" t="s">
        <v>607</v>
      </c>
      <c r="QSG338" s="42" t="s">
        <v>607</v>
      </c>
      <c r="QSH338" s="42" t="s">
        <v>607</v>
      </c>
      <c r="QSI338" s="42" t="s">
        <v>607</v>
      </c>
      <c r="QSJ338" s="42" t="s">
        <v>607</v>
      </c>
      <c r="QSK338" s="42" t="s">
        <v>607</v>
      </c>
      <c r="QSL338" s="42" t="s">
        <v>607</v>
      </c>
      <c r="QSM338" s="42" t="s">
        <v>607</v>
      </c>
      <c r="QSN338" s="42" t="s">
        <v>607</v>
      </c>
      <c r="QSO338" s="42" t="s">
        <v>607</v>
      </c>
      <c r="QSP338" s="42" t="s">
        <v>607</v>
      </c>
      <c r="QSQ338" s="42" t="s">
        <v>607</v>
      </c>
      <c r="QSR338" s="42" t="s">
        <v>607</v>
      </c>
      <c r="QSS338" s="42" t="s">
        <v>607</v>
      </c>
      <c r="QST338" s="42" t="s">
        <v>607</v>
      </c>
      <c r="QSU338" s="42" t="s">
        <v>607</v>
      </c>
      <c r="QSV338" s="42" t="s">
        <v>607</v>
      </c>
      <c r="QSW338" s="42" t="s">
        <v>607</v>
      </c>
      <c r="QSX338" s="42" t="s">
        <v>607</v>
      </c>
      <c r="QSY338" s="42" t="s">
        <v>607</v>
      </c>
      <c r="QSZ338" s="42" t="s">
        <v>607</v>
      </c>
      <c r="QTA338" s="42" t="s">
        <v>607</v>
      </c>
      <c r="QTB338" s="42" t="s">
        <v>607</v>
      </c>
      <c r="QTC338" s="42" t="s">
        <v>607</v>
      </c>
      <c r="QTD338" s="42" t="s">
        <v>607</v>
      </c>
      <c r="QTE338" s="42" t="s">
        <v>607</v>
      </c>
      <c r="QTF338" s="42" t="s">
        <v>607</v>
      </c>
      <c r="QTG338" s="42" t="s">
        <v>607</v>
      </c>
      <c r="QTH338" s="42" t="s">
        <v>607</v>
      </c>
      <c r="QTI338" s="42" t="s">
        <v>607</v>
      </c>
      <c r="QTJ338" s="42" t="s">
        <v>607</v>
      </c>
      <c r="QTK338" s="42" t="s">
        <v>607</v>
      </c>
      <c r="QTL338" s="42" t="s">
        <v>607</v>
      </c>
      <c r="QTM338" s="42" t="s">
        <v>607</v>
      </c>
      <c r="QTN338" s="42" t="s">
        <v>607</v>
      </c>
      <c r="QTO338" s="42" t="s">
        <v>607</v>
      </c>
      <c r="QTP338" s="42" t="s">
        <v>607</v>
      </c>
      <c r="QTQ338" s="42" t="s">
        <v>607</v>
      </c>
      <c r="QTR338" s="42" t="s">
        <v>607</v>
      </c>
      <c r="QTS338" s="42" t="s">
        <v>607</v>
      </c>
      <c r="QTT338" s="42" t="s">
        <v>607</v>
      </c>
      <c r="QTU338" s="42" t="s">
        <v>607</v>
      </c>
      <c r="QTV338" s="42" t="s">
        <v>607</v>
      </c>
      <c r="QTW338" s="42" t="s">
        <v>607</v>
      </c>
      <c r="QTX338" s="42" t="s">
        <v>607</v>
      </c>
      <c r="QTY338" s="42" t="s">
        <v>607</v>
      </c>
      <c r="QTZ338" s="42" t="s">
        <v>607</v>
      </c>
      <c r="QUA338" s="42" t="s">
        <v>607</v>
      </c>
      <c r="QUB338" s="42" t="s">
        <v>607</v>
      </c>
      <c r="QUC338" s="42" t="s">
        <v>607</v>
      </c>
      <c r="QUD338" s="42" t="s">
        <v>607</v>
      </c>
      <c r="QUE338" s="42" t="s">
        <v>607</v>
      </c>
      <c r="QUF338" s="42" t="s">
        <v>607</v>
      </c>
      <c r="QUG338" s="42" t="s">
        <v>607</v>
      </c>
      <c r="QUH338" s="42" t="s">
        <v>607</v>
      </c>
      <c r="QUI338" s="42" t="s">
        <v>607</v>
      </c>
      <c r="QUJ338" s="42" t="s">
        <v>607</v>
      </c>
      <c r="QUK338" s="42" t="s">
        <v>607</v>
      </c>
      <c r="QUL338" s="42" t="s">
        <v>607</v>
      </c>
      <c r="QUM338" s="42" t="s">
        <v>607</v>
      </c>
      <c r="QUN338" s="42" t="s">
        <v>607</v>
      </c>
      <c r="QUO338" s="42" t="s">
        <v>607</v>
      </c>
      <c r="QUP338" s="42" t="s">
        <v>607</v>
      </c>
      <c r="QUQ338" s="42" t="s">
        <v>607</v>
      </c>
      <c r="QUR338" s="42" t="s">
        <v>607</v>
      </c>
      <c r="QUS338" s="42" t="s">
        <v>607</v>
      </c>
      <c r="QUT338" s="42" t="s">
        <v>607</v>
      </c>
      <c r="QUU338" s="42" t="s">
        <v>607</v>
      </c>
      <c r="QUV338" s="42" t="s">
        <v>607</v>
      </c>
      <c r="QUW338" s="42" t="s">
        <v>607</v>
      </c>
      <c r="QUX338" s="42" t="s">
        <v>607</v>
      </c>
      <c r="QUY338" s="42" t="s">
        <v>607</v>
      </c>
      <c r="QUZ338" s="42" t="s">
        <v>607</v>
      </c>
      <c r="QVA338" s="42" t="s">
        <v>607</v>
      </c>
      <c r="QVB338" s="42" t="s">
        <v>607</v>
      </c>
      <c r="QVC338" s="42" t="s">
        <v>607</v>
      </c>
      <c r="QVD338" s="42" t="s">
        <v>607</v>
      </c>
      <c r="QVE338" s="42" t="s">
        <v>607</v>
      </c>
      <c r="QVF338" s="42" t="s">
        <v>607</v>
      </c>
      <c r="QVG338" s="42" t="s">
        <v>607</v>
      </c>
      <c r="QVH338" s="42" t="s">
        <v>607</v>
      </c>
      <c r="QVI338" s="42" t="s">
        <v>607</v>
      </c>
      <c r="QVJ338" s="42" t="s">
        <v>607</v>
      </c>
      <c r="QVK338" s="42" t="s">
        <v>607</v>
      </c>
      <c r="QVL338" s="42" t="s">
        <v>607</v>
      </c>
      <c r="QVM338" s="42" t="s">
        <v>607</v>
      </c>
      <c r="QVN338" s="42" t="s">
        <v>607</v>
      </c>
      <c r="QVO338" s="42" t="s">
        <v>607</v>
      </c>
      <c r="QVP338" s="42" t="s">
        <v>607</v>
      </c>
      <c r="QVQ338" s="42" t="s">
        <v>607</v>
      </c>
      <c r="QVR338" s="42" t="s">
        <v>607</v>
      </c>
      <c r="QVS338" s="42" t="s">
        <v>607</v>
      </c>
      <c r="QVT338" s="42" t="s">
        <v>607</v>
      </c>
      <c r="QVU338" s="42" t="s">
        <v>607</v>
      </c>
      <c r="QVV338" s="42" t="s">
        <v>607</v>
      </c>
      <c r="QVW338" s="42" t="s">
        <v>607</v>
      </c>
      <c r="QVX338" s="42" t="s">
        <v>607</v>
      </c>
      <c r="QVY338" s="42" t="s">
        <v>607</v>
      </c>
      <c r="QVZ338" s="42" t="s">
        <v>607</v>
      </c>
      <c r="QWA338" s="42" t="s">
        <v>607</v>
      </c>
      <c r="QWB338" s="42" t="s">
        <v>607</v>
      </c>
      <c r="QWC338" s="42" t="s">
        <v>607</v>
      </c>
      <c r="QWD338" s="42" t="s">
        <v>607</v>
      </c>
      <c r="QWE338" s="42" t="s">
        <v>607</v>
      </c>
      <c r="QWF338" s="42" t="s">
        <v>607</v>
      </c>
      <c r="QWG338" s="42" t="s">
        <v>607</v>
      </c>
      <c r="QWH338" s="42" t="s">
        <v>607</v>
      </c>
      <c r="QWI338" s="42" t="s">
        <v>607</v>
      </c>
      <c r="QWJ338" s="42" t="s">
        <v>607</v>
      </c>
      <c r="QWK338" s="42" t="s">
        <v>607</v>
      </c>
      <c r="QWL338" s="42" t="s">
        <v>607</v>
      </c>
      <c r="QWM338" s="42" t="s">
        <v>607</v>
      </c>
      <c r="QWN338" s="42" t="s">
        <v>607</v>
      </c>
      <c r="QWO338" s="42" t="s">
        <v>607</v>
      </c>
      <c r="QWP338" s="42" t="s">
        <v>607</v>
      </c>
      <c r="QWQ338" s="42" t="s">
        <v>607</v>
      </c>
      <c r="QWR338" s="42" t="s">
        <v>607</v>
      </c>
      <c r="QWS338" s="42" t="s">
        <v>607</v>
      </c>
      <c r="QWT338" s="42" t="s">
        <v>607</v>
      </c>
      <c r="QWU338" s="42" t="s">
        <v>607</v>
      </c>
      <c r="QWV338" s="42" t="s">
        <v>607</v>
      </c>
      <c r="QWW338" s="42" t="s">
        <v>607</v>
      </c>
      <c r="QWX338" s="42" t="s">
        <v>607</v>
      </c>
      <c r="QWY338" s="42" t="s">
        <v>607</v>
      </c>
      <c r="QWZ338" s="42" t="s">
        <v>607</v>
      </c>
      <c r="QXA338" s="42" t="s">
        <v>607</v>
      </c>
      <c r="QXB338" s="42" t="s">
        <v>607</v>
      </c>
      <c r="QXC338" s="42" t="s">
        <v>607</v>
      </c>
      <c r="QXD338" s="42" t="s">
        <v>607</v>
      </c>
      <c r="QXE338" s="42" t="s">
        <v>607</v>
      </c>
      <c r="QXF338" s="42" t="s">
        <v>607</v>
      </c>
      <c r="QXG338" s="42" t="s">
        <v>607</v>
      </c>
      <c r="QXH338" s="42" t="s">
        <v>607</v>
      </c>
      <c r="QXI338" s="42" t="s">
        <v>607</v>
      </c>
      <c r="QXJ338" s="42" t="s">
        <v>607</v>
      </c>
      <c r="QXK338" s="42" t="s">
        <v>607</v>
      </c>
      <c r="QXL338" s="42" t="s">
        <v>607</v>
      </c>
      <c r="QXM338" s="42" t="s">
        <v>607</v>
      </c>
      <c r="QXN338" s="42" t="s">
        <v>607</v>
      </c>
      <c r="QXO338" s="42" t="s">
        <v>607</v>
      </c>
      <c r="QXP338" s="42" t="s">
        <v>607</v>
      </c>
      <c r="QXQ338" s="42" t="s">
        <v>607</v>
      </c>
      <c r="QXR338" s="42" t="s">
        <v>607</v>
      </c>
      <c r="QXS338" s="42" t="s">
        <v>607</v>
      </c>
      <c r="QXT338" s="42" t="s">
        <v>607</v>
      </c>
      <c r="QXU338" s="42" t="s">
        <v>607</v>
      </c>
      <c r="QXV338" s="42" t="s">
        <v>607</v>
      </c>
      <c r="QXW338" s="42" t="s">
        <v>607</v>
      </c>
      <c r="QXX338" s="42" t="s">
        <v>607</v>
      </c>
      <c r="QXY338" s="42" t="s">
        <v>607</v>
      </c>
      <c r="QXZ338" s="42" t="s">
        <v>607</v>
      </c>
      <c r="QYA338" s="42" t="s">
        <v>607</v>
      </c>
      <c r="QYB338" s="42" t="s">
        <v>607</v>
      </c>
      <c r="QYC338" s="42" t="s">
        <v>607</v>
      </c>
      <c r="QYD338" s="42" t="s">
        <v>607</v>
      </c>
      <c r="QYE338" s="42" t="s">
        <v>607</v>
      </c>
      <c r="QYF338" s="42" t="s">
        <v>607</v>
      </c>
      <c r="QYG338" s="42" t="s">
        <v>607</v>
      </c>
      <c r="QYH338" s="42" t="s">
        <v>607</v>
      </c>
      <c r="QYI338" s="42" t="s">
        <v>607</v>
      </c>
      <c r="QYJ338" s="42" t="s">
        <v>607</v>
      </c>
      <c r="QYK338" s="42" t="s">
        <v>607</v>
      </c>
      <c r="QYL338" s="42" t="s">
        <v>607</v>
      </c>
      <c r="QYM338" s="42" t="s">
        <v>607</v>
      </c>
      <c r="QYN338" s="42" t="s">
        <v>607</v>
      </c>
      <c r="QYO338" s="42" t="s">
        <v>607</v>
      </c>
      <c r="QYP338" s="42" t="s">
        <v>607</v>
      </c>
      <c r="QYQ338" s="42" t="s">
        <v>607</v>
      </c>
      <c r="QYR338" s="42" t="s">
        <v>607</v>
      </c>
      <c r="QYS338" s="42" t="s">
        <v>607</v>
      </c>
      <c r="QYT338" s="42" t="s">
        <v>607</v>
      </c>
      <c r="QYU338" s="42" t="s">
        <v>607</v>
      </c>
      <c r="QYV338" s="42" t="s">
        <v>607</v>
      </c>
      <c r="QYW338" s="42" t="s">
        <v>607</v>
      </c>
      <c r="QYX338" s="42" t="s">
        <v>607</v>
      </c>
      <c r="QYY338" s="42" t="s">
        <v>607</v>
      </c>
      <c r="QYZ338" s="42" t="s">
        <v>607</v>
      </c>
      <c r="QZA338" s="42" t="s">
        <v>607</v>
      </c>
      <c r="QZB338" s="42" t="s">
        <v>607</v>
      </c>
      <c r="QZC338" s="42" t="s">
        <v>607</v>
      </c>
      <c r="QZD338" s="42" t="s">
        <v>607</v>
      </c>
      <c r="QZE338" s="42" t="s">
        <v>607</v>
      </c>
      <c r="QZF338" s="42" t="s">
        <v>607</v>
      </c>
      <c r="QZG338" s="42" t="s">
        <v>607</v>
      </c>
      <c r="QZH338" s="42" t="s">
        <v>607</v>
      </c>
      <c r="QZI338" s="42" t="s">
        <v>607</v>
      </c>
      <c r="QZJ338" s="42" t="s">
        <v>607</v>
      </c>
      <c r="QZK338" s="42" t="s">
        <v>607</v>
      </c>
      <c r="QZL338" s="42" t="s">
        <v>607</v>
      </c>
      <c r="QZM338" s="42" t="s">
        <v>607</v>
      </c>
      <c r="QZN338" s="42" t="s">
        <v>607</v>
      </c>
      <c r="QZO338" s="42" t="s">
        <v>607</v>
      </c>
      <c r="QZP338" s="42" t="s">
        <v>607</v>
      </c>
      <c r="QZQ338" s="42" t="s">
        <v>607</v>
      </c>
      <c r="QZR338" s="42" t="s">
        <v>607</v>
      </c>
      <c r="QZS338" s="42" t="s">
        <v>607</v>
      </c>
      <c r="QZT338" s="42" t="s">
        <v>607</v>
      </c>
      <c r="QZU338" s="42" t="s">
        <v>607</v>
      </c>
      <c r="QZV338" s="42" t="s">
        <v>607</v>
      </c>
      <c r="QZW338" s="42" t="s">
        <v>607</v>
      </c>
      <c r="QZX338" s="42" t="s">
        <v>607</v>
      </c>
      <c r="QZY338" s="42" t="s">
        <v>607</v>
      </c>
      <c r="QZZ338" s="42" t="s">
        <v>607</v>
      </c>
      <c r="RAA338" s="42" t="s">
        <v>607</v>
      </c>
      <c r="RAB338" s="42" t="s">
        <v>607</v>
      </c>
      <c r="RAC338" s="42" t="s">
        <v>607</v>
      </c>
      <c r="RAD338" s="42" t="s">
        <v>607</v>
      </c>
      <c r="RAE338" s="42" t="s">
        <v>607</v>
      </c>
      <c r="RAF338" s="42" t="s">
        <v>607</v>
      </c>
      <c r="RAG338" s="42" t="s">
        <v>607</v>
      </c>
      <c r="RAH338" s="42" t="s">
        <v>607</v>
      </c>
      <c r="RAI338" s="42" t="s">
        <v>607</v>
      </c>
      <c r="RAJ338" s="42" t="s">
        <v>607</v>
      </c>
      <c r="RAK338" s="42" t="s">
        <v>607</v>
      </c>
      <c r="RAL338" s="42" t="s">
        <v>607</v>
      </c>
      <c r="RAM338" s="42" t="s">
        <v>607</v>
      </c>
      <c r="RAN338" s="42" t="s">
        <v>607</v>
      </c>
      <c r="RAO338" s="42" t="s">
        <v>607</v>
      </c>
      <c r="RAP338" s="42" t="s">
        <v>607</v>
      </c>
      <c r="RAQ338" s="42" t="s">
        <v>607</v>
      </c>
      <c r="RAR338" s="42" t="s">
        <v>607</v>
      </c>
      <c r="RAS338" s="42" t="s">
        <v>607</v>
      </c>
      <c r="RAT338" s="42" t="s">
        <v>607</v>
      </c>
      <c r="RAU338" s="42" t="s">
        <v>607</v>
      </c>
      <c r="RAV338" s="42" t="s">
        <v>607</v>
      </c>
      <c r="RAW338" s="42" t="s">
        <v>607</v>
      </c>
      <c r="RAX338" s="42" t="s">
        <v>607</v>
      </c>
      <c r="RAY338" s="42" t="s">
        <v>607</v>
      </c>
      <c r="RAZ338" s="42" t="s">
        <v>607</v>
      </c>
      <c r="RBA338" s="42" t="s">
        <v>607</v>
      </c>
      <c r="RBB338" s="42" t="s">
        <v>607</v>
      </c>
      <c r="RBC338" s="42" t="s">
        <v>607</v>
      </c>
      <c r="RBD338" s="42" t="s">
        <v>607</v>
      </c>
      <c r="RBE338" s="42" t="s">
        <v>607</v>
      </c>
      <c r="RBF338" s="42" t="s">
        <v>607</v>
      </c>
      <c r="RBG338" s="42" t="s">
        <v>607</v>
      </c>
      <c r="RBH338" s="42" t="s">
        <v>607</v>
      </c>
      <c r="RBI338" s="42" t="s">
        <v>607</v>
      </c>
      <c r="RBJ338" s="42" t="s">
        <v>607</v>
      </c>
      <c r="RBK338" s="42" t="s">
        <v>607</v>
      </c>
      <c r="RBL338" s="42" t="s">
        <v>607</v>
      </c>
      <c r="RBM338" s="42" t="s">
        <v>607</v>
      </c>
      <c r="RBN338" s="42" t="s">
        <v>607</v>
      </c>
      <c r="RBO338" s="42" t="s">
        <v>607</v>
      </c>
      <c r="RBP338" s="42" t="s">
        <v>607</v>
      </c>
      <c r="RBQ338" s="42" t="s">
        <v>607</v>
      </c>
      <c r="RBR338" s="42" t="s">
        <v>607</v>
      </c>
      <c r="RBS338" s="42" t="s">
        <v>607</v>
      </c>
      <c r="RBT338" s="42" t="s">
        <v>607</v>
      </c>
      <c r="RBU338" s="42" t="s">
        <v>607</v>
      </c>
      <c r="RBV338" s="42" t="s">
        <v>607</v>
      </c>
      <c r="RBW338" s="42" t="s">
        <v>607</v>
      </c>
      <c r="RBX338" s="42" t="s">
        <v>607</v>
      </c>
      <c r="RBY338" s="42" t="s">
        <v>607</v>
      </c>
      <c r="RBZ338" s="42" t="s">
        <v>607</v>
      </c>
      <c r="RCA338" s="42" t="s">
        <v>607</v>
      </c>
      <c r="RCB338" s="42" t="s">
        <v>607</v>
      </c>
      <c r="RCC338" s="42" t="s">
        <v>607</v>
      </c>
      <c r="RCD338" s="42" t="s">
        <v>607</v>
      </c>
      <c r="RCE338" s="42" t="s">
        <v>607</v>
      </c>
      <c r="RCF338" s="42" t="s">
        <v>607</v>
      </c>
      <c r="RCG338" s="42" t="s">
        <v>607</v>
      </c>
      <c r="RCH338" s="42" t="s">
        <v>607</v>
      </c>
      <c r="RCI338" s="42" t="s">
        <v>607</v>
      </c>
      <c r="RCJ338" s="42" t="s">
        <v>607</v>
      </c>
      <c r="RCK338" s="42" t="s">
        <v>607</v>
      </c>
      <c r="RCL338" s="42" t="s">
        <v>607</v>
      </c>
      <c r="RCM338" s="42" t="s">
        <v>607</v>
      </c>
      <c r="RCN338" s="42" t="s">
        <v>607</v>
      </c>
      <c r="RCO338" s="42" t="s">
        <v>607</v>
      </c>
      <c r="RCP338" s="42" t="s">
        <v>607</v>
      </c>
      <c r="RCQ338" s="42" t="s">
        <v>607</v>
      </c>
      <c r="RCR338" s="42" t="s">
        <v>607</v>
      </c>
      <c r="RCS338" s="42" t="s">
        <v>607</v>
      </c>
      <c r="RCT338" s="42" t="s">
        <v>607</v>
      </c>
      <c r="RCU338" s="42" t="s">
        <v>607</v>
      </c>
      <c r="RCV338" s="42" t="s">
        <v>607</v>
      </c>
      <c r="RCW338" s="42" t="s">
        <v>607</v>
      </c>
      <c r="RCX338" s="42" t="s">
        <v>607</v>
      </c>
      <c r="RCY338" s="42" t="s">
        <v>607</v>
      </c>
      <c r="RCZ338" s="42" t="s">
        <v>607</v>
      </c>
      <c r="RDA338" s="42" t="s">
        <v>607</v>
      </c>
      <c r="RDB338" s="42" t="s">
        <v>607</v>
      </c>
      <c r="RDC338" s="42" t="s">
        <v>607</v>
      </c>
      <c r="RDD338" s="42" t="s">
        <v>607</v>
      </c>
      <c r="RDE338" s="42" t="s">
        <v>607</v>
      </c>
      <c r="RDF338" s="42" t="s">
        <v>607</v>
      </c>
      <c r="RDG338" s="42" t="s">
        <v>607</v>
      </c>
      <c r="RDH338" s="42" t="s">
        <v>607</v>
      </c>
      <c r="RDI338" s="42" t="s">
        <v>607</v>
      </c>
      <c r="RDJ338" s="42" t="s">
        <v>607</v>
      </c>
      <c r="RDK338" s="42" t="s">
        <v>607</v>
      </c>
      <c r="RDL338" s="42" t="s">
        <v>607</v>
      </c>
      <c r="RDM338" s="42" t="s">
        <v>607</v>
      </c>
      <c r="RDN338" s="42" t="s">
        <v>607</v>
      </c>
      <c r="RDO338" s="42" t="s">
        <v>607</v>
      </c>
      <c r="RDP338" s="42" t="s">
        <v>607</v>
      </c>
      <c r="RDQ338" s="42" t="s">
        <v>607</v>
      </c>
      <c r="RDR338" s="42" t="s">
        <v>607</v>
      </c>
      <c r="RDS338" s="42" t="s">
        <v>607</v>
      </c>
      <c r="RDT338" s="42" t="s">
        <v>607</v>
      </c>
      <c r="RDU338" s="42" t="s">
        <v>607</v>
      </c>
      <c r="RDV338" s="42" t="s">
        <v>607</v>
      </c>
      <c r="RDW338" s="42" t="s">
        <v>607</v>
      </c>
      <c r="RDX338" s="42" t="s">
        <v>607</v>
      </c>
      <c r="RDY338" s="42" t="s">
        <v>607</v>
      </c>
      <c r="RDZ338" s="42" t="s">
        <v>607</v>
      </c>
      <c r="REA338" s="42" t="s">
        <v>607</v>
      </c>
      <c r="REB338" s="42" t="s">
        <v>607</v>
      </c>
      <c r="REC338" s="42" t="s">
        <v>607</v>
      </c>
      <c r="RED338" s="42" t="s">
        <v>607</v>
      </c>
      <c r="REE338" s="42" t="s">
        <v>607</v>
      </c>
      <c r="REF338" s="42" t="s">
        <v>607</v>
      </c>
      <c r="REG338" s="42" t="s">
        <v>607</v>
      </c>
      <c r="REH338" s="42" t="s">
        <v>607</v>
      </c>
      <c r="REI338" s="42" t="s">
        <v>607</v>
      </c>
      <c r="REJ338" s="42" t="s">
        <v>607</v>
      </c>
      <c r="REK338" s="42" t="s">
        <v>607</v>
      </c>
      <c r="REL338" s="42" t="s">
        <v>607</v>
      </c>
      <c r="REM338" s="42" t="s">
        <v>607</v>
      </c>
      <c r="REN338" s="42" t="s">
        <v>607</v>
      </c>
      <c r="REO338" s="42" t="s">
        <v>607</v>
      </c>
      <c r="REP338" s="42" t="s">
        <v>607</v>
      </c>
      <c r="REQ338" s="42" t="s">
        <v>607</v>
      </c>
      <c r="RER338" s="42" t="s">
        <v>607</v>
      </c>
      <c r="RES338" s="42" t="s">
        <v>607</v>
      </c>
      <c r="RET338" s="42" t="s">
        <v>607</v>
      </c>
      <c r="REU338" s="42" t="s">
        <v>607</v>
      </c>
      <c r="REV338" s="42" t="s">
        <v>607</v>
      </c>
      <c r="REW338" s="42" t="s">
        <v>607</v>
      </c>
      <c r="REX338" s="42" t="s">
        <v>607</v>
      </c>
      <c r="REY338" s="42" t="s">
        <v>607</v>
      </c>
      <c r="REZ338" s="42" t="s">
        <v>607</v>
      </c>
      <c r="RFA338" s="42" t="s">
        <v>607</v>
      </c>
      <c r="RFB338" s="42" t="s">
        <v>607</v>
      </c>
      <c r="RFC338" s="42" t="s">
        <v>607</v>
      </c>
      <c r="RFD338" s="42" t="s">
        <v>607</v>
      </c>
      <c r="RFE338" s="42" t="s">
        <v>607</v>
      </c>
      <c r="RFF338" s="42" t="s">
        <v>607</v>
      </c>
      <c r="RFG338" s="42" t="s">
        <v>607</v>
      </c>
      <c r="RFH338" s="42" t="s">
        <v>607</v>
      </c>
      <c r="RFI338" s="42" t="s">
        <v>607</v>
      </c>
      <c r="RFJ338" s="42" t="s">
        <v>607</v>
      </c>
      <c r="RFK338" s="42" t="s">
        <v>607</v>
      </c>
      <c r="RFL338" s="42" t="s">
        <v>607</v>
      </c>
      <c r="RFM338" s="42" t="s">
        <v>607</v>
      </c>
      <c r="RFN338" s="42" t="s">
        <v>607</v>
      </c>
      <c r="RFO338" s="42" t="s">
        <v>607</v>
      </c>
      <c r="RFP338" s="42" t="s">
        <v>607</v>
      </c>
      <c r="RFQ338" s="42" t="s">
        <v>607</v>
      </c>
      <c r="RFR338" s="42" t="s">
        <v>607</v>
      </c>
      <c r="RFS338" s="42" t="s">
        <v>607</v>
      </c>
      <c r="RFT338" s="42" t="s">
        <v>607</v>
      </c>
      <c r="RFU338" s="42" t="s">
        <v>607</v>
      </c>
      <c r="RFV338" s="42" t="s">
        <v>607</v>
      </c>
      <c r="RFW338" s="42" t="s">
        <v>607</v>
      </c>
      <c r="RFX338" s="42" t="s">
        <v>607</v>
      </c>
      <c r="RFY338" s="42" t="s">
        <v>607</v>
      </c>
      <c r="RFZ338" s="42" t="s">
        <v>607</v>
      </c>
      <c r="RGA338" s="42" t="s">
        <v>607</v>
      </c>
      <c r="RGB338" s="42" t="s">
        <v>607</v>
      </c>
      <c r="RGC338" s="42" t="s">
        <v>607</v>
      </c>
      <c r="RGD338" s="42" t="s">
        <v>607</v>
      </c>
      <c r="RGE338" s="42" t="s">
        <v>607</v>
      </c>
      <c r="RGF338" s="42" t="s">
        <v>607</v>
      </c>
      <c r="RGG338" s="42" t="s">
        <v>607</v>
      </c>
      <c r="RGH338" s="42" t="s">
        <v>607</v>
      </c>
      <c r="RGI338" s="42" t="s">
        <v>607</v>
      </c>
      <c r="RGJ338" s="42" t="s">
        <v>607</v>
      </c>
      <c r="RGK338" s="42" t="s">
        <v>607</v>
      </c>
      <c r="RGL338" s="42" t="s">
        <v>607</v>
      </c>
      <c r="RGM338" s="42" t="s">
        <v>607</v>
      </c>
      <c r="RGN338" s="42" t="s">
        <v>607</v>
      </c>
      <c r="RGO338" s="42" t="s">
        <v>607</v>
      </c>
      <c r="RGP338" s="42" t="s">
        <v>607</v>
      </c>
      <c r="RGQ338" s="42" t="s">
        <v>607</v>
      </c>
      <c r="RGR338" s="42" t="s">
        <v>607</v>
      </c>
      <c r="RGS338" s="42" t="s">
        <v>607</v>
      </c>
      <c r="RGT338" s="42" t="s">
        <v>607</v>
      </c>
      <c r="RGU338" s="42" t="s">
        <v>607</v>
      </c>
      <c r="RGV338" s="42" t="s">
        <v>607</v>
      </c>
      <c r="RGW338" s="42" t="s">
        <v>607</v>
      </c>
      <c r="RGX338" s="42" t="s">
        <v>607</v>
      </c>
      <c r="RGY338" s="42" t="s">
        <v>607</v>
      </c>
      <c r="RGZ338" s="42" t="s">
        <v>607</v>
      </c>
      <c r="RHA338" s="42" t="s">
        <v>607</v>
      </c>
      <c r="RHB338" s="42" t="s">
        <v>607</v>
      </c>
      <c r="RHC338" s="42" t="s">
        <v>607</v>
      </c>
      <c r="RHD338" s="42" t="s">
        <v>607</v>
      </c>
      <c r="RHE338" s="42" t="s">
        <v>607</v>
      </c>
      <c r="RHF338" s="42" t="s">
        <v>607</v>
      </c>
      <c r="RHG338" s="42" t="s">
        <v>607</v>
      </c>
      <c r="RHH338" s="42" t="s">
        <v>607</v>
      </c>
      <c r="RHI338" s="42" t="s">
        <v>607</v>
      </c>
      <c r="RHJ338" s="42" t="s">
        <v>607</v>
      </c>
      <c r="RHK338" s="42" t="s">
        <v>607</v>
      </c>
      <c r="RHL338" s="42" t="s">
        <v>607</v>
      </c>
      <c r="RHM338" s="42" t="s">
        <v>607</v>
      </c>
      <c r="RHN338" s="42" t="s">
        <v>607</v>
      </c>
      <c r="RHO338" s="42" t="s">
        <v>607</v>
      </c>
      <c r="RHP338" s="42" t="s">
        <v>607</v>
      </c>
      <c r="RHQ338" s="42" t="s">
        <v>607</v>
      </c>
      <c r="RHR338" s="42" t="s">
        <v>607</v>
      </c>
      <c r="RHS338" s="42" t="s">
        <v>607</v>
      </c>
      <c r="RHT338" s="42" t="s">
        <v>607</v>
      </c>
      <c r="RHU338" s="42" t="s">
        <v>607</v>
      </c>
      <c r="RHV338" s="42" t="s">
        <v>607</v>
      </c>
      <c r="RHW338" s="42" t="s">
        <v>607</v>
      </c>
      <c r="RHX338" s="42" t="s">
        <v>607</v>
      </c>
      <c r="RHY338" s="42" t="s">
        <v>607</v>
      </c>
      <c r="RHZ338" s="42" t="s">
        <v>607</v>
      </c>
      <c r="RIA338" s="42" t="s">
        <v>607</v>
      </c>
      <c r="RIB338" s="42" t="s">
        <v>607</v>
      </c>
      <c r="RIC338" s="42" t="s">
        <v>607</v>
      </c>
      <c r="RID338" s="42" t="s">
        <v>607</v>
      </c>
      <c r="RIE338" s="42" t="s">
        <v>607</v>
      </c>
      <c r="RIF338" s="42" t="s">
        <v>607</v>
      </c>
      <c r="RIG338" s="42" t="s">
        <v>607</v>
      </c>
      <c r="RIH338" s="42" t="s">
        <v>607</v>
      </c>
      <c r="RII338" s="42" t="s">
        <v>607</v>
      </c>
      <c r="RIJ338" s="42" t="s">
        <v>607</v>
      </c>
      <c r="RIK338" s="42" t="s">
        <v>607</v>
      </c>
      <c r="RIL338" s="42" t="s">
        <v>607</v>
      </c>
      <c r="RIM338" s="42" t="s">
        <v>607</v>
      </c>
      <c r="RIN338" s="42" t="s">
        <v>607</v>
      </c>
      <c r="RIO338" s="42" t="s">
        <v>607</v>
      </c>
      <c r="RIP338" s="42" t="s">
        <v>607</v>
      </c>
      <c r="RIQ338" s="42" t="s">
        <v>607</v>
      </c>
      <c r="RIR338" s="42" t="s">
        <v>607</v>
      </c>
      <c r="RIS338" s="42" t="s">
        <v>607</v>
      </c>
      <c r="RIT338" s="42" t="s">
        <v>607</v>
      </c>
      <c r="RIU338" s="42" t="s">
        <v>607</v>
      </c>
      <c r="RIV338" s="42" t="s">
        <v>607</v>
      </c>
      <c r="RIW338" s="42" t="s">
        <v>607</v>
      </c>
      <c r="RIX338" s="42" t="s">
        <v>607</v>
      </c>
      <c r="RIY338" s="42" t="s">
        <v>607</v>
      </c>
      <c r="RIZ338" s="42" t="s">
        <v>607</v>
      </c>
      <c r="RJA338" s="42" t="s">
        <v>607</v>
      </c>
      <c r="RJB338" s="42" t="s">
        <v>607</v>
      </c>
      <c r="RJC338" s="42" t="s">
        <v>607</v>
      </c>
      <c r="RJD338" s="42" t="s">
        <v>607</v>
      </c>
      <c r="RJE338" s="42" t="s">
        <v>607</v>
      </c>
      <c r="RJF338" s="42" t="s">
        <v>607</v>
      </c>
      <c r="RJG338" s="42" t="s">
        <v>607</v>
      </c>
      <c r="RJH338" s="42" t="s">
        <v>607</v>
      </c>
      <c r="RJI338" s="42" t="s">
        <v>607</v>
      </c>
      <c r="RJJ338" s="42" t="s">
        <v>607</v>
      </c>
      <c r="RJK338" s="42" t="s">
        <v>607</v>
      </c>
      <c r="RJL338" s="42" t="s">
        <v>607</v>
      </c>
      <c r="RJM338" s="42" t="s">
        <v>607</v>
      </c>
      <c r="RJN338" s="42" t="s">
        <v>607</v>
      </c>
      <c r="RJO338" s="42" t="s">
        <v>607</v>
      </c>
      <c r="RJP338" s="42" t="s">
        <v>607</v>
      </c>
      <c r="RJQ338" s="42" t="s">
        <v>607</v>
      </c>
      <c r="RJR338" s="42" t="s">
        <v>607</v>
      </c>
      <c r="RJS338" s="42" t="s">
        <v>607</v>
      </c>
      <c r="RJT338" s="42" t="s">
        <v>607</v>
      </c>
      <c r="RJU338" s="42" t="s">
        <v>607</v>
      </c>
      <c r="RJV338" s="42" t="s">
        <v>607</v>
      </c>
      <c r="RJW338" s="42" t="s">
        <v>607</v>
      </c>
      <c r="RJX338" s="42" t="s">
        <v>607</v>
      </c>
      <c r="RJY338" s="42" t="s">
        <v>607</v>
      </c>
      <c r="RJZ338" s="42" t="s">
        <v>607</v>
      </c>
      <c r="RKA338" s="42" t="s">
        <v>607</v>
      </c>
      <c r="RKB338" s="42" t="s">
        <v>607</v>
      </c>
      <c r="RKC338" s="42" t="s">
        <v>607</v>
      </c>
      <c r="RKD338" s="42" t="s">
        <v>607</v>
      </c>
      <c r="RKE338" s="42" t="s">
        <v>607</v>
      </c>
      <c r="RKF338" s="42" t="s">
        <v>607</v>
      </c>
      <c r="RKG338" s="42" t="s">
        <v>607</v>
      </c>
      <c r="RKH338" s="42" t="s">
        <v>607</v>
      </c>
      <c r="RKI338" s="42" t="s">
        <v>607</v>
      </c>
      <c r="RKJ338" s="42" t="s">
        <v>607</v>
      </c>
      <c r="RKK338" s="42" t="s">
        <v>607</v>
      </c>
      <c r="RKL338" s="42" t="s">
        <v>607</v>
      </c>
      <c r="RKM338" s="42" t="s">
        <v>607</v>
      </c>
      <c r="RKN338" s="42" t="s">
        <v>607</v>
      </c>
      <c r="RKO338" s="42" t="s">
        <v>607</v>
      </c>
      <c r="RKP338" s="42" t="s">
        <v>607</v>
      </c>
      <c r="RKQ338" s="42" t="s">
        <v>607</v>
      </c>
      <c r="RKR338" s="42" t="s">
        <v>607</v>
      </c>
      <c r="RKS338" s="42" t="s">
        <v>607</v>
      </c>
      <c r="RKT338" s="42" t="s">
        <v>607</v>
      </c>
      <c r="RKU338" s="42" t="s">
        <v>607</v>
      </c>
      <c r="RKV338" s="42" t="s">
        <v>607</v>
      </c>
      <c r="RKW338" s="42" t="s">
        <v>607</v>
      </c>
      <c r="RKX338" s="42" t="s">
        <v>607</v>
      </c>
      <c r="RKY338" s="42" t="s">
        <v>607</v>
      </c>
      <c r="RKZ338" s="42" t="s">
        <v>607</v>
      </c>
      <c r="RLA338" s="42" t="s">
        <v>607</v>
      </c>
      <c r="RLB338" s="42" t="s">
        <v>607</v>
      </c>
      <c r="RLC338" s="42" t="s">
        <v>607</v>
      </c>
      <c r="RLD338" s="42" t="s">
        <v>607</v>
      </c>
      <c r="RLE338" s="42" t="s">
        <v>607</v>
      </c>
      <c r="RLF338" s="42" t="s">
        <v>607</v>
      </c>
      <c r="RLG338" s="42" t="s">
        <v>607</v>
      </c>
      <c r="RLH338" s="42" t="s">
        <v>607</v>
      </c>
      <c r="RLI338" s="42" t="s">
        <v>607</v>
      </c>
      <c r="RLJ338" s="42" t="s">
        <v>607</v>
      </c>
      <c r="RLK338" s="42" t="s">
        <v>607</v>
      </c>
      <c r="RLL338" s="42" t="s">
        <v>607</v>
      </c>
      <c r="RLM338" s="42" t="s">
        <v>607</v>
      </c>
      <c r="RLN338" s="42" t="s">
        <v>607</v>
      </c>
      <c r="RLO338" s="42" t="s">
        <v>607</v>
      </c>
      <c r="RLP338" s="42" t="s">
        <v>607</v>
      </c>
      <c r="RLQ338" s="42" t="s">
        <v>607</v>
      </c>
      <c r="RLR338" s="42" t="s">
        <v>607</v>
      </c>
      <c r="RLS338" s="42" t="s">
        <v>607</v>
      </c>
      <c r="RLT338" s="42" t="s">
        <v>607</v>
      </c>
      <c r="RLU338" s="42" t="s">
        <v>607</v>
      </c>
      <c r="RLV338" s="42" t="s">
        <v>607</v>
      </c>
      <c r="RLW338" s="42" t="s">
        <v>607</v>
      </c>
      <c r="RLX338" s="42" t="s">
        <v>607</v>
      </c>
      <c r="RLY338" s="42" t="s">
        <v>607</v>
      </c>
      <c r="RLZ338" s="42" t="s">
        <v>607</v>
      </c>
      <c r="RMA338" s="42" t="s">
        <v>607</v>
      </c>
      <c r="RMB338" s="42" t="s">
        <v>607</v>
      </c>
      <c r="RMC338" s="42" t="s">
        <v>607</v>
      </c>
      <c r="RMD338" s="42" t="s">
        <v>607</v>
      </c>
      <c r="RME338" s="42" t="s">
        <v>607</v>
      </c>
      <c r="RMF338" s="42" t="s">
        <v>607</v>
      </c>
      <c r="RMG338" s="42" t="s">
        <v>607</v>
      </c>
      <c r="RMH338" s="42" t="s">
        <v>607</v>
      </c>
      <c r="RMI338" s="42" t="s">
        <v>607</v>
      </c>
      <c r="RMJ338" s="42" t="s">
        <v>607</v>
      </c>
      <c r="RMK338" s="42" t="s">
        <v>607</v>
      </c>
      <c r="RML338" s="42" t="s">
        <v>607</v>
      </c>
      <c r="RMM338" s="42" t="s">
        <v>607</v>
      </c>
      <c r="RMN338" s="42" t="s">
        <v>607</v>
      </c>
      <c r="RMO338" s="42" t="s">
        <v>607</v>
      </c>
      <c r="RMP338" s="42" t="s">
        <v>607</v>
      </c>
      <c r="RMQ338" s="42" t="s">
        <v>607</v>
      </c>
      <c r="RMR338" s="42" t="s">
        <v>607</v>
      </c>
      <c r="RMS338" s="42" t="s">
        <v>607</v>
      </c>
      <c r="RMT338" s="42" t="s">
        <v>607</v>
      </c>
      <c r="RMU338" s="42" t="s">
        <v>607</v>
      </c>
      <c r="RMV338" s="42" t="s">
        <v>607</v>
      </c>
      <c r="RMW338" s="42" t="s">
        <v>607</v>
      </c>
      <c r="RMX338" s="42" t="s">
        <v>607</v>
      </c>
      <c r="RMY338" s="42" t="s">
        <v>607</v>
      </c>
      <c r="RMZ338" s="42" t="s">
        <v>607</v>
      </c>
      <c r="RNA338" s="42" t="s">
        <v>607</v>
      </c>
      <c r="RNB338" s="42" t="s">
        <v>607</v>
      </c>
      <c r="RNC338" s="42" t="s">
        <v>607</v>
      </c>
      <c r="RND338" s="42" t="s">
        <v>607</v>
      </c>
      <c r="RNE338" s="42" t="s">
        <v>607</v>
      </c>
      <c r="RNF338" s="42" t="s">
        <v>607</v>
      </c>
      <c r="RNG338" s="42" t="s">
        <v>607</v>
      </c>
      <c r="RNH338" s="42" t="s">
        <v>607</v>
      </c>
      <c r="RNI338" s="42" t="s">
        <v>607</v>
      </c>
      <c r="RNJ338" s="42" t="s">
        <v>607</v>
      </c>
      <c r="RNK338" s="42" t="s">
        <v>607</v>
      </c>
      <c r="RNL338" s="42" t="s">
        <v>607</v>
      </c>
      <c r="RNM338" s="42" t="s">
        <v>607</v>
      </c>
      <c r="RNN338" s="42" t="s">
        <v>607</v>
      </c>
      <c r="RNO338" s="42" t="s">
        <v>607</v>
      </c>
      <c r="RNP338" s="42" t="s">
        <v>607</v>
      </c>
      <c r="RNQ338" s="42" t="s">
        <v>607</v>
      </c>
      <c r="RNR338" s="42" t="s">
        <v>607</v>
      </c>
      <c r="RNS338" s="42" t="s">
        <v>607</v>
      </c>
      <c r="RNT338" s="42" t="s">
        <v>607</v>
      </c>
      <c r="RNU338" s="42" t="s">
        <v>607</v>
      </c>
      <c r="RNV338" s="42" t="s">
        <v>607</v>
      </c>
      <c r="RNW338" s="42" t="s">
        <v>607</v>
      </c>
      <c r="RNX338" s="42" t="s">
        <v>607</v>
      </c>
      <c r="RNY338" s="42" t="s">
        <v>607</v>
      </c>
      <c r="RNZ338" s="42" t="s">
        <v>607</v>
      </c>
      <c r="ROA338" s="42" t="s">
        <v>607</v>
      </c>
      <c r="ROB338" s="42" t="s">
        <v>607</v>
      </c>
      <c r="ROC338" s="42" t="s">
        <v>607</v>
      </c>
      <c r="ROD338" s="42" t="s">
        <v>607</v>
      </c>
      <c r="ROE338" s="42" t="s">
        <v>607</v>
      </c>
      <c r="ROF338" s="42" t="s">
        <v>607</v>
      </c>
      <c r="ROG338" s="42" t="s">
        <v>607</v>
      </c>
      <c r="ROH338" s="42" t="s">
        <v>607</v>
      </c>
      <c r="ROI338" s="42" t="s">
        <v>607</v>
      </c>
      <c r="ROJ338" s="42" t="s">
        <v>607</v>
      </c>
      <c r="ROK338" s="42" t="s">
        <v>607</v>
      </c>
      <c r="ROL338" s="42" t="s">
        <v>607</v>
      </c>
      <c r="ROM338" s="42" t="s">
        <v>607</v>
      </c>
      <c r="RON338" s="42" t="s">
        <v>607</v>
      </c>
      <c r="ROO338" s="42" t="s">
        <v>607</v>
      </c>
      <c r="ROP338" s="42" t="s">
        <v>607</v>
      </c>
      <c r="ROQ338" s="42" t="s">
        <v>607</v>
      </c>
      <c r="ROR338" s="42" t="s">
        <v>607</v>
      </c>
      <c r="ROS338" s="42" t="s">
        <v>607</v>
      </c>
      <c r="ROT338" s="42" t="s">
        <v>607</v>
      </c>
      <c r="ROU338" s="42" t="s">
        <v>607</v>
      </c>
      <c r="ROV338" s="42" t="s">
        <v>607</v>
      </c>
      <c r="ROW338" s="42" t="s">
        <v>607</v>
      </c>
      <c r="ROX338" s="42" t="s">
        <v>607</v>
      </c>
      <c r="ROY338" s="42" t="s">
        <v>607</v>
      </c>
      <c r="ROZ338" s="42" t="s">
        <v>607</v>
      </c>
      <c r="RPA338" s="42" t="s">
        <v>607</v>
      </c>
      <c r="RPB338" s="42" t="s">
        <v>607</v>
      </c>
      <c r="RPC338" s="42" t="s">
        <v>607</v>
      </c>
      <c r="RPD338" s="42" t="s">
        <v>607</v>
      </c>
      <c r="RPE338" s="42" t="s">
        <v>607</v>
      </c>
      <c r="RPF338" s="42" t="s">
        <v>607</v>
      </c>
      <c r="RPG338" s="42" t="s">
        <v>607</v>
      </c>
      <c r="RPH338" s="42" t="s">
        <v>607</v>
      </c>
      <c r="RPI338" s="42" t="s">
        <v>607</v>
      </c>
      <c r="RPJ338" s="42" t="s">
        <v>607</v>
      </c>
      <c r="RPK338" s="42" t="s">
        <v>607</v>
      </c>
      <c r="RPL338" s="42" t="s">
        <v>607</v>
      </c>
      <c r="RPM338" s="42" t="s">
        <v>607</v>
      </c>
      <c r="RPN338" s="42" t="s">
        <v>607</v>
      </c>
      <c r="RPO338" s="42" t="s">
        <v>607</v>
      </c>
      <c r="RPP338" s="42" t="s">
        <v>607</v>
      </c>
      <c r="RPQ338" s="42" t="s">
        <v>607</v>
      </c>
      <c r="RPR338" s="42" t="s">
        <v>607</v>
      </c>
      <c r="RPS338" s="42" t="s">
        <v>607</v>
      </c>
      <c r="RPT338" s="42" t="s">
        <v>607</v>
      </c>
      <c r="RPU338" s="42" t="s">
        <v>607</v>
      </c>
      <c r="RPV338" s="42" t="s">
        <v>607</v>
      </c>
      <c r="RPW338" s="42" t="s">
        <v>607</v>
      </c>
      <c r="RPX338" s="42" t="s">
        <v>607</v>
      </c>
      <c r="RPY338" s="42" t="s">
        <v>607</v>
      </c>
      <c r="RPZ338" s="42" t="s">
        <v>607</v>
      </c>
      <c r="RQA338" s="42" t="s">
        <v>607</v>
      </c>
      <c r="RQB338" s="42" t="s">
        <v>607</v>
      </c>
      <c r="RQC338" s="42" t="s">
        <v>607</v>
      </c>
      <c r="RQD338" s="42" t="s">
        <v>607</v>
      </c>
      <c r="RQE338" s="42" t="s">
        <v>607</v>
      </c>
      <c r="RQF338" s="42" t="s">
        <v>607</v>
      </c>
      <c r="RQG338" s="42" t="s">
        <v>607</v>
      </c>
      <c r="RQH338" s="42" t="s">
        <v>607</v>
      </c>
      <c r="RQI338" s="42" t="s">
        <v>607</v>
      </c>
      <c r="RQJ338" s="42" t="s">
        <v>607</v>
      </c>
      <c r="RQK338" s="42" t="s">
        <v>607</v>
      </c>
      <c r="RQL338" s="42" t="s">
        <v>607</v>
      </c>
      <c r="RQM338" s="42" t="s">
        <v>607</v>
      </c>
      <c r="RQN338" s="42" t="s">
        <v>607</v>
      </c>
      <c r="RQO338" s="42" t="s">
        <v>607</v>
      </c>
      <c r="RQP338" s="42" t="s">
        <v>607</v>
      </c>
      <c r="RQQ338" s="42" t="s">
        <v>607</v>
      </c>
      <c r="RQR338" s="42" t="s">
        <v>607</v>
      </c>
      <c r="RQS338" s="42" t="s">
        <v>607</v>
      </c>
      <c r="RQT338" s="42" t="s">
        <v>607</v>
      </c>
      <c r="RQU338" s="42" t="s">
        <v>607</v>
      </c>
      <c r="RQV338" s="42" t="s">
        <v>607</v>
      </c>
      <c r="RQW338" s="42" t="s">
        <v>607</v>
      </c>
      <c r="RQX338" s="42" t="s">
        <v>607</v>
      </c>
      <c r="RQY338" s="42" t="s">
        <v>607</v>
      </c>
      <c r="RQZ338" s="42" t="s">
        <v>607</v>
      </c>
      <c r="RRA338" s="42" t="s">
        <v>607</v>
      </c>
      <c r="RRB338" s="42" t="s">
        <v>607</v>
      </c>
      <c r="RRC338" s="42" t="s">
        <v>607</v>
      </c>
      <c r="RRD338" s="42" t="s">
        <v>607</v>
      </c>
      <c r="RRE338" s="42" t="s">
        <v>607</v>
      </c>
      <c r="RRF338" s="42" t="s">
        <v>607</v>
      </c>
      <c r="RRG338" s="42" t="s">
        <v>607</v>
      </c>
      <c r="RRH338" s="42" t="s">
        <v>607</v>
      </c>
      <c r="RRI338" s="42" t="s">
        <v>607</v>
      </c>
      <c r="RRJ338" s="42" t="s">
        <v>607</v>
      </c>
      <c r="RRK338" s="42" t="s">
        <v>607</v>
      </c>
      <c r="RRL338" s="42" t="s">
        <v>607</v>
      </c>
      <c r="RRM338" s="42" t="s">
        <v>607</v>
      </c>
      <c r="RRN338" s="42" t="s">
        <v>607</v>
      </c>
      <c r="RRO338" s="42" t="s">
        <v>607</v>
      </c>
      <c r="RRP338" s="42" t="s">
        <v>607</v>
      </c>
      <c r="RRQ338" s="42" t="s">
        <v>607</v>
      </c>
      <c r="RRR338" s="42" t="s">
        <v>607</v>
      </c>
      <c r="RRS338" s="42" t="s">
        <v>607</v>
      </c>
      <c r="RRT338" s="42" t="s">
        <v>607</v>
      </c>
      <c r="RRU338" s="42" t="s">
        <v>607</v>
      </c>
      <c r="RRV338" s="42" t="s">
        <v>607</v>
      </c>
      <c r="RRW338" s="42" t="s">
        <v>607</v>
      </c>
      <c r="RRX338" s="42" t="s">
        <v>607</v>
      </c>
      <c r="RRY338" s="42" t="s">
        <v>607</v>
      </c>
      <c r="RRZ338" s="42" t="s">
        <v>607</v>
      </c>
      <c r="RSA338" s="42" t="s">
        <v>607</v>
      </c>
      <c r="RSB338" s="42" t="s">
        <v>607</v>
      </c>
      <c r="RSC338" s="42" t="s">
        <v>607</v>
      </c>
      <c r="RSD338" s="42" t="s">
        <v>607</v>
      </c>
      <c r="RSE338" s="42" t="s">
        <v>607</v>
      </c>
      <c r="RSF338" s="42" t="s">
        <v>607</v>
      </c>
      <c r="RSG338" s="42" t="s">
        <v>607</v>
      </c>
      <c r="RSH338" s="42" t="s">
        <v>607</v>
      </c>
      <c r="RSI338" s="42" t="s">
        <v>607</v>
      </c>
      <c r="RSJ338" s="42" t="s">
        <v>607</v>
      </c>
      <c r="RSK338" s="42" t="s">
        <v>607</v>
      </c>
      <c r="RSL338" s="42" t="s">
        <v>607</v>
      </c>
      <c r="RSM338" s="42" t="s">
        <v>607</v>
      </c>
      <c r="RSN338" s="42" t="s">
        <v>607</v>
      </c>
      <c r="RSO338" s="42" t="s">
        <v>607</v>
      </c>
      <c r="RSP338" s="42" t="s">
        <v>607</v>
      </c>
      <c r="RSQ338" s="42" t="s">
        <v>607</v>
      </c>
      <c r="RSR338" s="42" t="s">
        <v>607</v>
      </c>
      <c r="RSS338" s="42" t="s">
        <v>607</v>
      </c>
      <c r="RST338" s="42" t="s">
        <v>607</v>
      </c>
      <c r="RSU338" s="42" t="s">
        <v>607</v>
      </c>
      <c r="RSV338" s="42" t="s">
        <v>607</v>
      </c>
      <c r="RSW338" s="42" t="s">
        <v>607</v>
      </c>
      <c r="RSX338" s="42" t="s">
        <v>607</v>
      </c>
      <c r="RSY338" s="42" t="s">
        <v>607</v>
      </c>
      <c r="RSZ338" s="42" t="s">
        <v>607</v>
      </c>
      <c r="RTA338" s="42" t="s">
        <v>607</v>
      </c>
      <c r="RTB338" s="42" t="s">
        <v>607</v>
      </c>
      <c r="RTC338" s="42" t="s">
        <v>607</v>
      </c>
      <c r="RTD338" s="42" t="s">
        <v>607</v>
      </c>
      <c r="RTE338" s="42" t="s">
        <v>607</v>
      </c>
      <c r="RTF338" s="42" t="s">
        <v>607</v>
      </c>
      <c r="RTG338" s="42" t="s">
        <v>607</v>
      </c>
      <c r="RTH338" s="42" t="s">
        <v>607</v>
      </c>
      <c r="RTI338" s="42" t="s">
        <v>607</v>
      </c>
      <c r="RTJ338" s="42" t="s">
        <v>607</v>
      </c>
      <c r="RTK338" s="42" t="s">
        <v>607</v>
      </c>
      <c r="RTL338" s="42" t="s">
        <v>607</v>
      </c>
      <c r="RTM338" s="42" t="s">
        <v>607</v>
      </c>
      <c r="RTN338" s="42" t="s">
        <v>607</v>
      </c>
      <c r="RTO338" s="42" t="s">
        <v>607</v>
      </c>
      <c r="RTP338" s="42" t="s">
        <v>607</v>
      </c>
      <c r="RTQ338" s="42" t="s">
        <v>607</v>
      </c>
      <c r="RTR338" s="42" t="s">
        <v>607</v>
      </c>
      <c r="RTS338" s="42" t="s">
        <v>607</v>
      </c>
      <c r="RTT338" s="42" t="s">
        <v>607</v>
      </c>
      <c r="RTU338" s="42" t="s">
        <v>607</v>
      </c>
      <c r="RTV338" s="42" t="s">
        <v>607</v>
      </c>
      <c r="RTW338" s="42" t="s">
        <v>607</v>
      </c>
      <c r="RTX338" s="42" t="s">
        <v>607</v>
      </c>
      <c r="RTY338" s="42" t="s">
        <v>607</v>
      </c>
      <c r="RTZ338" s="42" t="s">
        <v>607</v>
      </c>
      <c r="RUA338" s="42" t="s">
        <v>607</v>
      </c>
      <c r="RUB338" s="42" t="s">
        <v>607</v>
      </c>
      <c r="RUC338" s="42" t="s">
        <v>607</v>
      </c>
      <c r="RUD338" s="42" t="s">
        <v>607</v>
      </c>
      <c r="RUE338" s="42" t="s">
        <v>607</v>
      </c>
      <c r="RUF338" s="42" t="s">
        <v>607</v>
      </c>
      <c r="RUG338" s="42" t="s">
        <v>607</v>
      </c>
      <c r="RUH338" s="42" t="s">
        <v>607</v>
      </c>
      <c r="RUI338" s="42" t="s">
        <v>607</v>
      </c>
      <c r="RUJ338" s="42" t="s">
        <v>607</v>
      </c>
      <c r="RUK338" s="42" t="s">
        <v>607</v>
      </c>
      <c r="RUL338" s="42" t="s">
        <v>607</v>
      </c>
      <c r="RUM338" s="42" t="s">
        <v>607</v>
      </c>
      <c r="RUN338" s="42" t="s">
        <v>607</v>
      </c>
      <c r="RUO338" s="42" t="s">
        <v>607</v>
      </c>
      <c r="RUP338" s="42" t="s">
        <v>607</v>
      </c>
      <c r="RUQ338" s="42" t="s">
        <v>607</v>
      </c>
      <c r="RUR338" s="42" t="s">
        <v>607</v>
      </c>
      <c r="RUS338" s="42" t="s">
        <v>607</v>
      </c>
      <c r="RUT338" s="42" t="s">
        <v>607</v>
      </c>
      <c r="RUU338" s="42" t="s">
        <v>607</v>
      </c>
      <c r="RUV338" s="42" t="s">
        <v>607</v>
      </c>
      <c r="RUW338" s="42" t="s">
        <v>607</v>
      </c>
      <c r="RUX338" s="42" t="s">
        <v>607</v>
      </c>
      <c r="RUY338" s="42" t="s">
        <v>607</v>
      </c>
      <c r="RUZ338" s="42" t="s">
        <v>607</v>
      </c>
      <c r="RVA338" s="42" t="s">
        <v>607</v>
      </c>
      <c r="RVB338" s="42" t="s">
        <v>607</v>
      </c>
      <c r="RVC338" s="42" t="s">
        <v>607</v>
      </c>
      <c r="RVD338" s="42" t="s">
        <v>607</v>
      </c>
      <c r="RVE338" s="42" t="s">
        <v>607</v>
      </c>
      <c r="RVF338" s="42" t="s">
        <v>607</v>
      </c>
      <c r="RVG338" s="42" t="s">
        <v>607</v>
      </c>
      <c r="RVH338" s="42" t="s">
        <v>607</v>
      </c>
      <c r="RVI338" s="42" t="s">
        <v>607</v>
      </c>
      <c r="RVJ338" s="42" t="s">
        <v>607</v>
      </c>
      <c r="RVK338" s="42" t="s">
        <v>607</v>
      </c>
      <c r="RVL338" s="42" t="s">
        <v>607</v>
      </c>
      <c r="RVM338" s="42" t="s">
        <v>607</v>
      </c>
      <c r="RVN338" s="42" t="s">
        <v>607</v>
      </c>
      <c r="RVO338" s="42" t="s">
        <v>607</v>
      </c>
      <c r="RVP338" s="42" t="s">
        <v>607</v>
      </c>
      <c r="RVQ338" s="42" t="s">
        <v>607</v>
      </c>
      <c r="RVR338" s="42" t="s">
        <v>607</v>
      </c>
      <c r="RVS338" s="42" t="s">
        <v>607</v>
      </c>
      <c r="RVT338" s="42" t="s">
        <v>607</v>
      </c>
      <c r="RVU338" s="42" t="s">
        <v>607</v>
      </c>
      <c r="RVV338" s="42" t="s">
        <v>607</v>
      </c>
      <c r="RVW338" s="42" t="s">
        <v>607</v>
      </c>
      <c r="RVX338" s="42" t="s">
        <v>607</v>
      </c>
      <c r="RVY338" s="42" t="s">
        <v>607</v>
      </c>
      <c r="RVZ338" s="42" t="s">
        <v>607</v>
      </c>
      <c r="RWA338" s="42" t="s">
        <v>607</v>
      </c>
      <c r="RWB338" s="42" t="s">
        <v>607</v>
      </c>
      <c r="RWC338" s="42" t="s">
        <v>607</v>
      </c>
      <c r="RWD338" s="42" t="s">
        <v>607</v>
      </c>
      <c r="RWE338" s="42" t="s">
        <v>607</v>
      </c>
      <c r="RWF338" s="42" t="s">
        <v>607</v>
      </c>
      <c r="RWG338" s="42" t="s">
        <v>607</v>
      </c>
      <c r="RWH338" s="42" t="s">
        <v>607</v>
      </c>
      <c r="RWI338" s="42" t="s">
        <v>607</v>
      </c>
      <c r="RWJ338" s="42" t="s">
        <v>607</v>
      </c>
      <c r="RWK338" s="42" t="s">
        <v>607</v>
      </c>
      <c r="RWL338" s="42" t="s">
        <v>607</v>
      </c>
      <c r="RWM338" s="42" t="s">
        <v>607</v>
      </c>
      <c r="RWN338" s="42" t="s">
        <v>607</v>
      </c>
      <c r="RWO338" s="42" t="s">
        <v>607</v>
      </c>
      <c r="RWP338" s="42" t="s">
        <v>607</v>
      </c>
      <c r="RWQ338" s="42" t="s">
        <v>607</v>
      </c>
      <c r="RWR338" s="42" t="s">
        <v>607</v>
      </c>
      <c r="RWS338" s="42" t="s">
        <v>607</v>
      </c>
      <c r="RWT338" s="42" t="s">
        <v>607</v>
      </c>
      <c r="RWU338" s="42" t="s">
        <v>607</v>
      </c>
      <c r="RWV338" s="42" t="s">
        <v>607</v>
      </c>
      <c r="RWW338" s="42" t="s">
        <v>607</v>
      </c>
      <c r="RWX338" s="42" t="s">
        <v>607</v>
      </c>
      <c r="RWY338" s="42" t="s">
        <v>607</v>
      </c>
      <c r="RWZ338" s="42" t="s">
        <v>607</v>
      </c>
      <c r="RXA338" s="42" t="s">
        <v>607</v>
      </c>
      <c r="RXB338" s="42" t="s">
        <v>607</v>
      </c>
      <c r="RXC338" s="42" t="s">
        <v>607</v>
      </c>
      <c r="RXD338" s="42" t="s">
        <v>607</v>
      </c>
      <c r="RXE338" s="42" t="s">
        <v>607</v>
      </c>
      <c r="RXF338" s="42" t="s">
        <v>607</v>
      </c>
      <c r="RXG338" s="42" t="s">
        <v>607</v>
      </c>
      <c r="RXH338" s="42" t="s">
        <v>607</v>
      </c>
      <c r="RXI338" s="42" t="s">
        <v>607</v>
      </c>
      <c r="RXJ338" s="42" t="s">
        <v>607</v>
      </c>
      <c r="RXK338" s="42" t="s">
        <v>607</v>
      </c>
      <c r="RXL338" s="42" t="s">
        <v>607</v>
      </c>
      <c r="RXM338" s="42" t="s">
        <v>607</v>
      </c>
      <c r="RXN338" s="42" t="s">
        <v>607</v>
      </c>
      <c r="RXO338" s="42" t="s">
        <v>607</v>
      </c>
      <c r="RXP338" s="42" t="s">
        <v>607</v>
      </c>
      <c r="RXQ338" s="42" t="s">
        <v>607</v>
      </c>
      <c r="RXR338" s="42" t="s">
        <v>607</v>
      </c>
      <c r="RXS338" s="42" t="s">
        <v>607</v>
      </c>
      <c r="RXT338" s="42" t="s">
        <v>607</v>
      </c>
      <c r="RXU338" s="42" t="s">
        <v>607</v>
      </c>
      <c r="RXV338" s="42" t="s">
        <v>607</v>
      </c>
      <c r="RXW338" s="42" t="s">
        <v>607</v>
      </c>
      <c r="RXX338" s="42" t="s">
        <v>607</v>
      </c>
      <c r="RXY338" s="42" t="s">
        <v>607</v>
      </c>
      <c r="RXZ338" s="42" t="s">
        <v>607</v>
      </c>
      <c r="RYA338" s="42" t="s">
        <v>607</v>
      </c>
      <c r="RYB338" s="42" t="s">
        <v>607</v>
      </c>
      <c r="RYC338" s="42" t="s">
        <v>607</v>
      </c>
      <c r="RYD338" s="42" t="s">
        <v>607</v>
      </c>
      <c r="RYE338" s="42" t="s">
        <v>607</v>
      </c>
      <c r="RYF338" s="42" t="s">
        <v>607</v>
      </c>
      <c r="RYG338" s="42" t="s">
        <v>607</v>
      </c>
      <c r="RYH338" s="42" t="s">
        <v>607</v>
      </c>
      <c r="RYI338" s="42" t="s">
        <v>607</v>
      </c>
      <c r="RYJ338" s="42" t="s">
        <v>607</v>
      </c>
      <c r="RYK338" s="42" t="s">
        <v>607</v>
      </c>
      <c r="RYL338" s="42" t="s">
        <v>607</v>
      </c>
      <c r="RYM338" s="42" t="s">
        <v>607</v>
      </c>
      <c r="RYN338" s="42" t="s">
        <v>607</v>
      </c>
      <c r="RYO338" s="42" t="s">
        <v>607</v>
      </c>
      <c r="RYP338" s="42" t="s">
        <v>607</v>
      </c>
      <c r="RYQ338" s="42" t="s">
        <v>607</v>
      </c>
      <c r="RYR338" s="42" t="s">
        <v>607</v>
      </c>
      <c r="RYS338" s="42" t="s">
        <v>607</v>
      </c>
      <c r="RYT338" s="42" t="s">
        <v>607</v>
      </c>
      <c r="RYU338" s="42" t="s">
        <v>607</v>
      </c>
      <c r="RYV338" s="42" t="s">
        <v>607</v>
      </c>
      <c r="RYW338" s="42" t="s">
        <v>607</v>
      </c>
      <c r="RYX338" s="42" t="s">
        <v>607</v>
      </c>
      <c r="RYY338" s="42" t="s">
        <v>607</v>
      </c>
      <c r="RYZ338" s="42" t="s">
        <v>607</v>
      </c>
      <c r="RZA338" s="42" t="s">
        <v>607</v>
      </c>
      <c r="RZB338" s="42" t="s">
        <v>607</v>
      </c>
      <c r="RZC338" s="42" t="s">
        <v>607</v>
      </c>
      <c r="RZD338" s="42" t="s">
        <v>607</v>
      </c>
      <c r="RZE338" s="42" t="s">
        <v>607</v>
      </c>
      <c r="RZF338" s="42" t="s">
        <v>607</v>
      </c>
      <c r="RZG338" s="42" t="s">
        <v>607</v>
      </c>
      <c r="RZH338" s="42" t="s">
        <v>607</v>
      </c>
      <c r="RZI338" s="42" t="s">
        <v>607</v>
      </c>
      <c r="RZJ338" s="42" t="s">
        <v>607</v>
      </c>
      <c r="RZK338" s="42" t="s">
        <v>607</v>
      </c>
      <c r="RZL338" s="42" t="s">
        <v>607</v>
      </c>
      <c r="RZM338" s="42" t="s">
        <v>607</v>
      </c>
      <c r="RZN338" s="42" t="s">
        <v>607</v>
      </c>
      <c r="RZO338" s="42" t="s">
        <v>607</v>
      </c>
      <c r="RZP338" s="42" t="s">
        <v>607</v>
      </c>
      <c r="RZQ338" s="42" t="s">
        <v>607</v>
      </c>
      <c r="RZR338" s="42" t="s">
        <v>607</v>
      </c>
      <c r="RZS338" s="42" t="s">
        <v>607</v>
      </c>
      <c r="RZT338" s="42" t="s">
        <v>607</v>
      </c>
      <c r="RZU338" s="42" t="s">
        <v>607</v>
      </c>
      <c r="RZV338" s="42" t="s">
        <v>607</v>
      </c>
      <c r="RZW338" s="42" t="s">
        <v>607</v>
      </c>
      <c r="RZX338" s="42" t="s">
        <v>607</v>
      </c>
      <c r="RZY338" s="42" t="s">
        <v>607</v>
      </c>
      <c r="RZZ338" s="42" t="s">
        <v>607</v>
      </c>
      <c r="SAA338" s="42" t="s">
        <v>607</v>
      </c>
      <c r="SAB338" s="42" t="s">
        <v>607</v>
      </c>
      <c r="SAC338" s="42" t="s">
        <v>607</v>
      </c>
      <c r="SAD338" s="42" t="s">
        <v>607</v>
      </c>
      <c r="SAE338" s="42" t="s">
        <v>607</v>
      </c>
      <c r="SAF338" s="42" t="s">
        <v>607</v>
      </c>
      <c r="SAG338" s="42" t="s">
        <v>607</v>
      </c>
      <c r="SAH338" s="42" t="s">
        <v>607</v>
      </c>
      <c r="SAI338" s="42" t="s">
        <v>607</v>
      </c>
      <c r="SAJ338" s="42" t="s">
        <v>607</v>
      </c>
      <c r="SAK338" s="42" t="s">
        <v>607</v>
      </c>
      <c r="SAL338" s="42" t="s">
        <v>607</v>
      </c>
      <c r="SAM338" s="42" t="s">
        <v>607</v>
      </c>
      <c r="SAN338" s="42" t="s">
        <v>607</v>
      </c>
      <c r="SAO338" s="42" t="s">
        <v>607</v>
      </c>
      <c r="SAP338" s="42" t="s">
        <v>607</v>
      </c>
      <c r="SAQ338" s="42" t="s">
        <v>607</v>
      </c>
      <c r="SAR338" s="42" t="s">
        <v>607</v>
      </c>
      <c r="SAS338" s="42" t="s">
        <v>607</v>
      </c>
      <c r="SAT338" s="42" t="s">
        <v>607</v>
      </c>
      <c r="SAU338" s="42" t="s">
        <v>607</v>
      </c>
      <c r="SAV338" s="42" t="s">
        <v>607</v>
      </c>
      <c r="SAW338" s="42" t="s">
        <v>607</v>
      </c>
      <c r="SAX338" s="42" t="s">
        <v>607</v>
      </c>
      <c r="SAY338" s="42" t="s">
        <v>607</v>
      </c>
      <c r="SAZ338" s="42" t="s">
        <v>607</v>
      </c>
      <c r="SBA338" s="42" t="s">
        <v>607</v>
      </c>
      <c r="SBB338" s="42" t="s">
        <v>607</v>
      </c>
      <c r="SBC338" s="42" t="s">
        <v>607</v>
      </c>
      <c r="SBD338" s="42" t="s">
        <v>607</v>
      </c>
      <c r="SBE338" s="42" t="s">
        <v>607</v>
      </c>
      <c r="SBF338" s="42" t="s">
        <v>607</v>
      </c>
      <c r="SBG338" s="42" t="s">
        <v>607</v>
      </c>
      <c r="SBH338" s="42" t="s">
        <v>607</v>
      </c>
      <c r="SBI338" s="42" t="s">
        <v>607</v>
      </c>
      <c r="SBJ338" s="42" t="s">
        <v>607</v>
      </c>
      <c r="SBK338" s="42" t="s">
        <v>607</v>
      </c>
      <c r="SBL338" s="42" t="s">
        <v>607</v>
      </c>
      <c r="SBM338" s="42" t="s">
        <v>607</v>
      </c>
      <c r="SBN338" s="42" t="s">
        <v>607</v>
      </c>
      <c r="SBO338" s="42" t="s">
        <v>607</v>
      </c>
      <c r="SBP338" s="42" t="s">
        <v>607</v>
      </c>
      <c r="SBQ338" s="42" t="s">
        <v>607</v>
      </c>
      <c r="SBR338" s="42" t="s">
        <v>607</v>
      </c>
      <c r="SBS338" s="42" t="s">
        <v>607</v>
      </c>
      <c r="SBT338" s="42" t="s">
        <v>607</v>
      </c>
      <c r="SBU338" s="42" t="s">
        <v>607</v>
      </c>
      <c r="SBV338" s="42" t="s">
        <v>607</v>
      </c>
      <c r="SBW338" s="42" t="s">
        <v>607</v>
      </c>
      <c r="SBX338" s="42" t="s">
        <v>607</v>
      </c>
      <c r="SBY338" s="42" t="s">
        <v>607</v>
      </c>
      <c r="SBZ338" s="42" t="s">
        <v>607</v>
      </c>
      <c r="SCA338" s="42" t="s">
        <v>607</v>
      </c>
      <c r="SCB338" s="42" t="s">
        <v>607</v>
      </c>
      <c r="SCC338" s="42" t="s">
        <v>607</v>
      </c>
      <c r="SCD338" s="42" t="s">
        <v>607</v>
      </c>
      <c r="SCE338" s="42" t="s">
        <v>607</v>
      </c>
      <c r="SCF338" s="42" t="s">
        <v>607</v>
      </c>
      <c r="SCG338" s="42" t="s">
        <v>607</v>
      </c>
      <c r="SCH338" s="42" t="s">
        <v>607</v>
      </c>
      <c r="SCI338" s="42" t="s">
        <v>607</v>
      </c>
      <c r="SCJ338" s="42" t="s">
        <v>607</v>
      </c>
      <c r="SCK338" s="42" t="s">
        <v>607</v>
      </c>
      <c r="SCL338" s="42" t="s">
        <v>607</v>
      </c>
      <c r="SCM338" s="42" t="s">
        <v>607</v>
      </c>
      <c r="SCN338" s="42" t="s">
        <v>607</v>
      </c>
      <c r="SCO338" s="42" t="s">
        <v>607</v>
      </c>
      <c r="SCP338" s="42" t="s">
        <v>607</v>
      </c>
      <c r="SCQ338" s="42" t="s">
        <v>607</v>
      </c>
      <c r="SCR338" s="42" t="s">
        <v>607</v>
      </c>
      <c r="SCS338" s="42" t="s">
        <v>607</v>
      </c>
      <c r="SCT338" s="42" t="s">
        <v>607</v>
      </c>
      <c r="SCU338" s="42" t="s">
        <v>607</v>
      </c>
      <c r="SCV338" s="42" t="s">
        <v>607</v>
      </c>
      <c r="SCW338" s="42" t="s">
        <v>607</v>
      </c>
      <c r="SCX338" s="42" t="s">
        <v>607</v>
      </c>
      <c r="SCY338" s="42" t="s">
        <v>607</v>
      </c>
      <c r="SCZ338" s="42" t="s">
        <v>607</v>
      </c>
      <c r="SDA338" s="42" t="s">
        <v>607</v>
      </c>
      <c r="SDB338" s="42" t="s">
        <v>607</v>
      </c>
      <c r="SDC338" s="42" t="s">
        <v>607</v>
      </c>
      <c r="SDD338" s="42" t="s">
        <v>607</v>
      </c>
      <c r="SDE338" s="42" t="s">
        <v>607</v>
      </c>
      <c r="SDF338" s="42" t="s">
        <v>607</v>
      </c>
      <c r="SDG338" s="42" t="s">
        <v>607</v>
      </c>
      <c r="SDH338" s="42" t="s">
        <v>607</v>
      </c>
      <c r="SDI338" s="42" t="s">
        <v>607</v>
      </c>
      <c r="SDJ338" s="42" t="s">
        <v>607</v>
      </c>
      <c r="SDK338" s="42" t="s">
        <v>607</v>
      </c>
      <c r="SDL338" s="42" t="s">
        <v>607</v>
      </c>
      <c r="SDM338" s="42" t="s">
        <v>607</v>
      </c>
      <c r="SDN338" s="42" t="s">
        <v>607</v>
      </c>
      <c r="SDO338" s="42" t="s">
        <v>607</v>
      </c>
      <c r="SDP338" s="42" t="s">
        <v>607</v>
      </c>
      <c r="SDQ338" s="42" t="s">
        <v>607</v>
      </c>
      <c r="SDR338" s="42" t="s">
        <v>607</v>
      </c>
      <c r="SDS338" s="42" t="s">
        <v>607</v>
      </c>
      <c r="SDT338" s="42" t="s">
        <v>607</v>
      </c>
      <c r="SDU338" s="42" t="s">
        <v>607</v>
      </c>
      <c r="SDV338" s="42" t="s">
        <v>607</v>
      </c>
      <c r="SDW338" s="42" t="s">
        <v>607</v>
      </c>
      <c r="SDX338" s="42" t="s">
        <v>607</v>
      </c>
      <c r="SDY338" s="42" t="s">
        <v>607</v>
      </c>
      <c r="SDZ338" s="42" t="s">
        <v>607</v>
      </c>
      <c r="SEA338" s="42" t="s">
        <v>607</v>
      </c>
      <c r="SEB338" s="42" t="s">
        <v>607</v>
      </c>
      <c r="SEC338" s="42" t="s">
        <v>607</v>
      </c>
      <c r="SED338" s="42" t="s">
        <v>607</v>
      </c>
      <c r="SEE338" s="42" t="s">
        <v>607</v>
      </c>
      <c r="SEF338" s="42" t="s">
        <v>607</v>
      </c>
      <c r="SEG338" s="42" t="s">
        <v>607</v>
      </c>
      <c r="SEH338" s="42" t="s">
        <v>607</v>
      </c>
      <c r="SEI338" s="42" t="s">
        <v>607</v>
      </c>
      <c r="SEJ338" s="42" t="s">
        <v>607</v>
      </c>
      <c r="SEK338" s="42" t="s">
        <v>607</v>
      </c>
      <c r="SEL338" s="42" t="s">
        <v>607</v>
      </c>
      <c r="SEM338" s="42" t="s">
        <v>607</v>
      </c>
      <c r="SEN338" s="42" t="s">
        <v>607</v>
      </c>
      <c r="SEO338" s="42" t="s">
        <v>607</v>
      </c>
      <c r="SEP338" s="42" t="s">
        <v>607</v>
      </c>
      <c r="SEQ338" s="42" t="s">
        <v>607</v>
      </c>
      <c r="SER338" s="42" t="s">
        <v>607</v>
      </c>
      <c r="SES338" s="42" t="s">
        <v>607</v>
      </c>
      <c r="SET338" s="42" t="s">
        <v>607</v>
      </c>
      <c r="SEU338" s="42" t="s">
        <v>607</v>
      </c>
      <c r="SEV338" s="42" t="s">
        <v>607</v>
      </c>
      <c r="SEW338" s="42" t="s">
        <v>607</v>
      </c>
      <c r="SEX338" s="42" t="s">
        <v>607</v>
      </c>
      <c r="SEY338" s="42" t="s">
        <v>607</v>
      </c>
      <c r="SEZ338" s="42" t="s">
        <v>607</v>
      </c>
      <c r="SFA338" s="42" t="s">
        <v>607</v>
      </c>
      <c r="SFB338" s="42" t="s">
        <v>607</v>
      </c>
      <c r="SFC338" s="42" t="s">
        <v>607</v>
      </c>
      <c r="SFD338" s="42" t="s">
        <v>607</v>
      </c>
      <c r="SFE338" s="42" t="s">
        <v>607</v>
      </c>
      <c r="SFF338" s="42" t="s">
        <v>607</v>
      </c>
      <c r="SFG338" s="42" t="s">
        <v>607</v>
      </c>
      <c r="SFH338" s="42" t="s">
        <v>607</v>
      </c>
      <c r="SFI338" s="42" t="s">
        <v>607</v>
      </c>
      <c r="SFJ338" s="42" t="s">
        <v>607</v>
      </c>
      <c r="SFK338" s="42" t="s">
        <v>607</v>
      </c>
      <c r="SFL338" s="42" t="s">
        <v>607</v>
      </c>
      <c r="SFM338" s="42" t="s">
        <v>607</v>
      </c>
      <c r="SFN338" s="42" t="s">
        <v>607</v>
      </c>
      <c r="SFO338" s="42" t="s">
        <v>607</v>
      </c>
      <c r="SFP338" s="42" t="s">
        <v>607</v>
      </c>
      <c r="SFQ338" s="42" t="s">
        <v>607</v>
      </c>
      <c r="SFR338" s="42" t="s">
        <v>607</v>
      </c>
      <c r="SFS338" s="42" t="s">
        <v>607</v>
      </c>
      <c r="SFT338" s="42" t="s">
        <v>607</v>
      </c>
      <c r="SFU338" s="42" t="s">
        <v>607</v>
      </c>
      <c r="SFV338" s="42" t="s">
        <v>607</v>
      </c>
      <c r="SFW338" s="42" t="s">
        <v>607</v>
      </c>
      <c r="SFX338" s="42" t="s">
        <v>607</v>
      </c>
      <c r="SFY338" s="42" t="s">
        <v>607</v>
      </c>
      <c r="SFZ338" s="42" t="s">
        <v>607</v>
      </c>
      <c r="SGA338" s="42" t="s">
        <v>607</v>
      </c>
      <c r="SGB338" s="42" t="s">
        <v>607</v>
      </c>
      <c r="SGC338" s="42" t="s">
        <v>607</v>
      </c>
      <c r="SGD338" s="42" t="s">
        <v>607</v>
      </c>
      <c r="SGE338" s="42" t="s">
        <v>607</v>
      </c>
      <c r="SGF338" s="42" t="s">
        <v>607</v>
      </c>
      <c r="SGG338" s="42" t="s">
        <v>607</v>
      </c>
      <c r="SGH338" s="42" t="s">
        <v>607</v>
      </c>
      <c r="SGI338" s="42" t="s">
        <v>607</v>
      </c>
      <c r="SGJ338" s="42" t="s">
        <v>607</v>
      </c>
      <c r="SGK338" s="42" t="s">
        <v>607</v>
      </c>
      <c r="SGL338" s="42" t="s">
        <v>607</v>
      </c>
      <c r="SGM338" s="42" t="s">
        <v>607</v>
      </c>
      <c r="SGN338" s="42" t="s">
        <v>607</v>
      </c>
      <c r="SGO338" s="42" t="s">
        <v>607</v>
      </c>
      <c r="SGP338" s="42" t="s">
        <v>607</v>
      </c>
      <c r="SGQ338" s="42" t="s">
        <v>607</v>
      </c>
      <c r="SGR338" s="42" t="s">
        <v>607</v>
      </c>
      <c r="SGS338" s="42" t="s">
        <v>607</v>
      </c>
      <c r="SGT338" s="42" t="s">
        <v>607</v>
      </c>
      <c r="SGU338" s="42" t="s">
        <v>607</v>
      </c>
      <c r="SGV338" s="42" t="s">
        <v>607</v>
      </c>
      <c r="SGW338" s="42" t="s">
        <v>607</v>
      </c>
      <c r="SGX338" s="42" t="s">
        <v>607</v>
      </c>
      <c r="SGY338" s="42" t="s">
        <v>607</v>
      </c>
      <c r="SGZ338" s="42" t="s">
        <v>607</v>
      </c>
      <c r="SHA338" s="42" t="s">
        <v>607</v>
      </c>
      <c r="SHB338" s="42" t="s">
        <v>607</v>
      </c>
      <c r="SHC338" s="42" t="s">
        <v>607</v>
      </c>
      <c r="SHD338" s="42" t="s">
        <v>607</v>
      </c>
      <c r="SHE338" s="42" t="s">
        <v>607</v>
      </c>
      <c r="SHF338" s="42" t="s">
        <v>607</v>
      </c>
      <c r="SHG338" s="42" t="s">
        <v>607</v>
      </c>
      <c r="SHH338" s="42" t="s">
        <v>607</v>
      </c>
      <c r="SHI338" s="42" t="s">
        <v>607</v>
      </c>
      <c r="SHJ338" s="42" t="s">
        <v>607</v>
      </c>
      <c r="SHK338" s="42" t="s">
        <v>607</v>
      </c>
      <c r="SHL338" s="42" t="s">
        <v>607</v>
      </c>
      <c r="SHM338" s="42" t="s">
        <v>607</v>
      </c>
      <c r="SHN338" s="42" t="s">
        <v>607</v>
      </c>
      <c r="SHO338" s="42" t="s">
        <v>607</v>
      </c>
      <c r="SHP338" s="42" t="s">
        <v>607</v>
      </c>
      <c r="SHQ338" s="42" t="s">
        <v>607</v>
      </c>
      <c r="SHR338" s="42" t="s">
        <v>607</v>
      </c>
      <c r="SHS338" s="42" t="s">
        <v>607</v>
      </c>
      <c r="SHT338" s="42" t="s">
        <v>607</v>
      </c>
      <c r="SHU338" s="42" t="s">
        <v>607</v>
      </c>
      <c r="SHV338" s="42" t="s">
        <v>607</v>
      </c>
      <c r="SHW338" s="42" t="s">
        <v>607</v>
      </c>
      <c r="SHX338" s="42" t="s">
        <v>607</v>
      </c>
      <c r="SHY338" s="42" t="s">
        <v>607</v>
      </c>
      <c r="SHZ338" s="42" t="s">
        <v>607</v>
      </c>
      <c r="SIA338" s="42" t="s">
        <v>607</v>
      </c>
      <c r="SIB338" s="42" t="s">
        <v>607</v>
      </c>
      <c r="SIC338" s="42" t="s">
        <v>607</v>
      </c>
      <c r="SID338" s="42" t="s">
        <v>607</v>
      </c>
      <c r="SIE338" s="42" t="s">
        <v>607</v>
      </c>
      <c r="SIF338" s="42" t="s">
        <v>607</v>
      </c>
      <c r="SIG338" s="42" t="s">
        <v>607</v>
      </c>
      <c r="SIH338" s="42" t="s">
        <v>607</v>
      </c>
      <c r="SII338" s="42" t="s">
        <v>607</v>
      </c>
      <c r="SIJ338" s="42" t="s">
        <v>607</v>
      </c>
      <c r="SIK338" s="42" t="s">
        <v>607</v>
      </c>
      <c r="SIL338" s="42" t="s">
        <v>607</v>
      </c>
      <c r="SIM338" s="42" t="s">
        <v>607</v>
      </c>
      <c r="SIN338" s="42" t="s">
        <v>607</v>
      </c>
      <c r="SIO338" s="42" t="s">
        <v>607</v>
      </c>
      <c r="SIP338" s="42" t="s">
        <v>607</v>
      </c>
      <c r="SIQ338" s="42" t="s">
        <v>607</v>
      </c>
      <c r="SIR338" s="42" t="s">
        <v>607</v>
      </c>
      <c r="SIS338" s="42" t="s">
        <v>607</v>
      </c>
      <c r="SIT338" s="42" t="s">
        <v>607</v>
      </c>
      <c r="SIU338" s="42" t="s">
        <v>607</v>
      </c>
      <c r="SIV338" s="42" t="s">
        <v>607</v>
      </c>
      <c r="SIW338" s="42" t="s">
        <v>607</v>
      </c>
      <c r="SIX338" s="42" t="s">
        <v>607</v>
      </c>
      <c r="SIY338" s="42" t="s">
        <v>607</v>
      </c>
      <c r="SIZ338" s="42" t="s">
        <v>607</v>
      </c>
      <c r="SJA338" s="42" t="s">
        <v>607</v>
      </c>
      <c r="SJB338" s="42" t="s">
        <v>607</v>
      </c>
      <c r="SJC338" s="42" t="s">
        <v>607</v>
      </c>
      <c r="SJD338" s="42" t="s">
        <v>607</v>
      </c>
      <c r="SJE338" s="42" t="s">
        <v>607</v>
      </c>
      <c r="SJF338" s="42" t="s">
        <v>607</v>
      </c>
      <c r="SJG338" s="42" t="s">
        <v>607</v>
      </c>
      <c r="SJH338" s="42" t="s">
        <v>607</v>
      </c>
      <c r="SJI338" s="42" t="s">
        <v>607</v>
      </c>
      <c r="SJJ338" s="42" t="s">
        <v>607</v>
      </c>
      <c r="SJK338" s="42" t="s">
        <v>607</v>
      </c>
      <c r="SJL338" s="42" t="s">
        <v>607</v>
      </c>
      <c r="SJM338" s="42" t="s">
        <v>607</v>
      </c>
      <c r="SJN338" s="42" t="s">
        <v>607</v>
      </c>
      <c r="SJO338" s="42" t="s">
        <v>607</v>
      </c>
      <c r="SJP338" s="42" t="s">
        <v>607</v>
      </c>
      <c r="SJQ338" s="42" t="s">
        <v>607</v>
      </c>
      <c r="SJR338" s="42" t="s">
        <v>607</v>
      </c>
      <c r="SJS338" s="42" t="s">
        <v>607</v>
      </c>
      <c r="SJT338" s="42" t="s">
        <v>607</v>
      </c>
      <c r="SJU338" s="42" t="s">
        <v>607</v>
      </c>
      <c r="SJV338" s="42" t="s">
        <v>607</v>
      </c>
      <c r="SJW338" s="42" t="s">
        <v>607</v>
      </c>
      <c r="SJX338" s="42" t="s">
        <v>607</v>
      </c>
      <c r="SJY338" s="42" t="s">
        <v>607</v>
      </c>
      <c r="SJZ338" s="42" t="s">
        <v>607</v>
      </c>
      <c r="SKA338" s="42" t="s">
        <v>607</v>
      </c>
      <c r="SKB338" s="42" t="s">
        <v>607</v>
      </c>
      <c r="SKC338" s="42" t="s">
        <v>607</v>
      </c>
      <c r="SKD338" s="42" t="s">
        <v>607</v>
      </c>
      <c r="SKE338" s="42" t="s">
        <v>607</v>
      </c>
      <c r="SKF338" s="42" t="s">
        <v>607</v>
      </c>
      <c r="SKG338" s="42" t="s">
        <v>607</v>
      </c>
      <c r="SKH338" s="42" t="s">
        <v>607</v>
      </c>
      <c r="SKI338" s="42" t="s">
        <v>607</v>
      </c>
      <c r="SKJ338" s="42" t="s">
        <v>607</v>
      </c>
      <c r="SKK338" s="42" t="s">
        <v>607</v>
      </c>
      <c r="SKL338" s="42" t="s">
        <v>607</v>
      </c>
      <c r="SKM338" s="42" t="s">
        <v>607</v>
      </c>
      <c r="SKN338" s="42" t="s">
        <v>607</v>
      </c>
      <c r="SKO338" s="42" t="s">
        <v>607</v>
      </c>
      <c r="SKP338" s="42" t="s">
        <v>607</v>
      </c>
      <c r="SKQ338" s="42" t="s">
        <v>607</v>
      </c>
      <c r="SKR338" s="42" t="s">
        <v>607</v>
      </c>
      <c r="SKS338" s="42" t="s">
        <v>607</v>
      </c>
      <c r="SKT338" s="42" t="s">
        <v>607</v>
      </c>
      <c r="SKU338" s="42" t="s">
        <v>607</v>
      </c>
      <c r="SKV338" s="42" t="s">
        <v>607</v>
      </c>
      <c r="SKW338" s="42" t="s">
        <v>607</v>
      </c>
      <c r="SKX338" s="42" t="s">
        <v>607</v>
      </c>
      <c r="SKY338" s="42" t="s">
        <v>607</v>
      </c>
      <c r="SKZ338" s="42" t="s">
        <v>607</v>
      </c>
      <c r="SLA338" s="42" t="s">
        <v>607</v>
      </c>
      <c r="SLB338" s="42" t="s">
        <v>607</v>
      </c>
      <c r="SLC338" s="42" t="s">
        <v>607</v>
      </c>
      <c r="SLD338" s="42" t="s">
        <v>607</v>
      </c>
      <c r="SLE338" s="42" t="s">
        <v>607</v>
      </c>
      <c r="SLF338" s="42" t="s">
        <v>607</v>
      </c>
      <c r="SLG338" s="42" t="s">
        <v>607</v>
      </c>
      <c r="SLH338" s="42" t="s">
        <v>607</v>
      </c>
      <c r="SLI338" s="42" t="s">
        <v>607</v>
      </c>
      <c r="SLJ338" s="42" t="s">
        <v>607</v>
      </c>
      <c r="SLK338" s="42" t="s">
        <v>607</v>
      </c>
      <c r="SLL338" s="42" t="s">
        <v>607</v>
      </c>
      <c r="SLM338" s="42" t="s">
        <v>607</v>
      </c>
      <c r="SLN338" s="42" t="s">
        <v>607</v>
      </c>
      <c r="SLO338" s="42" t="s">
        <v>607</v>
      </c>
      <c r="SLP338" s="42" t="s">
        <v>607</v>
      </c>
      <c r="SLQ338" s="42" t="s">
        <v>607</v>
      </c>
      <c r="SLR338" s="42" t="s">
        <v>607</v>
      </c>
      <c r="SLS338" s="42" t="s">
        <v>607</v>
      </c>
      <c r="SLT338" s="42" t="s">
        <v>607</v>
      </c>
      <c r="SLU338" s="42" t="s">
        <v>607</v>
      </c>
      <c r="SLV338" s="42" t="s">
        <v>607</v>
      </c>
      <c r="SLW338" s="42" t="s">
        <v>607</v>
      </c>
      <c r="SLX338" s="42" t="s">
        <v>607</v>
      </c>
      <c r="SLY338" s="42" t="s">
        <v>607</v>
      </c>
      <c r="SLZ338" s="42" t="s">
        <v>607</v>
      </c>
      <c r="SMA338" s="42" t="s">
        <v>607</v>
      </c>
      <c r="SMB338" s="42" t="s">
        <v>607</v>
      </c>
      <c r="SMC338" s="42" t="s">
        <v>607</v>
      </c>
      <c r="SMD338" s="42" t="s">
        <v>607</v>
      </c>
      <c r="SME338" s="42" t="s">
        <v>607</v>
      </c>
      <c r="SMF338" s="42" t="s">
        <v>607</v>
      </c>
      <c r="SMG338" s="42" t="s">
        <v>607</v>
      </c>
      <c r="SMH338" s="42" t="s">
        <v>607</v>
      </c>
      <c r="SMI338" s="42" t="s">
        <v>607</v>
      </c>
      <c r="SMJ338" s="42" t="s">
        <v>607</v>
      </c>
      <c r="SMK338" s="42" t="s">
        <v>607</v>
      </c>
      <c r="SML338" s="42" t="s">
        <v>607</v>
      </c>
      <c r="SMM338" s="42" t="s">
        <v>607</v>
      </c>
      <c r="SMN338" s="42" t="s">
        <v>607</v>
      </c>
      <c r="SMO338" s="42" t="s">
        <v>607</v>
      </c>
      <c r="SMP338" s="42" t="s">
        <v>607</v>
      </c>
      <c r="SMQ338" s="42" t="s">
        <v>607</v>
      </c>
      <c r="SMR338" s="42" t="s">
        <v>607</v>
      </c>
      <c r="SMS338" s="42" t="s">
        <v>607</v>
      </c>
      <c r="SMT338" s="42" t="s">
        <v>607</v>
      </c>
      <c r="SMU338" s="42" t="s">
        <v>607</v>
      </c>
      <c r="SMV338" s="42" t="s">
        <v>607</v>
      </c>
      <c r="SMW338" s="42" t="s">
        <v>607</v>
      </c>
      <c r="SMX338" s="42" t="s">
        <v>607</v>
      </c>
      <c r="SMY338" s="42" t="s">
        <v>607</v>
      </c>
      <c r="SMZ338" s="42" t="s">
        <v>607</v>
      </c>
      <c r="SNA338" s="42" t="s">
        <v>607</v>
      </c>
      <c r="SNB338" s="42" t="s">
        <v>607</v>
      </c>
      <c r="SNC338" s="42" t="s">
        <v>607</v>
      </c>
      <c r="SND338" s="42" t="s">
        <v>607</v>
      </c>
      <c r="SNE338" s="42" t="s">
        <v>607</v>
      </c>
      <c r="SNF338" s="42" t="s">
        <v>607</v>
      </c>
      <c r="SNG338" s="42" t="s">
        <v>607</v>
      </c>
      <c r="SNH338" s="42" t="s">
        <v>607</v>
      </c>
      <c r="SNI338" s="42" t="s">
        <v>607</v>
      </c>
      <c r="SNJ338" s="42" t="s">
        <v>607</v>
      </c>
      <c r="SNK338" s="42" t="s">
        <v>607</v>
      </c>
      <c r="SNL338" s="42" t="s">
        <v>607</v>
      </c>
      <c r="SNM338" s="42" t="s">
        <v>607</v>
      </c>
      <c r="SNN338" s="42" t="s">
        <v>607</v>
      </c>
      <c r="SNO338" s="42" t="s">
        <v>607</v>
      </c>
      <c r="SNP338" s="42" t="s">
        <v>607</v>
      </c>
      <c r="SNQ338" s="42" t="s">
        <v>607</v>
      </c>
      <c r="SNR338" s="42" t="s">
        <v>607</v>
      </c>
      <c r="SNS338" s="42" t="s">
        <v>607</v>
      </c>
      <c r="SNT338" s="42" t="s">
        <v>607</v>
      </c>
      <c r="SNU338" s="42" t="s">
        <v>607</v>
      </c>
      <c r="SNV338" s="42" t="s">
        <v>607</v>
      </c>
      <c r="SNW338" s="42" t="s">
        <v>607</v>
      </c>
      <c r="SNX338" s="42" t="s">
        <v>607</v>
      </c>
      <c r="SNY338" s="42" t="s">
        <v>607</v>
      </c>
      <c r="SNZ338" s="42" t="s">
        <v>607</v>
      </c>
      <c r="SOA338" s="42" t="s">
        <v>607</v>
      </c>
      <c r="SOB338" s="42" t="s">
        <v>607</v>
      </c>
      <c r="SOC338" s="42" t="s">
        <v>607</v>
      </c>
      <c r="SOD338" s="42" t="s">
        <v>607</v>
      </c>
      <c r="SOE338" s="42" t="s">
        <v>607</v>
      </c>
      <c r="SOF338" s="42" t="s">
        <v>607</v>
      </c>
      <c r="SOG338" s="42" t="s">
        <v>607</v>
      </c>
      <c r="SOH338" s="42" t="s">
        <v>607</v>
      </c>
      <c r="SOI338" s="42" t="s">
        <v>607</v>
      </c>
      <c r="SOJ338" s="42" t="s">
        <v>607</v>
      </c>
      <c r="SOK338" s="42" t="s">
        <v>607</v>
      </c>
      <c r="SOL338" s="42" t="s">
        <v>607</v>
      </c>
      <c r="SOM338" s="42" t="s">
        <v>607</v>
      </c>
      <c r="SON338" s="42" t="s">
        <v>607</v>
      </c>
      <c r="SOO338" s="42" t="s">
        <v>607</v>
      </c>
      <c r="SOP338" s="42" t="s">
        <v>607</v>
      </c>
      <c r="SOQ338" s="42" t="s">
        <v>607</v>
      </c>
      <c r="SOR338" s="42" t="s">
        <v>607</v>
      </c>
      <c r="SOS338" s="42" t="s">
        <v>607</v>
      </c>
      <c r="SOT338" s="42" t="s">
        <v>607</v>
      </c>
      <c r="SOU338" s="42" t="s">
        <v>607</v>
      </c>
      <c r="SOV338" s="42" t="s">
        <v>607</v>
      </c>
      <c r="SOW338" s="42" t="s">
        <v>607</v>
      </c>
      <c r="SOX338" s="42" t="s">
        <v>607</v>
      </c>
      <c r="SOY338" s="42" t="s">
        <v>607</v>
      </c>
      <c r="SOZ338" s="42" t="s">
        <v>607</v>
      </c>
      <c r="SPA338" s="42" t="s">
        <v>607</v>
      </c>
      <c r="SPB338" s="42" t="s">
        <v>607</v>
      </c>
      <c r="SPC338" s="42" t="s">
        <v>607</v>
      </c>
      <c r="SPD338" s="42" t="s">
        <v>607</v>
      </c>
      <c r="SPE338" s="42" t="s">
        <v>607</v>
      </c>
      <c r="SPF338" s="42" t="s">
        <v>607</v>
      </c>
      <c r="SPG338" s="42" t="s">
        <v>607</v>
      </c>
      <c r="SPH338" s="42" t="s">
        <v>607</v>
      </c>
      <c r="SPI338" s="42" t="s">
        <v>607</v>
      </c>
      <c r="SPJ338" s="42" t="s">
        <v>607</v>
      </c>
      <c r="SPK338" s="42" t="s">
        <v>607</v>
      </c>
      <c r="SPL338" s="42" t="s">
        <v>607</v>
      </c>
      <c r="SPM338" s="42" t="s">
        <v>607</v>
      </c>
      <c r="SPN338" s="42" t="s">
        <v>607</v>
      </c>
      <c r="SPO338" s="42" t="s">
        <v>607</v>
      </c>
      <c r="SPP338" s="42" t="s">
        <v>607</v>
      </c>
      <c r="SPQ338" s="42" t="s">
        <v>607</v>
      </c>
      <c r="SPR338" s="42" t="s">
        <v>607</v>
      </c>
      <c r="SPS338" s="42" t="s">
        <v>607</v>
      </c>
      <c r="SPT338" s="42" t="s">
        <v>607</v>
      </c>
      <c r="SPU338" s="42" t="s">
        <v>607</v>
      </c>
      <c r="SPV338" s="42" t="s">
        <v>607</v>
      </c>
      <c r="SPW338" s="42" t="s">
        <v>607</v>
      </c>
      <c r="SPX338" s="42" t="s">
        <v>607</v>
      </c>
      <c r="SPY338" s="42" t="s">
        <v>607</v>
      </c>
      <c r="SPZ338" s="42" t="s">
        <v>607</v>
      </c>
      <c r="SQA338" s="42" t="s">
        <v>607</v>
      </c>
      <c r="SQB338" s="42" t="s">
        <v>607</v>
      </c>
      <c r="SQC338" s="42" t="s">
        <v>607</v>
      </c>
      <c r="SQD338" s="42" t="s">
        <v>607</v>
      </c>
      <c r="SQE338" s="42" t="s">
        <v>607</v>
      </c>
      <c r="SQF338" s="42" t="s">
        <v>607</v>
      </c>
      <c r="SQG338" s="42" t="s">
        <v>607</v>
      </c>
      <c r="SQH338" s="42" t="s">
        <v>607</v>
      </c>
      <c r="SQI338" s="42" t="s">
        <v>607</v>
      </c>
      <c r="SQJ338" s="42" t="s">
        <v>607</v>
      </c>
      <c r="SQK338" s="42" t="s">
        <v>607</v>
      </c>
      <c r="SQL338" s="42" t="s">
        <v>607</v>
      </c>
      <c r="SQM338" s="42" t="s">
        <v>607</v>
      </c>
      <c r="SQN338" s="42" t="s">
        <v>607</v>
      </c>
      <c r="SQO338" s="42" t="s">
        <v>607</v>
      </c>
      <c r="SQP338" s="42" t="s">
        <v>607</v>
      </c>
      <c r="SQQ338" s="42" t="s">
        <v>607</v>
      </c>
      <c r="SQR338" s="42" t="s">
        <v>607</v>
      </c>
      <c r="SQS338" s="42" t="s">
        <v>607</v>
      </c>
      <c r="SQT338" s="42" t="s">
        <v>607</v>
      </c>
      <c r="SQU338" s="42" t="s">
        <v>607</v>
      </c>
      <c r="SQV338" s="42" t="s">
        <v>607</v>
      </c>
      <c r="SQW338" s="42" t="s">
        <v>607</v>
      </c>
      <c r="SQX338" s="42" t="s">
        <v>607</v>
      </c>
      <c r="SQY338" s="42" t="s">
        <v>607</v>
      </c>
      <c r="SQZ338" s="42" t="s">
        <v>607</v>
      </c>
      <c r="SRA338" s="42" t="s">
        <v>607</v>
      </c>
      <c r="SRB338" s="42" t="s">
        <v>607</v>
      </c>
      <c r="SRC338" s="42" t="s">
        <v>607</v>
      </c>
      <c r="SRD338" s="42" t="s">
        <v>607</v>
      </c>
      <c r="SRE338" s="42" t="s">
        <v>607</v>
      </c>
      <c r="SRF338" s="42" t="s">
        <v>607</v>
      </c>
      <c r="SRG338" s="42" t="s">
        <v>607</v>
      </c>
      <c r="SRH338" s="42" t="s">
        <v>607</v>
      </c>
      <c r="SRI338" s="42" t="s">
        <v>607</v>
      </c>
      <c r="SRJ338" s="42" t="s">
        <v>607</v>
      </c>
      <c r="SRK338" s="42" t="s">
        <v>607</v>
      </c>
      <c r="SRL338" s="42" t="s">
        <v>607</v>
      </c>
      <c r="SRM338" s="42" t="s">
        <v>607</v>
      </c>
      <c r="SRN338" s="42" t="s">
        <v>607</v>
      </c>
      <c r="SRO338" s="42" t="s">
        <v>607</v>
      </c>
      <c r="SRP338" s="42" t="s">
        <v>607</v>
      </c>
      <c r="SRQ338" s="42" t="s">
        <v>607</v>
      </c>
      <c r="SRR338" s="42" t="s">
        <v>607</v>
      </c>
      <c r="SRS338" s="42" t="s">
        <v>607</v>
      </c>
      <c r="SRT338" s="42" t="s">
        <v>607</v>
      </c>
      <c r="SRU338" s="42" t="s">
        <v>607</v>
      </c>
      <c r="SRV338" s="42" t="s">
        <v>607</v>
      </c>
      <c r="SRW338" s="42" t="s">
        <v>607</v>
      </c>
      <c r="SRX338" s="42" t="s">
        <v>607</v>
      </c>
      <c r="SRY338" s="42" t="s">
        <v>607</v>
      </c>
      <c r="SRZ338" s="42" t="s">
        <v>607</v>
      </c>
      <c r="SSA338" s="42" t="s">
        <v>607</v>
      </c>
      <c r="SSB338" s="42" t="s">
        <v>607</v>
      </c>
      <c r="SSC338" s="42" t="s">
        <v>607</v>
      </c>
      <c r="SSD338" s="42" t="s">
        <v>607</v>
      </c>
      <c r="SSE338" s="42" t="s">
        <v>607</v>
      </c>
      <c r="SSF338" s="42" t="s">
        <v>607</v>
      </c>
      <c r="SSG338" s="42" t="s">
        <v>607</v>
      </c>
      <c r="SSH338" s="42" t="s">
        <v>607</v>
      </c>
      <c r="SSI338" s="42" t="s">
        <v>607</v>
      </c>
      <c r="SSJ338" s="42" t="s">
        <v>607</v>
      </c>
      <c r="SSK338" s="42" t="s">
        <v>607</v>
      </c>
      <c r="SSL338" s="42" t="s">
        <v>607</v>
      </c>
      <c r="SSM338" s="42" t="s">
        <v>607</v>
      </c>
      <c r="SSN338" s="42" t="s">
        <v>607</v>
      </c>
      <c r="SSO338" s="42" t="s">
        <v>607</v>
      </c>
      <c r="SSP338" s="42" t="s">
        <v>607</v>
      </c>
      <c r="SSQ338" s="42" t="s">
        <v>607</v>
      </c>
      <c r="SSR338" s="42" t="s">
        <v>607</v>
      </c>
      <c r="SSS338" s="42" t="s">
        <v>607</v>
      </c>
      <c r="SST338" s="42" t="s">
        <v>607</v>
      </c>
      <c r="SSU338" s="42" t="s">
        <v>607</v>
      </c>
      <c r="SSV338" s="42" t="s">
        <v>607</v>
      </c>
      <c r="SSW338" s="42" t="s">
        <v>607</v>
      </c>
      <c r="SSX338" s="42" t="s">
        <v>607</v>
      </c>
      <c r="SSY338" s="42" t="s">
        <v>607</v>
      </c>
      <c r="SSZ338" s="42" t="s">
        <v>607</v>
      </c>
      <c r="STA338" s="42" t="s">
        <v>607</v>
      </c>
      <c r="STB338" s="42" t="s">
        <v>607</v>
      </c>
      <c r="STC338" s="42" t="s">
        <v>607</v>
      </c>
      <c r="STD338" s="42" t="s">
        <v>607</v>
      </c>
      <c r="STE338" s="42" t="s">
        <v>607</v>
      </c>
      <c r="STF338" s="42" t="s">
        <v>607</v>
      </c>
      <c r="STG338" s="42" t="s">
        <v>607</v>
      </c>
      <c r="STH338" s="42" t="s">
        <v>607</v>
      </c>
      <c r="STI338" s="42" t="s">
        <v>607</v>
      </c>
      <c r="STJ338" s="42" t="s">
        <v>607</v>
      </c>
      <c r="STK338" s="42" t="s">
        <v>607</v>
      </c>
      <c r="STL338" s="42" t="s">
        <v>607</v>
      </c>
      <c r="STM338" s="42" t="s">
        <v>607</v>
      </c>
      <c r="STN338" s="42" t="s">
        <v>607</v>
      </c>
      <c r="STO338" s="42" t="s">
        <v>607</v>
      </c>
      <c r="STP338" s="42" t="s">
        <v>607</v>
      </c>
      <c r="STQ338" s="42" t="s">
        <v>607</v>
      </c>
      <c r="STR338" s="42" t="s">
        <v>607</v>
      </c>
      <c r="STS338" s="42" t="s">
        <v>607</v>
      </c>
      <c r="STT338" s="42" t="s">
        <v>607</v>
      </c>
      <c r="STU338" s="42" t="s">
        <v>607</v>
      </c>
      <c r="STV338" s="42" t="s">
        <v>607</v>
      </c>
      <c r="STW338" s="42" t="s">
        <v>607</v>
      </c>
      <c r="STX338" s="42" t="s">
        <v>607</v>
      </c>
      <c r="STY338" s="42" t="s">
        <v>607</v>
      </c>
      <c r="STZ338" s="42" t="s">
        <v>607</v>
      </c>
      <c r="SUA338" s="42" t="s">
        <v>607</v>
      </c>
      <c r="SUB338" s="42" t="s">
        <v>607</v>
      </c>
      <c r="SUC338" s="42" t="s">
        <v>607</v>
      </c>
      <c r="SUD338" s="42" t="s">
        <v>607</v>
      </c>
      <c r="SUE338" s="42" t="s">
        <v>607</v>
      </c>
      <c r="SUF338" s="42" t="s">
        <v>607</v>
      </c>
      <c r="SUG338" s="42" t="s">
        <v>607</v>
      </c>
      <c r="SUH338" s="42" t="s">
        <v>607</v>
      </c>
      <c r="SUI338" s="42" t="s">
        <v>607</v>
      </c>
      <c r="SUJ338" s="42" t="s">
        <v>607</v>
      </c>
      <c r="SUK338" s="42" t="s">
        <v>607</v>
      </c>
      <c r="SUL338" s="42" t="s">
        <v>607</v>
      </c>
      <c r="SUM338" s="42" t="s">
        <v>607</v>
      </c>
      <c r="SUN338" s="42" t="s">
        <v>607</v>
      </c>
      <c r="SUO338" s="42" t="s">
        <v>607</v>
      </c>
      <c r="SUP338" s="42" t="s">
        <v>607</v>
      </c>
      <c r="SUQ338" s="42" t="s">
        <v>607</v>
      </c>
      <c r="SUR338" s="42" t="s">
        <v>607</v>
      </c>
      <c r="SUS338" s="42" t="s">
        <v>607</v>
      </c>
      <c r="SUT338" s="42" t="s">
        <v>607</v>
      </c>
      <c r="SUU338" s="42" t="s">
        <v>607</v>
      </c>
      <c r="SUV338" s="42" t="s">
        <v>607</v>
      </c>
      <c r="SUW338" s="42" t="s">
        <v>607</v>
      </c>
      <c r="SUX338" s="42" t="s">
        <v>607</v>
      </c>
      <c r="SUY338" s="42" t="s">
        <v>607</v>
      </c>
      <c r="SUZ338" s="42" t="s">
        <v>607</v>
      </c>
      <c r="SVA338" s="42" t="s">
        <v>607</v>
      </c>
      <c r="SVB338" s="42" t="s">
        <v>607</v>
      </c>
      <c r="SVC338" s="42" t="s">
        <v>607</v>
      </c>
      <c r="SVD338" s="42" t="s">
        <v>607</v>
      </c>
      <c r="SVE338" s="42" t="s">
        <v>607</v>
      </c>
      <c r="SVF338" s="42" t="s">
        <v>607</v>
      </c>
      <c r="SVG338" s="42" t="s">
        <v>607</v>
      </c>
      <c r="SVH338" s="42" t="s">
        <v>607</v>
      </c>
      <c r="SVI338" s="42" t="s">
        <v>607</v>
      </c>
      <c r="SVJ338" s="42" t="s">
        <v>607</v>
      </c>
      <c r="SVK338" s="42" t="s">
        <v>607</v>
      </c>
      <c r="SVL338" s="42" t="s">
        <v>607</v>
      </c>
      <c r="SVM338" s="42" t="s">
        <v>607</v>
      </c>
      <c r="SVN338" s="42" t="s">
        <v>607</v>
      </c>
      <c r="SVO338" s="42" t="s">
        <v>607</v>
      </c>
      <c r="SVP338" s="42" t="s">
        <v>607</v>
      </c>
      <c r="SVQ338" s="42" t="s">
        <v>607</v>
      </c>
      <c r="SVR338" s="42" t="s">
        <v>607</v>
      </c>
      <c r="SVS338" s="42" t="s">
        <v>607</v>
      </c>
      <c r="SVT338" s="42" t="s">
        <v>607</v>
      </c>
      <c r="SVU338" s="42" t="s">
        <v>607</v>
      </c>
      <c r="SVV338" s="42" t="s">
        <v>607</v>
      </c>
      <c r="SVW338" s="42" t="s">
        <v>607</v>
      </c>
      <c r="SVX338" s="42" t="s">
        <v>607</v>
      </c>
      <c r="SVY338" s="42" t="s">
        <v>607</v>
      </c>
      <c r="SVZ338" s="42" t="s">
        <v>607</v>
      </c>
      <c r="SWA338" s="42" t="s">
        <v>607</v>
      </c>
      <c r="SWB338" s="42" t="s">
        <v>607</v>
      </c>
      <c r="SWC338" s="42" t="s">
        <v>607</v>
      </c>
      <c r="SWD338" s="42" t="s">
        <v>607</v>
      </c>
      <c r="SWE338" s="42" t="s">
        <v>607</v>
      </c>
      <c r="SWF338" s="42" t="s">
        <v>607</v>
      </c>
      <c r="SWG338" s="42" t="s">
        <v>607</v>
      </c>
      <c r="SWH338" s="42" t="s">
        <v>607</v>
      </c>
      <c r="SWI338" s="42" t="s">
        <v>607</v>
      </c>
      <c r="SWJ338" s="42" t="s">
        <v>607</v>
      </c>
      <c r="SWK338" s="42" t="s">
        <v>607</v>
      </c>
      <c r="SWL338" s="42" t="s">
        <v>607</v>
      </c>
      <c r="SWM338" s="42" t="s">
        <v>607</v>
      </c>
      <c r="SWN338" s="42" t="s">
        <v>607</v>
      </c>
      <c r="SWO338" s="42" t="s">
        <v>607</v>
      </c>
      <c r="SWP338" s="42" t="s">
        <v>607</v>
      </c>
      <c r="SWQ338" s="42" t="s">
        <v>607</v>
      </c>
      <c r="SWR338" s="42" t="s">
        <v>607</v>
      </c>
      <c r="SWS338" s="42" t="s">
        <v>607</v>
      </c>
      <c r="SWT338" s="42" t="s">
        <v>607</v>
      </c>
      <c r="SWU338" s="42" t="s">
        <v>607</v>
      </c>
      <c r="SWV338" s="42" t="s">
        <v>607</v>
      </c>
      <c r="SWW338" s="42" t="s">
        <v>607</v>
      </c>
      <c r="SWX338" s="42" t="s">
        <v>607</v>
      </c>
      <c r="SWY338" s="42" t="s">
        <v>607</v>
      </c>
      <c r="SWZ338" s="42" t="s">
        <v>607</v>
      </c>
      <c r="SXA338" s="42" t="s">
        <v>607</v>
      </c>
      <c r="SXB338" s="42" t="s">
        <v>607</v>
      </c>
      <c r="SXC338" s="42" t="s">
        <v>607</v>
      </c>
      <c r="SXD338" s="42" t="s">
        <v>607</v>
      </c>
      <c r="SXE338" s="42" t="s">
        <v>607</v>
      </c>
      <c r="SXF338" s="42" t="s">
        <v>607</v>
      </c>
      <c r="SXG338" s="42" t="s">
        <v>607</v>
      </c>
      <c r="SXH338" s="42" t="s">
        <v>607</v>
      </c>
      <c r="SXI338" s="42" t="s">
        <v>607</v>
      </c>
      <c r="SXJ338" s="42" t="s">
        <v>607</v>
      </c>
      <c r="SXK338" s="42" t="s">
        <v>607</v>
      </c>
      <c r="SXL338" s="42" t="s">
        <v>607</v>
      </c>
      <c r="SXM338" s="42" t="s">
        <v>607</v>
      </c>
      <c r="SXN338" s="42" t="s">
        <v>607</v>
      </c>
      <c r="SXO338" s="42" t="s">
        <v>607</v>
      </c>
      <c r="SXP338" s="42" t="s">
        <v>607</v>
      </c>
      <c r="SXQ338" s="42" t="s">
        <v>607</v>
      </c>
      <c r="SXR338" s="42" t="s">
        <v>607</v>
      </c>
      <c r="SXS338" s="42" t="s">
        <v>607</v>
      </c>
      <c r="SXT338" s="42" t="s">
        <v>607</v>
      </c>
      <c r="SXU338" s="42" t="s">
        <v>607</v>
      </c>
      <c r="SXV338" s="42" t="s">
        <v>607</v>
      </c>
      <c r="SXW338" s="42" t="s">
        <v>607</v>
      </c>
      <c r="SXX338" s="42" t="s">
        <v>607</v>
      </c>
      <c r="SXY338" s="42" t="s">
        <v>607</v>
      </c>
      <c r="SXZ338" s="42" t="s">
        <v>607</v>
      </c>
      <c r="SYA338" s="42" t="s">
        <v>607</v>
      </c>
      <c r="SYB338" s="42" t="s">
        <v>607</v>
      </c>
      <c r="SYC338" s="42" t="s">
        <v>607</v>
      </c>
      <c r="SYD338" s="42" t="s">
        <v>607</v>
      </c>
      <c r="SYE338" s="42" t="s">
        <v>607</v>
      </c>
      <c r="SYF338" s="42" t="s">
        <v>607</v>
      </c>
      <c r="SYG338" s="42" t="s">
        <v>607</v>
      </c>
      <c r="SYH338" s="42" t="s">
        <v>607</v>
      </c>
      <c r="SYI338" s="42" t="s">
        <v>607</v>
      </c>
      <c r="SYJ338" s="42" t="s">
        <v>607</v>
      </c>
      <c r="SYK338" s="42" t="s">
        <v>607</v>
      </c>
      <c r="SYL338" s="42" t="s">
        <v>607</v>
      </c>
      <c r="SYM338" s="42" t="s">
        <v>607</v>
      </c>
      <c r="SYN338" s="42" t="s">
        <v>607</v>
      </c>
      <c r="SYO338" s="42" t="s">
        <v>607</v>
      </c>
      <c r="SYP338" s="42" t="s">
        <v>607</v>
      </c>
      <c r="SYQ338" s="42" t="s">
        <v>607</v>
      </c>
      <c r="SYR338" s="42" t="s">
        <v>607</v>
      </c>
      <c r="SYS338" s="42" t="s">
        <v>607</v>
      </c>
      <c r="SYT338" s="42" t="s">
        <v>607</v>
      </c>
      <c r="SYU338" s="42" t="s">
        <v>607</v>
      </c>
      <c r="SYV338" s="42" t="s">
        <v>607</v>
      </c>
      <c r="SYW338" s="42" t="s">
        <v>607</v>
      </c>
      <c r="SYX338" s="42" t="s">
        <v>607</v>
      </c>
      <c r="SYY338" s="42" t="s">
        <v>607</v>
      </c>
      <c r="SYZ338" s="42" t="s">
        <v>607</v>
      </c>
      <c r="SZA338" s="42" t="s">
        <v>607</v>
      </c>
      <c r="SZB338" s="42" t="s">
        <v>607</v>
      </c>
      <c r="SZC338" s="42" t="s">
        <v>607</v>
      </c>
      <c r="SZD338" s="42" t="s">
        <v>607</v>
      </c>
      <c r="SZE338" s="42" t="s">
        <v>607</v>
      </c>
      <c r="SZF338" s="42" t="s">
        <v>607</v>
      </c>
      <c r="SZG338" s="42" t="s">
        <v>607</v>
      </c>
      <c r="SZH338" s="42" t="s">
        <v>607</v>
      </c>
      <c r="SZI338" s="42" t="s">
        <v>607</v>
      </c>
      <c r="SZJ338" s="42" t="s">
        <v>607</v>
      </c>
      <c r="SZK338" s="42" t="s">
        <v>607</v>
      </c>
      <c r="SZL338" s="42" t="s">
        <v>607</v>
      </c>
      <c r="SZM338" s="42" t="s">
        <v>607</v>
      </c>
      <c r="SZN338" s="42" t="s">
        <v>607</v>
      </c>
      <c r="SZO338" s="42" t="s">
        <v>607</v>
      </c>
      <c r="SZP338" s="42" t="s">
        <v>607</v>
      </c>
      <c r="SZQ338" s="42" t="s">
        <v>607</v>
      </c>
      <c r="SZR338" s="42" t="s">
        <v>607</v>
      </c>
      <c r="SZS338" s="42" t="s">
        <v>607</v>
      </c>
      <c r="SZT338" s="42" t="s">
        <v>607</v>
      </c>
      <c r="SZU338" s="42" t="s">
        <v>607</v>
      </c>
      <c r="SZV338" s="42" t="s">
        <v>607</v>
      </c>
      <c r="SZW338" s="42" t="s">
        <v>607</v>
      </c>
      <c r="SZX338" s="42" t="s">
        <v>607</v>
      </c>
      <c r="SZY338" s="42" t="s">
        <v>607</v>
      </c>
      <c r="SZZ338" s="42" t="s">
        <v>607</v>
      </c>
      <c r="TAA338" s="42" t="s">
        <v>607</v>
      </c>
      <c r="TAB338" s="42" t="s">
        <v>607</v>
      </c>
      <c r="TAC338" s="42" t="s">
        <v>607</v>
      </c>
      <c r="TAD338" s="42" t="s">
        <v>607</v>
      </c>
      <c r="TAE338" s="42" t="s">
        <v>607</v>
      </c>
      <c r="TAF338" s="42" t="s">
        <v>607</v>
      </c>
      <c r="TAG338" s="42" t="s">
        <v>607</v>
      </c>
      <c r="TAH338" s="42" t="s">
        <v>607</v>
      </c>
      <c r="TAI338" s="42" t="s">
        <v>607</v>
      </c>
      <c r="TAJ338" s="42" t="s">
        <v>607</v>
      </c>
      <c r="TAK338" s="42" t="s">
        <v>607</v>
      </c>
      <c r="TAL338" s="42" t="s">
        <v>607</v>
      </c>
      <c r="TAM338" s="42" t="s">
        <v>607</v>
      </c>
      <c r="TAN338" s="42" t="s">
        <v>607</v>
      </c>
      <c r="TAO338" s="42" t="s">
        <v>607</v>
      </c>
      <c r="TAP338" s="42" t="s">
        <v>607</v>
      </c>
      <c r="TAQ338" s="42" t="s">
        <v>607</v>
      </c>
      <c r="TAR338" s="42" t="s">
        <v>607</v>
      </c>
      <c r="TAS338" s="42" t="s">
        <v>607</v>
      </c>
      <c r="TAT338" s="42" t="s">
        <v>607</v>
      </c>
      <c r="TAU338" s="42" t="s">
        <v>607</v>
      </c>
      <c r="TAV338" s="42" t="s">
        <v>607</v>
      </c>
      <c r="TAW338" s="42" t="s">
        <v>607</v>
      </c>
      <c r="TAX338" s="42" t="s">
        <v>607</v>
      </c>
      <c r="TAY338" s="42" t="s">
        <v>607</v>
      </c>
      <c r="TAZ338" s="42" t="s">
        <v>607</v>
      </c>
      <c r="TBA338" s="42" t="s">
        <v>607</v>
      </c>
      <c r="TBB338" s="42" t="s">
        <v>607</v>
      </c>
      <c r="TBC338" s="42" t="s">
        <v>607</v>
      </c>
      <c r="TBD338" s="42" t="s">
        <v>607</v>
      </c>
      <c r="TBE338" s="42" t="s">
        <v>607</v>
      </c>
      <c r="TBF338" s="42" t="s">
        <v>607</v>
      </c>
      <c r="TBG338" s="42" t="s">
        <v>607</v>
      </c>
      <c r="TBH338" s="42" t="s">
        <v>607</v>
      </c>
      <c r="TBI338" s="42" t="s">
        <v>607</v>
      </c>
      <c r="TBJ338" s="42" t="s">
        <v>607</v>
      </c>
      <c r="TBK338" s="42" t="s">
        <v>607</v>
      </c>
      <c r="TBL338" s="42" t="s">
        <v>607</v>
      </c>
      <c r="TBM338" s="42" t="s">
        <v>607</v>
      </c>
      <c r="TBN338" s="42" t="s">
        <v>607</v>
      </c>
      <c r="TBO338" s="42" t="s">
        <v>607</v>
      </c>
      <c r="TBP338" s="42" t="s">
        <v>607</v>
      </c>
      <c r="TBQ338" s="42" t="s">
        <v>607</v>
      </c>
      <c r="TBR338" s="42" t="s">
        <v>607</v>
      </c>
      <c r="TBS338" s="42" t="s">
        <v>607</v>
      </c>
      <c r="TBT338" s="42" t="s">
        <v>607</v>
      </c>
      <c r="TBU338" s="42" t="s">
        <v>607</v>
      </c>
      <c r="TBV338" s="42" t="s">
        <v>607</v>
      </c>
      <c r="TBW338" s="42" t="s">
        <v>607</v>
      </c>
      <c r="TBX338" s="42" t="s">
        <v>607</v>
      </c>
      <c r="TBY338" s="42" t="s">
        <v>607</v>
      </c>
      <c r="TBZ338" s="42" t="s">
        <v>607</v>
      </c>
      <c r="TCA338" s="42" t="s">
        <v>607</v>
      </c>
      <c r="TCB338" s="42" t="s">
        <v>607</v>
      </c>
      <c r="TCC338" s="42" t="s">
        <v>607</v>
      </c>
      <c r="TCD338" s="42" t="s">
        <v>607</v>
      </c>
      <c r="TCE338" s="42" t="s">
        <v>607</v>
      </c>
      <c r="TCF338" s="42" t="s">
        <v>607</v>
      </c>
      <c r="TCG338" s="42" t="s">
        <v>607</v>
      </c>
      <c r="TCH338" s="42" t="s">
        <v>607</v>
      </c>
      <c r="TCI338" s="42" t="s">
        <v>607</v>
      </c>
      <c r="TCJ338" s="42" t="s">
        <v>607</v>
      </c>
      <c r="TCK338" s="42" t="s">
        <v>607</v>
      </c>
      <c r="TCL338" s="42" t="s">
        <v>607</v>
      </c>
      <c r="TCM338" s="42" t="s">
        <v>607</v>
      </c>
      <c r="TCN338" s="42" t="s">
        <v>607</v>
      </c>
      <c r="TCO338" s="42" t="s">
        <v>607</v>
      </c>
      <c r="TCP338" s="42" t="s">
        <v>607</v>
      </c>
      <c r="TCQ338" s="42" t="s">
        <v>607</v>
      </c>
      <c r="TCR338" s="42" t="s">
        <v>607</v>
      </c>
      <c r="TCS338" s="42" t="s">
        <v>607</v>
      </c>
      <c r="TCT338" s="42" t="s">
        <v>607</v>
      </c>
      <c r="TCU338" s="42" t="s">
        <v>607</v>
      </c>
      <c r="TCV338" s="42" t="s">
        <v>607</v>
      </c>
      <c r="TCW338" s="42" t="s">
        <v>607</v>
      </c>
      <c r="TCX338" s="42" t="s">
        <v>607</v>
      </c>
      <c r="TCY338" s="42" t="s">
        <v>607</v>
      </c>
      <c r="TCZ338" s="42" t="s">
        <v>607</v>
      </c>
      <c r="TDA338" s="42" t="s">
        <v>607</v>
      </c>
      <c r="TDB338" s="42" t="s">
        <v>607</v>
      </c>
      <c r="TDC338" s="42" t="s">
        <v>607</v>
      </c>
      <c r="TDD338" s="42" t="s">
        <v>607</v>
      </c>
      <c r="TDE338" s="42" t="s">
        <v>607</v>
      </c>
      <c r="TDF338" s="42" t="s">
        <v>607</v>
      </c>
      <c r="TDG338" s="42" t="s">
        <v>607</v>
      </c>
      <c r="TDH338" s="42" t="s">
        <v>607</v>
      </c>
      <c r="TDI338" s="42" t="s">
        <v>607</v>
      </c>
      <c r="TDJ338" s="42" t="s">
        <v>607</v>
      </c>
      <c r="TDK338" s="42" t="s">
        <v>607</v>
      </c>
      <c r="TDL338" s="42" t="s">
        <v>607</v>
      </c>
      <c r="TDM338" s="42" t="s">
        <v>607</v>
      </c>
      <c r="TDN338" s="42" t="s">
        <v>607</v>
      </c>
      <c r="TDO338" s="42" t="s">
        <v>607</v>
      </c>
      <c r="TDP338" s="42" t="s">
        <v>607</v>
      </c>
      <c r="TDQ338" s="42" t="s">
        <v>607</v>
      </c>
      <c r="TDR338" s="42" t="s">
        <v>607</v>
      </c>
      <c r="TDS338" s="42" t="s">
        <v>607</v>
      </c>
      <c r="TDT338" s="42" t="s">
        <v>607</v>
      </c>
      <c r="TDU338" s="42" t="s">
        <v>607</v>
      </c>
      <c r="TDV338" s="42" t="s">
        <v>607</v>
      </c>
      <c r="TDW338" s="42" t="s">
        <v>607</v>
      </c>
      <c r="TDX338" s="42" t="s">
        <v>607</v>
      </c>
      <c r="TDY338" s="42" t="s">
        <v>607</v>
      </c>
      <c r="TDZ338" s="42" t="s">
        <v>607</v>
      </c>
      <c r="TEA338" s="42" t="s">
        <v>607</v>
      </c>
      <c r="TEB338" s="42" t="s">
        <v>607</v>
      </c>
      <c r="TEC338" s="42" t="s">
        <v>607</v>
      </c>
      <c r="TED338" s="42" t="s">
        <v>607</v>
      </c>
      <c r="TEE338" s="42" t="s">
        <v>607</v>
      </c>
      <c r="TEF338" s="42" t="s">
        <v>607</v>
      </c>
      <c r="TEG338" s="42" t="s">
        <v>607</v>
      </c>
      <c r="TEH338" s="42" t="s">
        <v>607</v>
      </c>
      <c r="TEI338" s="42" t="s">
        <v>607</v>
      </c>
      <c r="TEJ338" s="42" t="s">
        <v>607</v>
      </c>
      <c r="TEK338" s="42" t="s">
        <v>607</v>
      </c>
      <c r="TEL338" s="42" t="s">
        <v>607</v>
      </c>
      <c r="TEM338" s="42" t="s">
        <v>607</v>
      </c>
      <c r="TEN338" s="42" t="s">
        <v>607</v>
      </c>
      <c r="TEO338" s="42" t="s">
        <v>607</v>
      </c>
      <c r="TEP338" s="42" t="s">
        <v>607</v>
      </c>
      <c r="TEQ338" s="42" t="s">
        <v>607</v>
      </c>
      <c r="TER338" s="42" t="s">
        <v>607</v>
      </c>
      <c r="TES338" s="42" t="s">
        <v>607</v>
      </c>
      <c r="TET338" s="42" t="s">
        <v>607</v>
      </c>
      <c r="TEU338" s="42" t="s">
        <v>607</v>
      </c>
      <c r="TEV338" s="42" t="s">
        <v>607</v>
      </c>
      <c r="TEW338" s="42" t="s">
        <v>607</v>
      </c>
      <c r="TEX338" s="42" t="s">
        <v>607</v>
      </c>
      <c r="TEY338" s="42" t="s">
        <v>607</v>
      </c>
      <c r="TEZ338" s="42" t="s">
        <v>607</v>
      </c>
      <c r="TFA338" s="42" t="s">
        <v>607</v>
      </c>
      <c r="TFB338" s="42" t="s">
        <v>607</v>
      </c>
      <c r="TFC338" s="42" t="s">
        <v>607</v>
      </c>
      <c r="TFD338" s="42" t="s">
        <v>607</v>
      </c>
      <c r="TFE338" s="42" t="s">
        <v>607</v>
      </c>
      <c r="TFF338" s="42" t="s">
        <v>607</v>
      </c>
      <c r="TFG338" s="42" t="s">
        <v>607</v>
      </c>
      <c r="TFH338" s="42" t="s">
        <v>607</v>
      </c>
      <c r="TFI338" s="42" t="s">
        <v>607</v>
      </c>
      <c r="TFJ338" s="42" t="s">
        <v>607</v>
      </c>
      <c r="TFK338" s="42" t="s">
        <v>607</v>
      </c>
      <c r="TFL338" s="42" t="s">
        <v>607</v>
      </c>
      <c r="TFM338" s="42" t="s">
        <v>607</v>
      </c>
      <c r="TFN338" s="42" t="s">
        <v>607</v>
      </c>
      <c r="TFO338" s="42" t="s">
        <v>607</v>
      </c>
      <c r="TFP338" s="42" t="s">
        <v>607</v>
      </c>
      <c r="TFQ338" s="42" t="s">
        <v>607</v>
      </c>
      <c r="TFR338" s="42" t="s">
        <v>607</v>
      </c>
      <c r="TFS338" s="42" t="s">
        <v>607</v>
      </c>
      <c r="TFT338" s="42" t="s">
        <v>607</v>
      </c>
      <c r="TFU338" s="42" t="s">
        <v>607</v>
      </c>
      <c r="TFV338" s="42" t="s">
        <v>607</v>
      </c>
      <c r="TFW338" s="42" t="s">
        <v>607</v>
      </c>
      <c r="TFX338" s="42" t="s">
        <v>607</v>
      </c>
      <c r="TFY338" s="42" t="s">
        <v>607</v>
      </c>
      <c r="TFZ338" s="42" t="s">
        <v>607</v>
      </c>
      <c r="TGA338" s="42" t="s">
        <v>607</v>
      </c>
      <c r="TGB338" s="42" t="s">
        <v>607</v>
      </c>
      <c r="TGC338" s="42" t="s">
        <v>607</v>
      </c>
      <c r="TGD338" s="42" t="s">
        <v>607</v>
      </c>
      <c r="TGE338" s="42" t="s">
        <v>607</v>
      </c>
      <c r="TGF338" s="42" t="s">
        <v>607</v>
      </c>
      <c r="TGG338" s="42" t="s">
        <v>607</v>
      </c>
      <c r="TGH338" s="42" t="s">
        <v>607</v>
      </c>
      <c r="TGI338" s="42" t="s">
        <v>607</v>
      </c>
      <c r="TGJ338" s="42" t="s">
        <v>607</v>
      </c>
      <c r="TGK338" s="42" t="s">
        <v>607</v>
      </c>
      <c r="TGL338" s="42" t="s">
        <v>607</v>
      </c>
      <c r="TGM338" s="42" t="s">
        <v>607</v>
      </c>
      <c r="TGN338" s="42" t="s">
        <v>607</v>
      </c>
      <c r="TGO338" s="42" t="s">
        <v>607</v>
      </c>
      <c r="TGP338" s="42" t="s">
        <v>607</v>
      </c>
      <c r="TGQ338" s="42" t="s">
        <v>607</v>
      </c>
      <c r="TGR338" s="42" t="s">
        <v>607</v>
      </c>
      <c r="TGS338" s="42" t="s">
        <v>607</v>
      </c>
      <c r="TGT338" s="42" t="s">
        <v>607</v>
      </c>
      <c r="TGU338" s="42" t="s">
        <v>607</v>
      </c>
      <c r="TGV338" s="42" t="s">
        <v>607</v>
      </c>
      <c r="TGW338" s="42" t="s">
        <v>607</v>
      </c>
      <c r="TGX338" s="42" t="s">
        <v>607</v>
      </c>
      <c r="TGY338" s="42" t="s">
        <v>607</v>
      </c>
      <c r="TGZ338" s="42" t="s">
        <v>607</v>
      </c>
      <c r="THA338" s="42" t="s">
        <v>607</v>
      </c>
      <c r="THB338" s="42" t="s">
        <v>607</v>
      </c>
      <c r="THC338" s="42" t="s">
        <v>607</v>
      </c>
      <c r="THD338" s="42" t="s">
        <v>607</v>
      </c>
      <c r="THE338" s="42" t="s">
        <v>607</v>
      </c>
      <c r="THF338" s="42" t="s">
        <v>607</v>
      </c>
      <c r="THG338" s="42" t="s">
        <v>607</v>
      </c>
      <c r="THH338" s="42" t="s">
        <v>607</v>
      </c>
      <c r="THI338" s="42" t="s">
        <v>607</v>
      </c>
      <c r="THJ338" s="42" t="s">
        <v>607</v>
      </c>
      <c r="THK338" s="42" t="s">
        <v>607</v>
      </c>
      <c r="THL338" s="42" t="s">
        <v>607</v>
      </c>
      <c r="THM338" s="42" t="s">
        <v>607</v>
      </c>
      <c r="THN338" s="42" t="s">
        <v>607</v>
      </c>
      <c r="THO338" s="42" t="s">
        <v>607</v>
      </c>
      <c r="THP338" s="42" t="s">
        <v>607</v>
      </c>
      <c r="THQ338" s="42" t="s">
        <v>607</v>
      </c>
      <c r="THR338" s="42" t="s">
        <v>607</v>
      </c>
      <c r="THS338" s="42" t="s">
        <v>607</v>
      </c>
      <c r="THT338" s="42" t="s">
        <v>607</v>
      </c>
      <c r="THU338" s="42" t="s">
        <v>607</v>
      </c>
      <c r="THV338" s="42" t="s">
        <v>607</v>
      </c>
      <c r="THW338" s="42" t="s">
        <v>607</v>
      </c>
      <c r="THX338" s="42" t="s">
        <v>607</v>
      </c>
      <c r="THY338" s="42" t="s">
        <v>607</v>
      </c>
      <c r="THZ338" s="42" t="s">
        <v>607</v>
      </c>
      <c r="TIA338" s="42" t="s">
        <v>607</v>
      </c>
      <c r="TIB338" s="42" t="s">
        <v>607</v>
      </c>
      <c r="TIC338" s="42" t="s">
        <v>607</v>
      </c>
      <c r="TID338" s="42" t="s">
        <v>607</v>
      </c>
      <c r="TIE338" s="42" t="s">
        <v>607</v>
      </c>
      <c r="TIF338" s="42" t="s">
        <v>607</v>
      </c>
      <c r="TIG338" s="42" t="s">
        <v>607</v>
      </c>
      <c r="TIH338" s="42" t="s">
        <v>607</v>
      </c>
      <c r="TII338" s="42" t="s">
        <v>607</v>
      </c>
      <c r="TIJ338" s="42" t="s">
        <v>607</v>
      </c>
      <c r="TIK338" s="42" t="s">
        <v>607</v>
      </c>
      <c r="TIL338" s="42" t="s">
        <v>607</v>
      </c>
      <c r="TIM338" s="42" t="s">
        <v>607</v>
      </c>
      <c r="TIN338" s="42" t="s">
        <v>607</v>
      </c>
      <c r="TIO338" s="42" t="s">
        <v>607</v>
      </c>
      <c r="TIP338" s="42" t="s">
        <v>607</v>
      </c>
      <c r="TIQ338" s="42" t="s">
        <v>607</v>
      </c>
      <c r="TIR338" s="42" t="s">
        <v>607</v>
      </c>
      <c r="TIS338" s="42" t="s">
        <v>607</v>
      </c>
      <c r="TIT338" s="42" t="s">
        <v>607</v>
      </c>
      <c r="TIU338" s="42" t="s">
        <v>607</v>
      </c>
      <c r="TIV338" s="42" t="s">
        <v>607</v>
      </c>
      <c r="TIW338" s="42" t="s">
        <v>607</v>
      </c>
      <c r="TIX338" s="42" t="s">
        <v>607</v>
      </c>
      <c r="TIY338" s="42" t="s">
        <v>607</v>
      </c>
      <c r="TIZ338" s="42" t="s">
        <v>607</v>
      </c>
      <c r="TJA338" s="42" t="s">
        <v>607</v>
      </c>
      <c r="TJB338" s="42" t="s">
        <v>607</v>
      </c>
      <c r="TJC338" s="42" t="s">
        <v>607</v>
      </c>
      <c r="TJD338" s="42" t="s">
        <v>607</v>
      </c>
      <c r="TJE338" s="42" t="s">
        <v>607</v>
      </c>
      <c r="TJF338" s="42" t="s">
        <v>607</v>
      </c>
      <c r="TJG338" s="42" t="s">
        <v>607</v>
      </c>
      <c r="TJH338" s="42" t="s">
        <v>607</v>
      </c>
      <c r="TJI338" s="42" t="s">
        <v>607</v>
      </c>
      <c r="TJJ338" s="42" t="s">
        <v>607</v>
      </c>
      <c r="TJK338" s="42" t="s">
        <v>607</v>
      </c>
      <c r="TJL338" s="42" t="s">
        <v>607</v>
      </c>
      <c r="TJM338" s="42" t="s">
        <v>607</v>
      </c>
      <c r="TJN338" s="42" t="s">
        <v>607</v>
      </c>
      <c r="TJO338" s="42" t="s">
        <v>607</v>
      </c>
      <c r="TJP338" s="42" t="s">
        <v>607</v>
      </c>
      <c r="TJQ338" s="42" t="s">
        <v>607</v>
      </c>
      <c r="TJR338" s="42" t="s">
        <v>607</v>
      </c>
      <c r="TJS338" s="42" t="s">
        <v>607</v>
      </c>
      <c r="TJT338" s="42" t="s">
        <v>607</v>
      </c>
      <c r="TJU338" s="42" t="s">
        <v>607</v>
      </c>
      <c r="TJV338" s="42" t="s">
        <v>607</v>
      </c>
      <c r="TJW338" s="42" t="s">
        <v>607</v>
      </c>
      <c r="TJX338" s="42" t="s">
        <v>607</v>
      </c>
      <c r="TJY338" s="42" t="s">
        <v>607</v>
      </c>
      <c r="TJZ338" s="42" t="s">
        <v>607</v>
      </c>
      <c r="TKA338" s="42" t="s">
        <v>607</v>
      </c>
      <c r="TKB338" s="42" t="s">
        <v>607</v>
      </c>
      <c r="TKC338" s="42" t="s">
        <v>607</v>
      </c>
      <c r="TKD338" s="42" t="s">
        <v>607</v>
      </c>
      <c r="TKE338" s="42" t="s">
        <v>607</v>
      </c>
      <c r="TKF338" s="42" t="s">
        <v>607</v>
      </c>
      <c r="TKG338" s="42" t="s">
        <v>607</v>
      </c>
      <c r="TKH338" s="42" t="s">
        <v>607</v>
      </c>
      <c r="TKI338" s="42" t="s">
        <v>607</v>
      </c>
      <c r="TKJ338" s="42" t="s">
        <v>607</v>
      </c>
      <c r="TKK338" s="42" t="s">
        <v>607</v>
      </c>
      <c r="TKL338" s="42" t="s">
        <v>607</v>
      </c>
      <c r="TKM338" s="42" t="s">
        <v>607</v>
      </c>
      <c r="TKN338" s="42" t="s">
        <v>607</v>
      </c>
      <c r="TKO338" s="42" t="s">
        <v>607</v>
      </c>
      <c r="TKP338" s="42" t="s">
        <v>607</v>
      </c>
      <c r="TKQ338" s="42" t="s">
        <v>607</v>
      </c>
      <c r="TKR338" s="42" t="s">
        <v>607</v>
      </c>
      <c r="TKS338" s="42" t="s">
        <v>607</v>
      </c>
      <c r="TKT338" s="42" t="s">
        <v>607</v>
      </c>
      <c r="TKU338" s="42" t="s">
        <v>607</v>
      </c>
      <c r="TKV338" s="42" t="s">
        <v>607</v>
      </c>
      <c r="TKW338" s="42" t="s">
        <v>607</v>
      </c>
      <c r="TKX338" s="42" t="s">
        <v>607</v>
      </c>
      <c r="TKY338" s="42" t="s">
        <v>607</v>
      </c>
      <c r="TKZ338" s="42" t="s">
        <v>607</v>
      </c>
      <c r="TLA338" s="42" t="s">
        <v>607</v>
      </c>
      <c r="TLB338" s="42" t="s">
        <v>607</v>
      </c>
      <c r="TLC338" s="42" t="s">
        <v>607</v>
      </c>
      <c r="TLD338" s="42" t="s">
        <v>607</v>
      </c>
      <c r="TLE338" s="42" t="s">
        <v>607</v>
      </c>
      <c r="TLF338" s="42" t="s">
        <v>607</v>
      </c>
      <c r="TLG338" s="42" t="s">
        <v>607</v>
      </c>
      <c r="TLH338" s="42" t="s">
        <v>607</v>
      </c>
      <c r="TLI338" s="42" t="s">
        <v>607</v>
      </c>
      <c r="TLJ338" s="42" t="s">
        <v>607</v>
      </c>
      <c r="TLK338" s="42" t="s">
        <v>607</v>
      </c>
      <c r="TLL338" s="42" t="s">
        <v>607</v>
      </c>
      <c r="TLM338" s="42" t="s">
        <v>607</v>
      </c>
      <c r="TLN338" s="42" t="s">
        <v>607</v>
      </c>
      <c r="TLO338" s="42" t="s">
        <v>607</v>
      </c>
      <c r="TLP338" s="42" t="s">
        <v>607</v>
      </c>
      <c r="TLQ338" s="42" t="s">
        <v>607</v>
      </c>
      <c r="TLR338" s="42" t="s">
        <v>607</v>
      </c>
      <c r="TLS338" s="42" t="s">
        <v>607</v>
      </c>
      <c r="TLT338" s="42" t="s">
        <v>607</v>
      </c>
      <c r="TLU338" s="42" t="s">
        <v>607</v>
      </c>
      <c r="TLV338" s="42" t="s">
        <v>607</v>
      </c>
      <c r="TLW338" s="42" t="s">
        <v>607</v>
      </c>
      <c r="TLX338" s="42" t="s">
        <v>607</v>
      </c>
      <c r="TLY338" s="42" t="s">
        <v>607</v>
      </c>
      <c r="TLZ338" s="42" t="s">
        <v>607</v>
      </c>
      <c r="TMA338" s="42" t="s">
        <v>607</v>
      </c>
      <c r="TMB338" s="42" t="s">
        <v>607</v>
      </c>
      <c r="TMC338" s="42" t="s">
        <v>607</v>
      </c>
      <c r="TMD338" s="42" t="s">
        <v>607</v>
      </c>
      <c r="TME338" s="42" t="s">
        <v>607</v>
      </c>
      <c r="TMF338" s="42" t="s">
        <v>607</v>
      </c>
      <c r="TMG338" s="42" t="s">
        <v>607</v>
      </c>
      <c r="TMH338" s="42" t="s">
        <v>607</v>
      </c>
      <c r="TMI338" s="42" t="s">
        <v>607</v>
      </c>
      <c r="TMJ338" s="42" t="s">
        <v>607</v>
      </c>
      <c r="TMK338" s="42" t="s">
        <v>607</v>
      </c>
      <c r="TML338" s="42" t="s">
        <v>607</v>
      </c>
      <c r="TMM338" s="42" t="s">
        <v>607</v>
      </c>
      <c r="TMN338" s="42" t="s">
        <v>607</v>
      </c>
      <c r="TMO338" s="42" t="s">
        <v>607</v>
      </c>
      <c r="TMP338" s="42" t="s">
        <v>607</v>
      </c>
      <c r="TMQ338" s="42" t="s">
        <v>607</v>
      </c>
      <c r="TMR338" s="42" t="s">
        <v>607</v>
      </c>
      <c r="TMS338" s="42" t="s">
        <v>607</v>
      </c>
      <c r="TMT338" s="42" t="s">
        <v>607</v>
      </c>
      <c r="TMU338" s="42" t="s">
        <v>607</v>
      </c>
      <c r="TMV338" s="42" t="s">
        <v>607</v>
      </c>
      <c r="TMW338" s="42" t="s">
        <v>607</v>
      </c>
      <c r="TMX338" s="42" t="s">
        <v>607</v>
      </c>
      <c r="TMY338" s="42" t="s">
        <v>607</v>
      </c>
      <c r="TMZ338" s="42" t="s">
        <v>607</v>
      </c>
      <c r="TNA338" s="42" t="s">
        <v>607</v>
      </c>
      <c r="TNB338" s="42" t="s">
        <v>607</v>
      </c>
      <c r="TNC338" s="42" t="s">
        <v>607</v>
      </c>
      <c r="TND338" s="42" t="s">
        <v>607</v>
      </c>
      <c r="TNE338" s="42" t="s">
        <v>607</v>
      </c>
      <c r="TNF338" s="42" t="s">
        <v>607</v>
      </c>
      <c r="TNG338" s="42" t="s">
        <v>607</v>
      </c>
      <c r="TNH338" s="42" t="s">
        <v>607</v>
      </c>
      <c r="TNI338" s="42" t="s">
        <v>607</v>
      </c>
      <c r="TNJ338" s="42" t="s">
        <v>607</v>
      </c>
      <c r="TNK338" s="42" t="s">
        <v>607</v>
      </c>
      <c r="TNL338" s="42" t="s">
        <v>607</v>
      </c>
      <c r="TNM338" s="42" t="s">
        <v>607</v>
      </c>
      <c r="TNN338" s="42" t="s">
        <v>607</v>
      </c>
      <c r="TNO338" s="42" t="s">
        <v>607</v>
      </c>
      <c r="TNP338" s="42" t="s">
        <v>607</v>
      </c>
      <c r="TNQ338" s="42" t="s">
        <v>607</v>
      </c>
      <c r="TNR338" s="42" t="s">
        <v>607</v>
      </c>
      <c r="TNS338" s="42" t="s">
        <v>607</v>
      </c>
      <c r="TNT338" s="42" t="s">
        <v>607</v>
      </c>
      <c r="TNU338" s="42" t="s">
        <v>607</v>
      </c>
      <c r="TNV338" s="42" t="s">
        <v>607</v>
      </c>
      <c r="TNW338" s="42" t="s">
        <v>607</v>
      </c>
      <c r="TNX338" s="42" t="s">
        <v>607</v>
      </c>
      <c r="TNY338" s="42" t="s">
        <v>607</v>
      </c>
      <c r="TNZ338" s="42" t="s">
        <v>607</v>
      </c>
      <c r="TOA338" s="42" t="s">
        <v>607</v>
      </c>
      <c r="TOB338" s="42" t="s">
        <v>607</v>
      </c>
      <c r="TOC338" s="42" t="s">
        <v>607</v>
      </c>
      <c r="TOD338" s="42" t="s">
        <v>607</v>
      </c>
      <c r="TOE338" s="42" t="s">
        <v>607</v>
      </c>
      <c r="TOF338" s="42" t="s">
        <v>607</v>
      </c>
      <c r="TOG338" s="42" t="s">
        <v>607</v>
      </c>
      <c r="TOH338" s="42" t="s">
        <v>607</v>
      </c>
      <c r="TOI338" s="42" t="s">
        <v>607</v>
      </c>
      <c r="TOJ338" s="42" t="s">
        <v>607</v>
      </c>
      <c r="TOK338" s="42" t="s">
        <v>607</v>
      </c>
      <c r="TOL338" s="42" t="s">
        <v>607</v>
      </c>
      <c r="TOM338" s="42" t="s">
        <v>607</v>
      </c>
      <c r="TON338" s="42" t="s">
        <v>607</v>
      </c>
      <c r="TOO338" s="42" t="s">
        <v>607</v>
      </c>
      <c r="TOP338" s="42" t="s">
        <v>607</v>
      </c>
      <c r="TOQ338" s="42" t="s">
        <v>607</v>
      </c>
      <c r="TOR338" s="42" t="s">
        <v>607</v>
      </c>
      <c r="TOS338" s="42" t="s">
        <v>607</v>
      </c>
      <c r="TOT338" s="42" t="s">
        <v>607</v>
      </c>
      <c r="TOU338" s="42" t="s">
        <v>607</v>
      </c>
      <c r="TOV338" s="42" t="s">
        <v>607</v>
      </c>
      <c r="TOW338" s="42" t="s">
        <v>607</v>
      </c>
      <c r="TOX338" s="42" t="s">
        <v>607</v>
      </c>
      <c r="TOY338" s="42" t="s">
        <v>607</v>
      </c>
      <c r="TOZ338" s="42" t="s">
        <v>607</v>
      </c>
      <c r="TPA338" s="42" t="s">
        <v>607</v>
      </c>
      <c r="TPB338" s="42" t="s">
        <v>607</v>
      </c>
      <c r="TPC338" s="42" t="s">
        <v>607</v>
      </c>
      <c r="TPD338" s="42" t="s">
        <v>607</v>
      </c>
      <c r="TPE338" s="42" t="s">
        <v>607</v>
      </c>
      <c r="TPF338" s="42" t="s">
        <v>607</v>
      </c>
      <c r="TPG338" s="42" t="s">
        <v>607</v>
      </c>
      <c r="TPH338" s="42" t="s">
        <v>607</v>
      </c>
      <c r="TPI338" s="42" t="s">
        <v>607</v>
      </c>
      <c r="TPJ338" s="42" t="s">
        <v>607</v>
      </c>
      <c r="TPK338" s="42" t="s">
        <v>607</v>
      </c>
      <c r="TPL338" s="42" t="s">
        <v>607</v>
      </c>
      <c r="TPM338" s="42" t="s">
        <v>607</v>
      </c>
      <c r="TPN338" s="42" t="s">
        <v>607</v>
      </c>
      <c r="TPO338" s="42" t="s">
        <v>607</v>
      </c>
      <c r="TPP338" s="42" t="s">
        <v>607</v>
      </c>
      <c r="TPQ338" s="42" t="s">
        <v>607</v>
      </c>
      <c r="TPR338" s="42" t="s">
        <v>607</v>
      </c>
      <c r="TPS338" s="42" t="s">
        <v>607</v>
      </c>
      <c r="TPT338" s="42" t="s">
        <v>607</v>
      </c>
      <c r="TPU338" s="42" t="s">
        <v>607</v>
      </c>
      <c r="TPV338" s="42" t="s">
        <v>607</v>
      </c>
      <c r="TPW338" s="42" t="s">
        <v>607</v>
      </c>
      <c r="TPX338" s="42" t="s">
        <v>607</v>
      </c>
      <c r="TPY338" s="42" t="s">
        <v>607</v>
      </c>
      <c r="TPZ338" s="42" t="s">
        <v>607</v>
      </c>
      <c r="TQA338" s="42" t="s">
        <v>607</v>
      </c>
      <c r="TQB338" s="42" t="s">
        <v>607</v>
      </c>
      <c r="TQC338" s="42" t="s">
        <v>607</v>
      </c>
      <c r="TQD338" s="42" t="s">
        <v>607</v>
      </c>
      <c r="TQE338" s="42" t="s">
        <v>607</v>
      </c>
      <c r="TQF338" s="42" t="s">
        <v>607</v>
      </c>
      <c r="TQG338" s="42" t="s">
        <v>607</v>
      </c>
      <c r="TQH338" s="42" t="s">
        <v>607</v>
      </c>
      <c r="TQI338" s="42" t="s">
        <v>607</v>
      </c>
      <c r="TQJ338" s="42" t="s">
        <v>607</v>
      </c>
      <c r="TQK338" s="42" t="s">
        <v>607</v>
      </c>
      <c r="TQL338" s="42" t="s">
        <v>607</v>
      </c>
      <c r="TQM338" s="42" t="s">
        <v>607</v>
      </c>
      <c r="TQN338" s="42" t="s">
        <v>607</v>
      </c>
      <c r="TQO338" s="42" t="s">
        <v>607</v>
      </c>
      <c r="TQP338" s="42" t="s">
        <v>607</v>
      </c>
      <c r="TQQ338" s="42" t="s">
        <v>607</v>
      </c>
      <c r="TQR338" s="42" t="s">
        <v>607</v>
      </c>
      <c r="TQS338" s="42" t="s">
        <v>607</v>
      </c>
      <c r="TQT338" s="42" t="s">
        <v>607</v>
      </c>
      <c r="TQU338" s="42" t="s">
        <v>607</v>
      </c>
      <c r="TQV338" s="42" t="s">
        <v>607</v>
      </c>
      <c r="TQW338" s="42" t="s">
        <v>607</v>
      </c>
      <c r="TQX338" s="42" t="s">
        <v>607</v>
      </c>
      <c r="TQY338" s="42" t="s">
        <v>607</v>
      </c>
      <c r="TQZ338" s="42" t="s">
        <v>607</v>
      </c>
      <c r="TRA338" s="42" t="s">
        <v>607</v>
      </c>
      <c r="TRB338" s="42" t="s">
        <v>607</v>
      </c>
      <c r="TRC338" s="42" t="s">
        <v>607</v>
      </c>
      <c r="TRD338" s="42" t="s">
        <v>607</v>
      </c>
      <c r="TRE338" s="42" t="s">
        <v>607</v>
      </c>
      <c r="TRF338" s="42" t="s">
        <v>607</v>
      </c>
      <c r="TRG338" s="42" t="s">
        <v>607</v>
      </c>
      <c r="TRH338" s="42" t="s">
        <v>607</v>
      </c>
      <c r="TRI338" s="42" t="s">
        <v>607</v>
      </c>
      <c r="TRJ338" s="42" t="s">
        <v>607</v>
      </c>
      <c r="TRK338" s="42" t="s">
        <v>607</v>
      </c>
      <c r="TRL338" s="42" t="s">
        <v>607</v>
      </c>
      <c r="TRM338" s="42" t="s">
        <v>607</v>
      </c>
      <c r="TRN338" s="42" t="s">
        <v>607</v>
      </c>
      <c r="TRO338" s="42" t="s">
        <v>607</v>
      </c>
      <c r="TRP338" s="42" t="s">
        <v>607</v>
      </c>
      <c r="TRQ338" s="42" t="s">
        <v>607</v>
      </c>
      <c r="TRR338" s="42" t="s">
        <v>607</v>
      </c>
      <c r="TRS338" s="42" t="s">
        <v>607</v>
      </c>
      <c r="TRT338" s="42" t="s">
        <v>607</v>
      </c>
      <c r="TRU338" s="42" t="s">
        <v>607</v>
      </c>
      <c r="TRV338" s="42" t="s">
        <v>607</v>
      </c>
      <c r="TRW338" s="42" t="s">
        <v>607</v>
      </c>
      <c r="TRX338" s="42" t="s">
        <v>607</v>
      </c>
      <c r="TRY338" s="42" t="s">
        <v>607</v>
      </c>
      <c r="TRZ338" s="42" t="s">
        <v>607</v>
      </c>
      <c r="TSA338" s="42" t="s">
        <v>607</v>
      </c>
      <c r="TSB338" s="42" t="s">
        <v>607</v>
      </c>
      <c r="TSC338" s="42" t="s">
        <v>607</v>
      </c>
      <c r="TSD338" s="42" t="s">
        <v>607</v>
      </c>
      <c r="TSE338" s="42" t="s">
        <v>607</v>
      </c>
      <c r="TSF338" s="42" t="s">
        <v>607</v>
      </c>
      <c r="TSG338" s="42" t="s">
        <v>607</v>
      </c>
      <c r="TSH338" s="42" t="s">
        <v>607</v>
      </c>
      <c r="TSI338" s="42" t="s">
        <v>607</v>
      </c>
      <c r="TSJ338" s="42" t="s">
        <v>607</v>
      </c>
      <c r="TSK338" s="42" t="s">
        <v>607</v>
      </c>
      <c r="TSL338" s="42" t="s">
        <v>607</v>
      </c>
      <c r="TSM338" s="42" t="s">
        <v>607</v>
      </c>
      <c r="TSN338" s="42" t="s">
        <v>607</v>
      </c>
      <c r="TSO338" s="42" t="s">
        <v>607</v>
      </c>
      <c r="TSP338" s="42" t="s">
        <v>607</v>
      </c>
      <c r="TSQ338" s="42" t="s">
        <v>607</v>
      </c>
      <c r="TSR338" s="42" t="s">
        <v>607</v>
      </c>
      <c r="TSS338" s="42" t="s">
        <v>607</v>
      </c>
      <c r="TST338" s="42" t="s">
        <v>607</v>
      </c>
      <c r="TSU338" s="42" t="s">
        <v>607</v>
      </c>
      <c r="TSV338" s="42" t="s">
        <v>607</v>
      </c>
      <c r="TSW338" s="42" t="s">
        <v>607</v>
      </c>
      <c r="TSX338" s="42" t="s">
        <v>607</v>
      </c>
      <c r="TSY338" s="42" t="s">
        <v>607</v>
      </c>
      <c r="TSZ338" s="42" t="s">
        <v>607</v>
      </c>
      <c r="TTA338" s="42" t="s">
        <v>607</v>
      </c>
      <c r="TTB338" s="42" t="s">
        <v>607</v>
      </c>
      <c r="TTC338" s="42" t="s">
        <v>607</v>
      </c>
      <c r="TTD338" s="42" t="s">
        <v>607</v>
      </c>
      <c r="TTE338" s="42" t="s">
        <v>607</v>
      </c>
      <c r="TTF338" s="42" t="s">
        <v>607</v>
      </c>
      <c r="TTG338" s="42" t="s">
        <v>607</v>
      </c>
      <c r="TTH338" s="42" t="s">
        <v>607</v>
      </c>
      <c r="TTI338" s="42" t="s">
        <v>607</v>
      </c>
      <c r="TTJ338" s="42" t="s">
        <v>607</v>
      </c>
      <c r="TTK338" s="42" t="s">
        <v>607</v>
      </c>
      <c r="TTL338" s="42" t="s">
        <v>607</v>
      </c>
      <c r="TTM338" s="42" t="s">
        <v>607</v>
      </c>
      <c r="TTN338" s="42" t="s">
        <v>607</v>
      </c>
      <c r="TTO338" s="42" t="s">
        <v>607</v>
      </c>
      <c r="TTP338" s="42" t="s">
        <v>607</v>
      </c>
      <c r="TTQ338" s="42" t="s">
        <v>607</v>
      </c>
      <c r="TTR338" s="42" t="s">
        <v>607</v>
      </c>
      <c r="TTS338" s="42" t="s">
        <v>607</v>
      </c>
      <c r="TTT338" s="42" t="s">
        <v>607</v>
      </c>
      <c r="TTU338" s="42" t="s">
        <v>607</v>
      </c>
      <c r="TTV338" s="42" t="s">
        <v>607</v>
      </c>
      <c r="TTW338" s="42" t="s">
        <v>607</v>
      </c>
      <c r="TTX338" s="42" t="s">
        <v>607</v>
      </c>
      <c r="TTY338" s="42" t="s">
        <v>607</v>
      </c>
      <c r="TTZ338" s="42" t="s">
        <v>607</v>
      </c>
      <c r="TUA338" s="42" t="s">
        <v>607</v>
      </c>
      <c r="TUB338" s="42" t="s">
        <v>607</v>
      </c>
      <c r="TUC338" s="42" t="s">
        <v>607</v>
      </c>
      <c r="TUD338" s="42" t="s">
        <v>607</v>
      </c>
      <c r="TUE338" s="42" t="s">
        <v>607</v>
      </c>
      <c r="TUF338" s="42" t="s">
        <v>607</v>
      </c>
      <c r="TUG338" s="42" t="s">
        <v>607</v>
      </c>
      <c r="TUH338" s="42" t="s">
        <v>607</v>
      </c>
      <c r="TUI338" s="42" t="s">
        <v>607</v>
      </c>
      <c r="TUJ338" s="42" t="s">
        <v>607</v>
      </c>
      <c r="TUK338" s="42" t="s">
        <v>607</v>
      </c>
      <c r="TUL338" s="42" t="s">
        <v>607</v>
      </c>
      <c r="TUM338" s="42" t="s">
        <v>607</v>
      </c>
      <c r="TUN338" s="42" t="s">
        <v>607</v>
      </c>
      <c r="TUO338" s="42" t="s">
        <v>607</v>
      </c>
      <c r="TUP338" s="42" t="s">
        <v>607</v>
      </c>
      <c r="TUQ338" s="42" t="s">
        <v>607</v>
      </c>
      <c r="TUR338" s="42" t="s">
        <v>607</v>
      </c>
      <c r="TUS338" s="42" t="s">
        <v>607</v>
      </c>
      <c r="TUT338" s="42" t="s">
        <v>607</v>
      </c>
      <c r="TUU338" s="42" t="s">
        <v>607</v>
      </c>
      <c r="TUV338" s="42" t="s">
        <v>607</v>
      </c>
      <c r="TUW338" s="42" t="s">
        <v>607</v>
      </c>
      <c r="TUX338" s="42" t="s">
        <v>607</v>
      </c>
      <c r="TUY338" s="42" t="s">
        <v>607</v>
      </c>
      <c r="TUZ338" s="42" t="s">
        <v>607</v>
      </c>
      <c r="TVA338" s="42" t="s">
        <v>607</v>
      </c>
      <c r="TVB338" s="42" t="s">
        <v>607</v>
      </c>
      <c r="TVC338" s="42" t="s">
        <v>607</v>
      </c>
      <c r="TVD338" s="42" t="s">
        <v>607</v>
      </c>
      <c r="TVE338" s="42" t="s">
        <v>607</v>
      </c>
      <c r="TVF338" s="42" t="s">
        <v>607</v>
      </c>
      <c r="TVG338" s="42" t="s">
        <v>607</v>
      </c>
      <c r="TVH338" s="42" t="s">
        <v>607</v>
      </c>
      <c r="TVI338" s="42" t="s">
        <v>607</v>
      </c>
      <c r="TVJ338" s="42" t="s">
        <v>607</v>
      </c>
      <c r="TVK338" s="42" t="s">
        <v>607</v>
      </c>
      <c r="TVL338" s="42" t="s">
        <v>607</v>
      </c>
      <c r="TVM338" s="42" t="s">
        <v>607</v>
      </c>
      <c r="TVN338" s="42" t="s">
        <v>607</v>
      </c>
      <c r="TVO338" s="42" t="s">
        <v>607</v>
      </c>
      <c r="TVP338" s="42" t="s">
        <v>607</v>
      </c>
      <c r="TVQ338" s="42" t="s">
        <v>607</v>
      </c>
      <c r="TVR338" s="42" t="s">
        <v>607</v>
      </c>
      <c r="TVS338" s="42" t="s">
        <v>607</v>
      </c>
      <c r="TVT338" s="42" t="s">
        <v>607</v>
      </c>
      <c r="TVU338" s="42" t="s">
        <v>607</v>
      </c>
      <c r="TVV338" s="42" t="s">
        <v>607</v>
      </c>
      <c r="TVW338" s="42" t="s">
        <v>607</v>
      </c>
      <c r="TVX338" s="42" t="s">
        <v>607</v>
      </c>
      <c r="TVY338" s="42" t="s">
        <v>607</v>
      </c>
      <c r="TVZ338" s="42" t="s">
        <v>607</v>
      </c>
      <c r="TWA338" s="42" t="s">
        <v>607</v>
      </c>
      <c r="TWB338" s="42" t="s">
        <v>607</v>
      </c>
      <c r="TWC338" s="42" t="s">
        <v>607</v>
      </c>
      <c r="TWD338" s="42" t="s">
        <v>607</v>
      </c>
      <c r="TWE338" s="42" t="s">
        <v>607</v>
      </c>
      <c r="TWF338" s="42" t="s">
        <v>607</v>
      </c>
      <c r="TWG338" s="42" t="s">
        <v>607</v>
      </c>
      <c r="TWH338" s="42" t="s">
        <v>607</v>
      </c>
      <c r="TWI338" s="42" t="s">
        <v>607</v>
      </c>
      <c r="TWJ338" s="42" t="s">
        <v>607</v>
      </c>
      <c r="TWK338" s="42" t="s">
        <v>607</v>
      </c>
      <c r="TWL338" s="42" t="s">
        <v>607</v>
      </c>
      <c r="TWM338" s="42" t="s">
        <v>607</v>
      </c>
      <c r="TWN338" s="42" t="s">
        <v>607</v>
      </c>
      <c r="TWO338" s="42" t="s">
        <v>607</v>
      </c>
      <c r="TWP338" s="42" t="s">
        <v>607</v>
      </c>
      <c r="TWQ338" s="42" t="s">
        <v>607</v>
      </c>
      <c r="TWR338" s="42" t="s">
        <v>607</v>
      </c>
      <c r="TWS338" s="42" t="s">
        <v>607</v>
      </c>
      <c r="TWT338" s="42" t="s">
        <v>607</v>
      </c>
      <c r="TWU338" s="42" t="s">
        <v>607</v>
      </c>
      <c r="TWV338" s="42" t="s">
        <v>607</v>
      </c>
      <c r="TWW338" s="42" t="s">
        <v>607</v>
      </c>
      <c r="TWX338" s="42" t="s">
        <v>607</v>
      </c>
      <c r="TWY338" s="42" t="s">
        <v>607</v>
      </c>
      <c r="TWZ338" s="42" t="s">
        <v>607</v>
      </c>
      <c r="TXA338" s="42" t="s">
        <v>607</v>
      </c>
      <c r="TXB338" s="42" t="s">
        <v>607</v>
      </c>
      <c r="TXC338" s="42" t="s">
        <v>607</v>
      </c>
      <c r="TXD338" s="42" t="s">
        <v>607</v>
      </c>
      <c r="TXE338" s="42" t="s">
        <v>607</v>
      </c>
      <c r="TXF338" s="42" t="s">
        <v>607</v>
      </c>
      <c r="TXG338" s="42" t="s">
        <v>607</v>
      </c>
      <c r="TXH338" s="42" t="s">
        <v>607</v>
      </c>
      <c r="TXI338" s="42" t="s">
        <v>607</v>
      </c>
      <c r="TXJ338" s="42" t="s">
        <v>607</v>
      </c>
      <c r="TXK338" s="42" t="s">
        <v>607</v>
      </c>
      <c r="TXL338" s="42" t="s">
        <v>607</v>
      </c>
      <c r="TXM338" s="42" t="s">
        <v>607</v>
      </c>
      <c r="TXN338" s="42" t="s">
        <v>607</v>
      </c>
      <c r="TXO338" s="42" t="s">
        <v>607</v>
      </c>
      <c r="TXP338" s="42" t="s">
        <v>607</v>
      </c>
      <c r="TXQ338" s="42" t="s">
        <v>607</v>
      </c>
      <c r="TXR338" s="42" t="s">
        <v>607</v>
      </c>
      <c r="TXS338" s="42" t="s">
        <v>607</v>
      </c>
      <c r="TXT338" s="42" t="s">
        <v>607</v>
      </c>
      <c r="TXU338" s="42" t="s">
        <v>607</v>
      </c>
      <c r="TXV338" s="42" t="s">
        <v>607</v>
      </c>
      <c r="TXW338" s="42" t="s">
        <v>607</v>
      </c>
      <c r="TXX338" s="42" t="s">
        <v>607</v>
      </c>
      <c r="TXY338" s="42" t="s">
        <v>607</v>
      </c>
      <c r="TXZ338" s="42" t="s">
        <v>607</v>
      </c>
      <c r="TYA338" s="42" t="s">
        <v>607</v>
      </c>
      <c r="TYB338" s="42" t="s">
        <v>607</v>
      </c>
      <c r="TYC338" s="42" t="s">
        <v>607</v>
      </c>
      <c r="TYD338" s="42" t="s">
        <v>607</v>
      </c>
      <c r="TYE338" s="42" t="s">
        <v>607</v>
      </c>
      <c r="TYF338" s="42" t="s">
        <v>607</v>
      </c>
      <c r="TYG338" s="42" t="s">
        <v>607</v>
      </c>
      <c r="TYH338" s="42" t="s">
        <v>607</v>
      </c>
      <c r="TYI338" s="42" t="s">
        <v>607</v>
      </c>
      <c r="TYJ338" s="42" t="s">
        <v>607</v>
      </c>
      <c r="TYK338" s="42" t="s">
        <v>607</v>
      </c>
      <c r="TYL338" s="42" t="s">
        <v>607</v>
      </c>
      <c r="TYM338" s="42" t="s">
        <v>607</v>
      </c>
      <c r="TYN338" s="42" t="s">
        <v>607</v>
      </c>
      <c r="TYO338" s="42" t="s">
        <v>607</v>
      </c>
      <c r="TYP338" s="42" t="s">
        <v>607</v>
      </c>
      <c r="TYQ338" s="42" t="s">
        <v>607</v>
      </c>
      <c r="TYR338" s="42" t="s">
        <v>607</v>
      </c>
      <c r="TYS338" s="42" t="s">
        <v>607</v>
      </c>
      <c r="TYT338" s="42" t="s">
        <v>607</v>
      </c>
      <c r="TYU338" s="42" t="s">
        <v>607</v>
      </c>
      <c r="TYV338" s="42" t="s">
        <v>607</v>
      </c>
      <c r="TYW338" s="42" t="s">
        <v>607</v>
      </c>
      <c r="TYX338" s="42" t="s">
        <v>607</v>
      </c>
      <c r="TYY338" s="42" t="s">
        <v>607</v>
      </c>
      <c r="TYZ338" s="42" t="s">
        <v>607</v>
      </c>
      <c r="TZA338" s="42" t="s">
        <v>607</v>
      </c>
      <c r="TZB338" s="42" t="s">
        <v>607</v>
      </c>
      <c r="TZC338" s="42" t="s">
        <v>607</v>
      </c>
      <c r="TZD338" s="42" t="s">
        <v>607</v>
      </c>
      <c r="TZE338" s="42" t="s">
        <v>607</v>
      </c>
      <c r="TZF338" s="42" t="s">
        <v>607</v>
      </c>
      <c r="TZG338" s="42" t="s">
        <v>607</v>
      </c>
      <c r="TZH338" s="42" t="s">
        <v>607</v>
      </c>
      <c r="TZI338" s="42" t="s">
        <v>607</v>
      </c>
      <c r="TZJ338" s="42" t="s">
        <v>607</v>
      </c>
      <c r="TZK338" s="42" t="s">
        <v>607</v>
      </c>
      <c r="TZL338" s="42" t="s">
        <v>607</v>
      </c>
      <c r="TZM338" s="42" t="s">
        <v>607</v>
      </c>
      <c r="TZN338" s="42" t="s">
        <v>607</v>
      </c>
      <c r="TZO338" s="42" t="s">
        <v>607</v>
      </c>
      <c r="TZP338" s="42" t="s">
        <v>607</v>
      </c>
      <c r="TZQ338" s="42" t="s">
        <v>607</v>
      </c>
      <c r="TZR338" s="42" t="s">
        <v>607</v>
      </c>
      <c r="TZS338" s="42" t="s">
        <v>607</v>
      </c>
      <c r="TZT338" s="42" t="s">
        <v>607</v>
      </c>
      <c r="TZU338" s="42" t="s">
        <v>607</v>
      </c>
      <c r="TZV338" s="42" t="s">
        <v>607</v>
      </c>
      <c r="TZW338" s="42" t="s">
        <v>607</v>
      </c>
      <c r="TZX338" s="42" t="s">
        <v>607</v>
      </c>
      <c r="TZY338" s="42" t="s">
        <v>607</v>
      </c>
      <c r="TZZ338" s="42" t="s">
        <v>607</v>
      </c>
      <c r="UAA338" s="42" t="s">
        <v>607</v>
      </c>
      <c r="UAB338" s="42" t="s">
        <v>607</v>
      </c>
      <c r="UAC338" s="42" t="s">
        <v>607</v>
      </c>
      <c r="UAD338" s="42" t="s">
        <v>607</v>
      </c>
      <c r="UAE338" s="42" t="s">
        <v>607</v>
      </c>
      <c r="UAF338" s="42" t="s">
        <v>607</v>
      </c>
      <c r="UAG338" s="42" t="s">
        <v>607</v>
      </c>
      <c r="UAH338" s="42" t="s">
        <v>607</v>
      </c>
      <c r="UAI338" s="42" t="s">
        <v>607</v>
      </c>
      <c r="UAJ338" s="42" t="s">
        <v>607</v>
      </c>
      <c r="UAK338" s="42" t="s">
        <v>607</v>
      </c>
      <c r="UAL338" s="42" t="s">
        <v>607</v>
      </c>
      <c r="UAM338" s="42" t="s">
        <v>607</v>
      </c>
      <c r="UAN338" s="42" t="s">
        <v>607</v>
      </c>
      <c r="UAO338" s="42" t="s">
        <v>607</v>
      </c>
      <c r="UAP338" s="42" t="s">
        <v>607</v>
      </c>
      <c r="UAQ338" s="42" t="s">
        <v>607</v>
      </c>
      <c r="UAR338" s="42" t="s">
        <v>607</v>
      </c>
      <c r="UAS338" s="42" t="s">
        <v>607</v>
      </c>
      <c r="UAT338" s="42" t="s">
        <v>607</v>
      </c>
      <c r="UAU338" s="42" t="s">
        <v>607</v>
      </c>
      <c r="UAV338" s="42" t="s">
        <v>607</v>
      </c>
      <c r="UAW338" s="42" t="s">
        <v>607</v>
      </c>
      <c r="UAX338" s="42" t="s">
        <v>607</v>
      </c>
      <c r="UAY338" s="42" t="s">
        <v>607</v>
      </c>
      <c r="UAZ338" s="42" t="s">
        <v>607</v>
      </c>
      <c r="UBA338" s="42" t="s">
        <v>607</v>
      </c>
      <c r="UBB338" s="42" t="s">
        <v>607</v>
      </c>
      <c r="UBC338" s="42" t="s">
        <v>607</v>
      </c>
      <c r="UBD338" s="42" t="s">
        <v>607</v>
      </c>
      <c r="UBE338" s="42" t="s">
        <v>607</v>
      </c>
      <c r="UBF338" s="42" t="s">
        <v>607</v>
      </c>
      <c r="UBG338" s="42" t="s">
        <v>607</v>
      </c>
      <c r="UBH338" s="42" t="s">
        <v>607</v>
      </c>
      <c r="UBI338" s="42" t="s">
        <v>607</v>
      </c>
      <c r="UBJ338" s="42" t="s">
        <v>607</v>
      </c>
      <c r="UBK338" s="42" t="s">
        <v>607</v>
      </c>
      <c r="UBL338" s="42" t="s">
        <v>607</v>
      </c>
      <c r="UBM338" s="42" t="s">
        <v>607</v>
      </c>
      <c r="UBN338" s="42" t="s">
        <v>607</v>
      </c>
      <c r="UBO338" s="42" t="s">
        <v>607</v>
      </c>
      <c r="UBP338" s="42" t="s">
        <v>607</v>
      </c>
      <c r="UBQ338" s="42" t="s">
        <v>607</v>
      </c>
      <c r="UBR338" s="42" t="s">
        <v>607</v>
      </c>
      <c r="UBS338" s="42" t="s">
        <v>607</v>
      </c>
      <c r="UBT338" s="42" t="s">
        <v>607</v>
      </c>
      <c r="UBU338" s="42" t="s">
        <v>607</v>
      </c>
      <c r="UBV338" s="42" t="s">
        <v>607</v>
      </c>
      <c r="UBW338" s="42" t="s">
        <v>607</v>
      </c>
      <c r="UBX338" s="42" t="s">
        <v>607</v>
      </c>
      <c r="UBY338" s="42" t="s">
        <v>607</v>
      </c>
      <c r="UBZ338" s="42" t="s">
        <v>607</v>
      </c>
      <c r="UCA338" s="42" t="s">
        <v>607</v>
      </c>
      <c r="UCB338" s="42" t="s">
        <v>607</v>
      </c>
      <c r="UCC338" s="42" t="s">
        <v>607</v>
      </c>
      <c r="UCD338" s="42" t="s">
        <v>607</v>
      </c>
      <c r="UCE338" s="42" t="s">
        <v>607</v>
      </c>
      <c r="UCF338" s="42" t="s">
        <v>607</v>
      </c>
      <c r="UCG338" s="42" t="s">
        <v>607</v>
      </c>
      <c r="UCH338" s="42" t="s">
        <v>607</v>
      </c>
      <c r="UCI338" s="42" t="s">
        <v>607</v>
      </c>
      <c r="UCJ338" s="42" t="s">
        <v>607</v>
      </c>
      <c r="UCK338" s="42" t="s">
        <v>607</v>
      </c>
      <c r="UCL338" s="42" t="s">
        <v>607</v>
      </c>
      <c r="UCM338" s="42" t="s">
        <v>607</v>
      </c>
      <c r="UCN338" s="42" t="s">
        <v>607</v>
      </c>
      <c r="UCO338" s="42" t="s">
        <v>607</v>
      </c>
      <c r="UCP338" s="42" t="s">
        <v>607</v>
      </c>
      <c r="UCQ338" s="42" t="s">
        <v>607</v>
      </c>
      <c r="UCR338" s="42" t="s">
        <v>607</v>
      </c>
      <c r="UCS338" s="42" t="s">
        <v>607</v>
      </c>
      <c r="UCT338" s="42" t="s">
        <v>607</v>
      </c>
      <c r="UCU338" s="42" t="s">
        <v>607</v>
      </c>
      <c r="UCV338" s="42" t="s">
        <v>607</v>
      </c>
      <c r="UCW338" s="42" t="s">
        <v>607</v>
      </c>
      <c r="UCX338" s="42" t="s">
        <v>607</v>
      </c>
      <c r="UCY338" s="42" t="s">
        <v>607</v>
      </c>
      <c r="UCZ338" s="42" t="s">
        <v>607</v>
      </c>
      <c r="UDA338" s="42" t="s">
        <v>607</v>
      </c>
      <c r="UDB338" s="42" t="s">
        <v>607</v>
      </c>
      <c r="UDC338" s="42" t="s">
        <v>607</v>
      </c>
      <c r="UDD338" s="42" t="s">
        <v>607</v>
      </c>
      <c r="UDE338" s="42" t="s">
        <v>607</v>
      </c>
      <c r="UDF338" s="42" t="s">
        <v>607</v>
      </c>
      <c r="UDG338" s="42" t="s">
        <v>607</v>
      </c>
      <c r="UDH338" s="42" t="s">
        <v>607</v>
      </c>
      <c r="UDI338" s="42" t="s">
        <v>607</v>
      </c>
      <c r="UDJ338" s="42" t="s">
        <v>607</v>
      </c>
      <c r="UDK338" s="42" t="s">
        <v>607</v>
      </c>
      <c r="UDL338" s="42" t="s">
        <v>607</v>
      </c>
      <c r="UDM338" s="42" t="s">
        <v>607</v>
      </c>
      <c r="UDN338" s="42" t="s">
        <v>607</v>
      </c>
      <c r="UDO338" s="42" t="s">
        <v>607</v>
      </c>
      <c r="UDP338" s="42" t="s">
        <v>607</v>
      </c>
      <c r="UDQ338" s="42" t="s">
        <v>607</v>
      </c>
      <c r="UDR338" s="42" t="s">
        <v>607</v>
      </c>
      <c r="UDS338" s="42" t="s">
        <v>607</v>
      </c>
      <c r="UDT338" s="42" t="s">
        <v>607</v>
      </c>
      <c r="UDU338" s="42" t="s">
        <v>607</v>
      </c>
      <c r="UDV338" s="42" t="s">
        <v>607</v>
      </c>
      <c r="UDW338" s="42" t="s">
        <v>607</v>
      </c>
      <c r="UDX338" s="42" t="s">
        <v>607</v>
      </c>
      <c r="UDY338" s="42" t="s">
        <v>607</v>
      </c>
      <c r="UDZ338" s="42" t="s">
        <v>607</v>
      </c>
      <c r="UEA338" s="42" t="s">
        <v>607</v>
      </c>
      <c r="UEB338" s="42" t="s">
        <v>607</v>
      </c>
      <c r="UEC338" s="42" t="s">
        <v>607</v>
      </c>
      <c r="UED338" s="42" t="s">
        <v>607</v>
      </c>
      <c r="UEE338" s="42" t="s">
        <v>607</v>
      </c>
      <c r="UEF338" s="42" t="s">
        <v>607</v>
      </c>
      <c r="UEG338" s="42" t="s">
        <v>607</v>
      </c>
      <c r="UEH338" s="42" t="s">
        <v>607</v>
      </c>
      <c r="UEI338" s="42" t="s">
        <v>607</v>
      </c>
      <c r="UEJ338" s="42" t="s">
        <v>607</v>
      </c>
      <c r="UEK338" s="42" t="s">
        <v>607</v>
      </c>
      <c r="UEL338" s="42" t="s">
        <v>607</v>
      </c>
      <c r="UEM338" s="42" t="s">
        <v>607</v>
      </c>
      <c r="UEN338" s="42" t="s">
        <v>607</v>
      </c>
      <c r="UEO338" s="42" t="s">
        <v>607</v>
      </c>
      <c r="UEP338" s="42" t="s">
        <v>607</v>
      </c>
      <c r="UEQ338" s="42" t="s">
        <v>607</v>
      </c>
      <c r="UER338" s="42" t="s">
        <v>607</v>
      </c>
      <c r="UES338" s="42" t="s">
        <v>607</v>
      </c>
      <c r="UET338" s="42" t="s">
        <v>607</v>
      </c>
      <c r="UEU338" s="42" t="s">
        <v>607</v>
      </c>
      <c r="UEV338" s="42" t="s">
        <v>607</v>
      </c>
      <c r="UEW338" s="42" t="s">
        <v>607</v>
      </c>
      <c r="UEX338" s="42" t="s">
        <v>607</v>
      </c>
      <c r="UEY338" s="42" t="s">
        <v>607</v>
      </c>
      <c r="UEZ338" s="42" t="s">
        <v>607</v>
      </c>
      <c r="UFA338" s="42" t="s">
        <v>607</v>
      </c>
      <c r="UFB338" s="42" t="s">
        <v>607</v>
      </c>
      <c r="UFC338" s="42" t="s">
        <v>607</v>
      </c>
      <c r="UFD338" s="42" t="s">
        <v>607</v>
      </c>
      <c r="UFE338" s="42" t="s">
        <v>607</v>
      </c>
      <c r="UFF338" s="42" t="s">
        <v>607</v>
      </c>
      <c r="UFG338" s="42" t="s">
        <v>607</v>
      </c>
      <c r="UFH338" s="42" t="s">
        <v>607</v>
      </c>
      <c r="UFI338" s="42" t="s">
        <v>607</v>
      </c>
      <c r="UFJ338" s="42" t="s">
        <v>607</v>
      </c>
      <c r="UFK338" s="42" t="s">
        <v>607</v>
      </c>
      <c r="UFL338" s="42" t="s">
        <v>607</v>
      </c>
      <c r="UFM338" s="42" t="s">
        <v>607</v>
      </c>
      <c r="UFN338" s="42" t="s">
        <v>607</v>
      </c>
      <c r="UFO338" s="42" t="s">
        <v>607</v>
      </c>
      <c r="UFP338" s="42" t="s">
        <v>607</v>
      </c>
      <c r="UFQ338" s="42" t="s">
        <v>607</v>
      </c>
      <c r="UFR338" s="42" t="s">
        <v>607</v>
      </c>
      <c r="UFS338" s="42" t="s">
        <v>607</v>
      </c>
      <c r="UFT338" s="42" t="s">
        <v>607</v>
      </c>
      <c r="UFU338" s="42" t="s">
        <v>607</v>
      </c>
      <c r="UFV338" s="42" t="s">
        <v>607</v>
      </c>
      <c r="UFW338" s="42" t="s">
        <v>607</v>
      </c>
      <c r="UFX338" s="42" t="s">
        <v>607</v>
      </c>
      <c r="UFY338" s="42" t="s">
        <v>607</v>
      </c>
      <c r="UFZ338" s="42" t="s">
        <v>607</v>
      </c>
      <c r="UGA338" s="42" t="s">
        <v>607</v>
      </c>
      <c r="UGB338" s="42" t="s">
        <v>607</v>
      </c>
      <c r="UGC338" s="42" t="s">
        <v>607</v>
      </c>
      <c r="UGD338" s="42" t="s">
        <v>607</v>
      </c>
      <c r="UGE338" s="42" t="s">
        <v>607</v>
      </c>
      <c r="UGF338" s="42" t="s">
        <v>607</v>
      </c>
      <c r="UGG338" s="42" t="s">
        <v>607</v>
      </c>
      <c r="UGH338" s="42" t="s">
        <v>607</v>
      </c>
      <c r="UGI338" s="42" t="s">
        <v>607</v>
      </c>
      <c r="UGJ338" s="42" t="s">
        <v>607</v>
      </c>
      <c r="UGK338" s="42" t="s">
        <v>607</v>
      </c>
      <c r="UGL338" s="42" t="s">
        <v>607</v>
      </c>
      <c r="UGM338" s="42" t="s">
        <v>607</v>
      </c>
      <c r="UGN338" s="42" t="s">
        <v>607</v>
      </c>
      <c r="UGO338" s="42" t="s">
        <v>607</v>
      </c>
      <c r="UGP338" s="42" t="s">
        <v>607</v>
      </c>
      <c r="UGQ338" s="42" t="s">
        <v>607</v>
      </c>
      <c r="UGR338" s="42" t="s">
        <v>607</v>
      </c>
      <c r="UGS338" s="42" t="s">
        <v>607</v>
      </c>
      <c r="UGT338" s="42" t="s">
        <v>607</v>
      </c>
      <c r="UGU338" s="42" t="s">
        <v>607</v>
      </c>
      <c r="UGV338" s="42" t="s">
        <v>607</v>
      </c>
      <c r="UGW338" s="42" t="s">
        <v>607</v>
      </c>
      <c r="UGX338" s="42" t="s">
        <v>607</v>
      </c>
      <c r="UGY338" s="42" t="s">
        <v>607</v>
      </c>
      <c r="UGZ338" s="42" t="s">
        <v>607</v>
      </c>
      <c r="UHA338" s="42" t="s">
        <v>607</v>
      </c>
      <c r="UHB338" s="42" t="s">
        <v>607</v>
      </c>
      <c r="UHC338" s="42" t="s">
        <v>607</v>
      </c>
      <c r="UHD338" s="42" t="s">
        <v>607</v>
      </c>
      <c r="UHE338" s="42" t="s">
        <v>607</v>
      </c>
      <c r="UHF338" s="42" t="s">
        <v>607</v>
      </c>
      <c r="UHG338" s="42" t="s">
        <v>607</v>
      </c>
      <c r="UHH338" s="42" t="s">
        <v>607</v>
      </c>
      <c r="UHI338" s="42" t="s">
        <v>607</v>
      </c>
      <c r="UHJ338" s="42" t="s">
        <v>607</v>
      </c>
      <c r="UHK338" s="42" t="s">
        <v>607</v>
      </c>
      <c r="UHL338" s="42" t="s">
        <v>607</v>
      </c>
      <c r="UHM338" s="42" t="s">
        <v>607</v>
      </c>
      <c r="UHN338" s="42" t="s">
        <v>607</v>
      </c>
      <c r="UHO338" s="42" t="s">
        <v>607</v>
      </c>
      <c r="UHP338" s="42" t="s">
        <v>607</v>
      </c>
      <c r="UHQ338" s="42" t="s">
        <v>607</v>
      </c>
      <c r="UHR338" s="42" t="s">
        <v>607</v>
      </c>
      <c r="UHS338" s="42" t="s">
        <v>607</v>
      </c>
      <c r="UHT338" s="42" t="s">
        <v>607</v>
      </c>
      <c r="UHU338" s="42" t="s">
        <v>607</v>
      </c>
      <c r="UHV338" s="42" t="s">
        <v>607</v>
      </c>
      <c r="UHW338" s="42" t="s">
        <v>607</v>
      </c>
      <c r="UHX338" s="42" t="s">
        <v>607</v>
      </c>
      <c r="UHY338" s="42" t="s">
        <v>607</v>
      </c>
      <c r="UHZ338" s="42" t="s">
        <v>607</v>
      </c>
      <c r="UIA338" s="42" t="s">
        <v>607</v>
      </c>
      <c r="UIB338" s="42" t="s">
        <v>607</v>
      </c>
      <c r="UIC338" s="42" t="s">
        <v>607</v>
      </c>
      <c r="UID338" s="42" t="s">
        <v>607</v>
      </c>
      <c r="UIE338" s="42" t="s">
        <v>607</v>
      </c>
      <c r="UIF338" s="42" t="s">
        <v>607</v>
      </c>
      <c r="UIG338" s="42" t="s">
        <v>607</v>
      </c>
      <c r="UIH338" s="42" t="s">
        <v>607</v>
      </c>
      <c r="UII338" s="42" t="s">
        <v>607</v>
      </c>
      <c r="UIJ338" s="42" t="s">
        <v>607</v>
      </c>
      <c r="UIK338" s="42" t="s">
        <v>607</v>
      </c>
      <c r="UIL338" s="42" t="s">
        <v>607</v>
      </c>
      <c r="UIM338" s="42" t="s">
        <v>607</v>
      </c>
      <c r="UIN338" s="42" t="s">
        <v>607</v>
      </c>
      <c r="UIO338" s="42" t="s">
        <v>607</v>
      </c>
      <c r="UIP338" s="42" t="s">
        <v>607</v>
      </c>
      <c r="UIQ338" s="42" t="s">
        <v>607</v>
      </c>
      <c r="UIR338" s="42" t="s">
        <v>607</v>
      </c>
      <c r="UIS338" s="42" t="s">
        <v>607</v>
      </c>
      <c r="UIT338" s="42" t="s">
        <v>607</v>
      </c>
      <c r="UIU338" s="42" t="s">
        <v>607</v>
      </c>
      <c r="UIV338" s="42" t="s">
        <v>607</v>
      </c>
      <c r="UIW338" s="42" t="s">
        <v>607</v>
      </c>
      <c r="UIX338" s="42" t="s">
        <v>607</v>
      </c>
      <c r="UIY338" s="42" t="s">
        <v>607</v>
      </c>
      <c r="UIZ338" s="42" t="s">
        <v>607</v>
      </c>
      <c r="UJA338" s="42" t="s">
        <v>607</v>
      </c>
      <c r="UJB338" s="42" t="s">
        <v>607</v>
      </c>
      <c r="UJC338" s="42" t="s">
        <v>607</v>
      </c>
      <c r="UJD338" s="42" t="s">
        <v>607</v>
      </c>
      <c r="UJE338" s="42" t="s">
        <v>607</v>
      </c>
      <c r="UJF338" s="42" t="s">
        <v>607</v>
      </c>
      <c r="UJG338" s="42" t="s">
        <v>607</v>
      </c>
      <c r="UJH338" s="42" t="s">
        <v>607</v>
      </c>
      <c r="UJI338" s="42" t="s">
        <v>607</v>
      </c>
      <c r="UJJ338" s="42" t="s">
        <v>607</v>
      </c>
      <c r="UJK338" s="42" t="s">
        <v>607</v>
      </c>
      <c r="UJL338" s="42" t="s">
        <v>607</v>
      </c>
      <c r="UJM338" s="42" t="s">
        <v>607</v>
      </c>
      <c r="UJN338" s="42" t="s">
        <v>607</v>
      </c>
      <c r="UJO338" s="42" t="s">
        <v>607</v>
      </c>
      <c r="UJP338" s="42" t="s">
        <v>607</v>
      </c>
      <c r="UJQ338" s="42" t="s">
        <v>607</v>
      </c>
      <c r="UJR338" s="42" t="s">
        <v>607</v>
      </c>
      <c r="UJS338" s="42" t="s">
        <v>607</v>
      </c>
      <c r="UJT338" s="42" t="s">
        <v>607</v>
      </c>
      <c r="UJU338" s="42" t="s">
        <v>607</v>
      </c>
      <c r="UJV338" s="42" t="s">
        <v>607</v>
      </c>
      <c r="UJW338" s="42" t="s">
        <v>607</v>
      </c>
      <c r="UJX338" s="42" t="s">
        <v>607</v>
      </c>
      <c r="UJY338" s="42" t="s">
        <v>607</v>
      </c>
      <c r="UJZ338" s="42" t="s">
        <v>607</v>
      </c>
      <c r="UKA338" s="42" t="s">
        <v>607</v>
      </c>
      <c r="UKB338" s="42" t="s">
        <v>607</v>
      </c>
      <c r="UKC338" s="42" t="s">
        <v>607</v>
      </c>
      <c r="UKD338" s="42" t="s">
        <v>607</v>
      </c>
      <c r="UKE338" s="42" t="s">
        <v>607</v>
      </c>
      <c r="UKF338" s="42" t="s">
        <v>607</v>
      </c>
      <c r="UKG338" s="42" t="s">
        <v>607</v>
      </c>
      <c r="UKH338" s="42" t="s">
        <v>607</v>
      </c>
      <c r="UKI338" s="42" t="s">
        <v>607</v>
      </c>
      <c r="UKJ338" s="42" t="s">
        <v>607</v>
      </c>
      <c r="UKK338" s="42" t="s">
        <v>607</v>
      </c>
      <c r="UKL338" s="42" t="s">
        <v>607</v>
      </c>
      <c r="UKM338" s="42" t="s">
        <v>607</v>
      </c>
      <c r="UKN338" s="42" t="s">
        <v>607</v>
      </c>
      <c r="UKO338" s="42" t="s">
        <v>607</v>
      </c>
      <c r="UKP338" s="42" t="s">
        <v>607</v>
      </c>
      <c r="UKQ338" s="42" t="s">
        <v>607</v>
      </c>
      <c r="UKR338" s="42" t="s">
        <v>607</v>
      </c>
      <c r="UKS338" s="42" t="s">
        <v>607</v>
      </c>
      <c r="UKT338" s="42" t="s">
        <v>607</v>
      </c>
      <c r="UKU338" s="42" t="s">
        <v>607</v>
      </c>
      <c r="UKV338" s="42" t="s">
        <v>607</v>
      </c>
      <c r="UKW338" s="42" t="s">
        <v>607</v>
      </c>
      <c r="UKX338" s="42" t="s">
        <v>607</v>
      </c>
      <c r="UKY338" s="42" t="s">
        <v>607</v>
      </c>
      <c r="UKZ338" s="42" t="s">
        <v>607</v>
      </c>
      <c r="ULA338" s="42" t="s">
        <v>607</v>
      </c>
      <c r="ULB338" s="42" t="s">
        <v>607</v>
      </c>
      <c r="ULC338" s="42" t="s">
        <v>607</v>
      </c>
      <c r="ULD338" s="42" t="s">
        <v>607</v>
      </c>
      <c r="ULE338" s="42" t="s">
        <v>607</v>
      </c>
      <c r="ULF338" s="42" t="s">
        <v>607</v>
      </c>
      <c r="ULG338" s="42" t="s">
        <v>607</v>
      </c>
      <c r="ULH338" s="42" t="s">
        <v>607</v>
      </c>
      <c r="ULI338" s="42" t="s">
        <v>607</v>
      </c>
      <c r="ULJ338" s="42" t="s">
        <v>607</v>
      </c>
      <c r="ULK338" s="42" t="s">
        <v>607</v>
      </c>
      <c r="ULL338" s="42" t="s">
        <v>607</v>
      </c>
      <c r="ULM338" s="42" t="s">
        <v>607</v>
      </c>
      <c r="ULN338" s="42" t="s">
        <v>607</v>
      </c>
      <c r="ULO338" s="42" t="s">
        <v>607</v>
      </c>
      <c r="ULP338" s="42" t="s">
        <v>607</v>
      </c>
      <c r="ULQ338" s="42" t="s">
        <v>607</v>
      </c>
      <c r="ULR338" s="42" t="s">
        <v>607</v>
      </c>
      <c r="ULS338" s="42" t="s">
        <v>607</v>
      </c>
      <c r="ULT338" s="42" t="s">
        <v>607</v>
      </c>
      <c r="ULU338" s="42" t="s">
        <v>607</v>
      </c>
      <c r="ULV338" s="42" t="s">
        <v>607</v>
      </c>
      <c r="ULW338" s="42" t="s">
        <v>607</v>
      </c>
      <c r="ULX338" s="42" t="s">
        <v>607</v>
      </c>
      <c r="ULY338" s="42" t="s">
        <v>607</v>
      </c>
      <c r="ULZ338" s="42" t="s">
        <v>607</v>
      </c>
      <c r="UMA338" s="42" t="s">
        <v>607</v>
      </c>
      <c r="UMB338" s="42" t="s">
        <v>607</v>
      </c>
      <c r="UMC338" s="42" t="s">
        <v>607</v>
      </c>
      <c r="UMD338" s="42" t="s">
        <v>607</v>
      </c>
      <c r="UME338" s="42" t="s">
        <v>607</v>
      </c>
      <c r="UMF338" s="42" t="s">
        <v>607</v>
      </c>
      <c r="UMG338" s="42" t="s">
        <v>607</v>
      </c>
      <c r="UMH338" s="42" t="s">
        <v>607</v>
      </c>
      <c r="UMI338" s="42" t="s">
        <v>607</v>
      </c>
      <c r="UMJ338" s="42" t="s">
        <v>607</v>
      </c>
      <c r="UMK338" s="42" t="s">
        <v>607</v>
      </c>
      <c r="UML338" s="42" t="s">
        <v>607</v>
      </c>
      <c r="UMM338" s="42" t="s">
        <v>607</v>
      </c>
      <c r="UMN338" s="42" t="s">
        <v>607</v>
      </c>
      <c r="UMO338" s="42" t="s">
        <v>607</v>
      </c>
      <c r="UMP338" s="42" t="s">
        <v>607</v>
      </c>
      <c r="UMQ338" s="42" t="s">
        <v>607</v>
      </c>
      <c r="UMR338" s="42" t="s">
        <v>607</v>
      </c>
      <c r="UMS338" s="42" t="s">
        <v>607</v>
      </c>
      <c r="UMT338" s="42" t="s">
        <v>607</v>
      </c>
      <c r="UMU338" s="42" t="s">
        <v>607</v>
      </c>
      <c r="UMV338" s="42" t="s">
        <v>607</v>
      </c>
      <c r="UMW338" s="42" t="s">
        <v>607</v>
      </c>
      <c r="UMX338" s="42" t="s">
        <v>607</v>
      </c>
      <c r="UMY338" s="42" t="s">
        <v>607</v>
      </c>
      <c r="UMZ338" s="42" t="s">
        <v>607</v>
      </c>
      <c r="UNA338" s="42" t="s">
        <v>607</v>
      </c>
      <c r="UNB338" s="42" t="s">
        <v>607</v>
      </c>
      <c r="UNC338" s="42" t="s">
        <v>607</v>
      </c>
      <c r="UND338" s="42" t="s">
        <v>607</v>
      </c>
      <c r="UNE338" s="42" t="s">
        <v>607</v>
      </c>
      <c r="UNF338" s="42" t="s">
        <v>607</v>
      </c>
      <c r="UNG338" s="42" t="s">
        <v>607</v>
      </c>
      <c r="UNH338" s="42" t="s">
        <v>607</v>
      </c>
      <c r="UNI338" s="42" t="s">
        <v>607</v>
      </c>
      <c r="UNJ338" s="42" t="s">
        <v>607</v>
      </c>
      <c r="UNK338" s="42" t="s">
        <v>607</v>
      </c>
      <c r="UNL338" s="42" t="s">
        <v>607</v>
      </c>
      <c r="UNM338" s="42" t="s">
        <v>607</v>
      </c>
      <c r="UNN338" s="42" t="s">
        <v>607</v>
      </c>
      <c r="UNO338" s="42" t="s">
        <v>607</v>
      </c>
      <c r="UNP338" s="42" t="s">
        <v>607</v>
      </c>
      <c r="UNQ338" s="42" t="s">
        <v>607</v>
      </c>
      <c r="UNR338" s="42" t="s">
        <v>607</v>
      </c>
      <c r="UNS338" s="42" t="s">
        <v>607</v>
      </c>
      <c r="UNT338" s="42" t="s">
        <v>607</v>
      </c>
      <c r="UNU338" s="42" t="s">
        <v>607</v>
      </c>
      <c r="UNV338" s="42" t="s">
        <v>607</v>
      </c>
      <c r="UNW338" s="42" t="s">
        <v>607</v>
      </c>
      <c r="UNX338" s="42" t="s">
        <v>607</v>
      </c>
      <c r="UNY338" s="42" t="s">
        <v>607</v>
      </c>
      <c r="UNZ338" s="42" t="s">
        <v>607</v>
      </c>
      <c r="UOA338" s="42" t="s">
        <v>607</v>
      </c>
      <c r="UOB338" s="42" t="s">
        <v>607</v>
      </c>
      <c r="UOC338" s="42" t="s">
        <v>607</v>
      </c>
      <c r="UOD338" s="42" t="s">
        <v>607</v>
      </c>
      <c r="UOE338" s="42" t="s">
        <v>607</v>
      </c>
      <c r="UOF338" s="42" t="s">
        <v>607</v>
      </c>
      <c r="UOG338" s="42" t="s">
        <v>607</v>
      </c>
      <c r="UOH338" s="42" t="s">
        <v>607</v>
      </c>
      <c r="UOI338" s="42" t="s">
        <v>607</v>
      </c>
      <c r="UOJ338" s="42" t="s">
        <v>607</v>
      </c>
      <c r="UOK338" s="42" t="s">
        <v>607</v>
      </c>
      <c r="UOL338" s="42" t="s">
        <v>607</v>
      </c>
      <c r="UOM338" s="42" t="s">
        <v>607</v>
      </c>
      <c r="UON338" s="42" t="s">
        <v>607</v>
      </c>
      <c r="UOO338" s="42" t="s">
        <v>607</v>
      </c>
      <c r="UOP338" s="42" t="s">
        <v>607</v>
      </c>
      <c r="UOQ338" s="42" t="s">
        <v>607</v>
      </c>
      <c r="UOR338" s="42" t="s">
        <v>607</v>
      </c>
      <c r="UOS338" s="42" t="s">
        <v>607</v>
      </c>
      <c r="UOT338" s="42" t="s">
        <v>607</v>
      </c>
      <c r="UOU338" s="42" t="s">
        <v>607</v>
      </c>
      <c r="UOV338" s="42" t="s">
        <v>607</v>
      </c>
      <c r="UOW338" s="42" t="s">
        <v>607</v>
      </c>
      <c r="UOX338" s="42" t="s">
        <v>607</v>
      </c>
      <c r="UOY338" s="42" t="s">
        <v>607</v>
      </c>
      <c r="UOZ338" s="42" t="s">
        <v>607</v>
      </c>
      <c r="UPA338" s="42" t="s">
        <v>607</v>
      </c>
      <c r="UPB338" s="42" t="s">
        <v>607</v>
      </c>
      <c r="UPC338" s="42" t="s">
        <v>607</v>
      </c>
      <c r="UPD338" s="42" t="s">
        <v>607</v>
      </c>
      <c r="UPE338" s="42" t="s">
        <v>607</v>
      </c>
      <c r="UPF338" s="42" t="s">
        <v>607</v>
      </c>
      <c r="UPG338" s="42" t="s">
        <v>607</v>
      </c>
      <c r="UPH338" s="42" t="s">
        <v>607</v>
      </c>
      <c r="UPI338" s="42" t="s">
        <v>607</v>
      </c>
      <c r="UPJ338" s="42" t="s">
        <v>607</v>
      </c>
      <c r="UPK338" s="42" t="s">
        <v>607</v>
      </c>
      <c r="UPL338" s="42" t="s">
        <v>607</v>
      </c>
      <c r="UPM338" s="42" t="s">
        <v>607</v>
      </c>
      <c r="UPN338" s="42" t="s">
        <v>607</v>
      </c>
      <c r="UPO338" s="42" t="s">
        <v>607</v>
      </c>
      <c r="UPP338" s="42" t="s">
        <v>607</v>
      </c>
      <c r="UPQ338" s="42" t="s">
        <v>607</v>
      </c>
      <c r="UPR338" s="42" t="s">
        <v>607</v>
      </c>
      <c r="UPS338" s="42" t="s">
        <v>607</v>
      </c>
      <c r="UPT338" s="42" t="s">
        <v>607</v>
      </c>
      <c r="UPU338" s="42" t="s">
        <v>607</v>
      </c>
      <c r="UPV338" s="42" t="s">
        <v>607</v>
      </c>
      <c r="UPW338" s="42" t="s">
        <v>607</v>
      </c>
      <c r="UPX338" s="42" t="s">
        <v>607</v>
      </c>
      <c r="UPY338" s="42" t="s">
        <v>607</v>
      </c>
      <c r="UPZ338" s="42" t="s">
        <v>607</v>
      </c>
      <c r="UQA338" s="42" t="s">
        <v>607</v>
      </c>
      <c r="UQB338" s="42" t="s">
        <v>607</v>
      </c>
      <c r="UQC338" s="42" t="s">
        <v>607</v>
      </c>
      <c r="UQD338" s="42" t="s">
        <v>607</v>
      </c>
      <c r="UQE338" s="42" t="s">
        <v>607</v>
      </c>
      <c r="UQF338" s="42" t="s">
        <v>607</v>
      </c>
      <c r="UQG338" s="42" t="s">
        <v>607</v>
      </c>
      <c r="UQH338" s="42" t="s">
        <v>607</v>
      </c>
      <c r="UQI338" s="42" t="s">
        <v>607</v>
      </c>
      <c r="UQJ338" s="42" t="s">
        <v>607</v>
      </c>
      <c r="UQK338" s="42" t="s">
        <v>607</v>
      </c>
      <c r="UQL338" s="42" t="s">
        <v>607</v>
      </c>
      <c r="UQM338" s="42" t="s">
        <v>607</v>
      </c>
      <c r="UQN338" s="42" t="s">
        <v>607</v>
      </c>
      <c r="UQO338" s="42" t="s">
        <v>607</v>
      </c>
      <c r="UQP338" s="42" t="s">
        <v>607</v>
      </c>
      <c r="UQQ338" s="42" t="s">
        <v>607</v>
      </c>
      <c r="UQR338" s="42" t="s">
        <v>607</v>
      </c>
      <c r="UQS338" s="42" t="s">
        <v>607</v>
      </c>
      <c r="UQT338" s="42" t="s">
        <v>607</v>
      </c>
      <c r="UQU338" s="42" t="s">
        <v>607</v>
      </c>
      <c r="UQV338" s="42" t="s">
        <v>607</v>
      </c>
      <c r="UQW338" s="42" t="s">
        <v>607</v>
      </c>
      <c r="UQX338" s="42" t="s">
        <v>607</v>
      </c>
      <c r="UQY338" s="42" t="s">
        <v>607</v>
      </c>
      <c r="UQZ338" s="42" t="s">
        <v>607</v>
      </c>
      <c r="URA338" s="42" t="s">
        <v>607</v>
      </c>
      <c r="URB338" s="42" t="s">
        <v>607</v>
      </c>
      <c r="URC338" s="42" t="s">
        <v>607</v>
      </c>
      <c r="URD338" s="42" t="s">
        <v>607</v>
      </c>
      <c r="URE338" s="42" t="s">
        <v>607</v>
      </c>
      <c r="URF338" s="42" t="s">
        <v>607</v>
      </c>
      <c r="URG338" s="42" t="s">
        <v>607</v>
      </c>
      <c r="URH338" s="42" t="s">
        <v>607</v>
      </c>
      <c r="URI338" s="42" t="s">
        <v>607</v>
      </c>
      <c r="URJ338" s="42" t="s">
        <v>607</v>
      </c>
      <c r="URK338" s="42" t="s">
        <v>607</v>
      </c>
      <c r="URL338" s="42" t="s">
        <v>607</v>
      </c>
      <c r="URM338" s="42" t="s">
        <v>607</v>
      </c>
      <c r="URN338" s="42" t="s">
        <v>607</v>
      </c>
      <c r="URO338" s="42" t="s">
        <v>607</v>
      </c>
      <c r="URP338" s="42" t="s">
        <v>607</v>
      </c>
      <c r="URQ338" s="42" t="s">
        <v>607</v>
      </c>
      <c r="URR338" s="42" t="s">
        <v>607</v>
      </c>
      <c r="URS338" s="42" t="s">
        <v>607</v>
      </c>
      <c r="URT338" s="42" t="s">
        <v>607</v>
      </c>
      <c r="URU338" s="42" t="s">
        <v>607</v>
      </c>
      <c r="URV338" s="42" t="s">
        <v>607</v>
      </c>
      <c r="URW338" s="42" t="s">
        <v>607</v>
      </c>
      <c r="URX338" s="42" t="s">
        <v>607</v>
      </c>
      <c r="URY338" s="42" t="s">
        <v>607</v>
      </c>
      <c r="URZ338" s="42" t="s">
        <v>607</v>
      </c>
      <c r="USA338" s="42" t="s">
        <v>607</v>
      </c>
      <c r="USB338" s="42" t="s">
        <v>607</v>
      </c>
      <c r="USC338" s="42" t="s">
        <v>607</v>
      </c>
      <c r="USD338" s="42" t="s">
        <v>607</v>
      </c>
      <c r="USE338" s="42" t="s">
        <v>607</v>
      </c>
      <c r="USF338" s="42" t="s">
        <v>607</v>
      </c>
      <c r="USG338" s="42" t="s">
        <v>607</v>
      </c>
      <c r="USH338" s="42" t="s">
        <v>607</v>
      </c>
      <c r="USI338" s="42" t="s">
        <v>607</v>
      </c>
      <c r="USJ338" s="42" t="s">
        <v>607</v>
      </c>
      <c r="USK338" s="42" t="s">
        <v>607</v>
      </c>
      <c r="USL338" s="42" t="s">
        <v>607</v>
      </c>
      <c r="USM338" s="42" t="s">
        <v>607</v>
      </c>
      <c r="USN338" s="42" t="s">
        <v>607</v>
      </c>
      <c r="USO338" s="42" t="s">
        <v>607</v>
      </c>
      <c r="USP338" s="42" t="s">
        <v>607</v>
      </c>
      <c r="USQ338" s="42" t="s">
        <v>607</v>
      </c>
      <c r="USR338" s="42" t="s">
        <v>607</v>
      </c>
      <c r="USS338" s="42" t="s">
        <v>607</v>
      </c>
      <c r="UST338" s="42" t="s">
        <v>607</v>
      </c>
      <c r="USU338" s="42" t="s">
        <v>607</v>
      </c>
      <c r="USV338" s="42" t="s">
        <v>607</v>
      </c>
      <c r="USW338" s="42" t="s">
        <v>607</v>
      </c>
      <c r="USX338" s="42" t="s">
        <v>607</v>
      </c>
      <c r="USY338" s="42" t="s">
        <v>607</v>
      </c>
      <c r="USZ338" s="42" t="s">
        <v>607</v>
      </c>
      <c r="UTA338" s="42" t="s">
        <v>607</v>
      </c>
      <c r="UTB338" s="42" t="s">
        <v>607</v>
      </c>
      <c r="UTC338" s="42" t="s">
        <v>607</v>
      </c>
      <c r="UTD338" s="42" t="s">
        <v>607</v>
      </c>
      <c r="UTE338" s="42" t="s">
        <v>607</v>
      </c>
      <c r="UTF338" s="42" t="s">
        <v>607</v>
      </c>
      <c r="UTG338" s="42" t="s">
        <v>607</v>
      </c>
      <c r="UTH338" s="42" t="s">
        <v>607</v>
      </c>
      <c r="UTI338" s="42" t="s">
        <v>607</v>
      </c>
      <c r="UTJ338" s="42" t="s">
        <v>607</v>
      </c>
      <c r="UTK338" s="42" t="s">
        <v>607</v>
      </c>
      <c r="UTL338" s="42" t="s">
        <v>607</v>
      </c>
      <c r="UTM338" s="42" t="s">
        <v>607</v>
      </c>
      <c r="UTN338" s="42" t="s">
        <v>607</v>
      </c>
      <c r="UTO338" s="42" t="s">
        <v>607</v>
      </c>
      <c r="UTP338" s="42" t="s">
        <v>607</v>
      </c>
      <c r="UTQ338" s="42" t="s">
        <v>607</v>
      </c>
      <c r="UTR338" s="42" t="s">
        <v>607</v>
      </c>
      <c r="UTS338" s="42" t="s">
        <v>607</v>
      </c>
      <c r="UTT338" s="42" t="s">
        <v>607</v>
      </c>
      <c r="UTU338" s="42" t="s">
        <v>607</v>
      </c>
      <c r="UTV338" s="42" t="s">
        <v>607</v>
      </c>
      <c r="UTW338" s="42" t="s">
        <v>607</v>
      </c>
      <c r="UTX338" s="42" t="s">
        <v>607</v>
      </c>
      <c r="UTY338" s="42" t="s">
        <v>607</v>
      </c>
      <c r="UTZ338" s="42" t="s">
        <v>607</v>
      </c>
      <c r="UUA338" s="42" t="s">
        <v>607</v>
      </c>
      <c r="UUB338" s="42" t="s">
        <v>607</v>
      </c>
      <c r="UUC338" s="42" t="s">
        <v>607</v>
      </c>
      <c r="UUD338" s="42" t="s">
        <v>607</v>
      </c>
      <c r="UUE338" s="42" t="s">
        <v>607</v>
      </c>
      <c r="UUF338" s="42" t="s">
        <v>607</v>
      </c>
      <c r="UUG338" s="42" t="s">
        <v>607</v>
      </c>
      <c r="UUH338" s="42" t="s">
        <v>607</v>
      </c>
      <c r="UUI338" s="42" t="s">
        <v>607</v>
      </c>
      <c r="UUJ338" s="42" t="s">
        <v>607</v>
      </c>
      <c r="UUK338" s="42" t="s">
        <v>607</v>
      </c>
      <c r="UUL338" s="42" t="s">
        <v>607</v>
      </c>
      <c r="UUM338" s="42" t="s">
        <v>607</v>
      </c>
      <c r="UUN338" s="42" t="s">
        <v>607</v>
      </c>
      <c r="UUO338" s="42" t="s">
        <v>607</v>
      </c>
      <c r="UUP338" s="42" t="s">
        <v>607</v>
      </c>
      <c r="UUQ338" s="42" t="s">
        <v>607</v>
      </c>
      <c r="UUR338" s="42" t="s">
        <v>607</v>
      </c>
      <c r="UUS338" s="42" t="s">
        <v>607</v>
      </c>
      <c r="UUT338" s="42" t="s">
        <v>607</v>
      </c>
      <c r="UUU338" s="42" t="s">
        <v>607</v>
      </c>
      <c r="UUV338" s="42" t="s">
        <v>607</v>
      </c>
      <c r="UUW338" s="42" t="s">
        <v>607</v>
      </c>
      <c r="UUX338" s="42" t="s">
        <v>607</v>
      </c>
      <c r="UUY338" s="42" t="s">
        <v>607</v>
      </c>
      <c r="UUZ338" s="42" t="s">
        <v>607</v>
      </c>
      <c r="UVA338" s="42" t="s">
        <v>607</v>
      </c>
      <c r="UVB338" s="42" t="s">
        <v>607</v>
      </c>
      <c r="UVC338" s="42" t="s">
        <v>607</v>
      </c>
      <c r="UVD338" s="42" t="s">
        <v>607</v>
      </c>
      <c r="UVE338" s="42" t="s">
        <v>607</v>
      </c>
      <c r="UVF338" s="42" t="s">
        <v>607</v>
      </c>
      <c r="UVG338" s="42" t="s">
        <v>607</v>
      </c>
      <c r="UVH338" s="42" t="s">
        <v>607</v>
      </c>
      <c r="UVI338" s="42" t="s">
        <v>607</v>
      </c>
      <c r="UVJ338" s="42" t="s">
        <v>607</v>
      </c>
      <c r="UVK338" s="42" t="s">
        <v>607</v>
      </c>
      <c r="UVL338" s="42" t="s">
        <v>607</v>
      </c>
      <c r="UVM338" s="42" t="s">
        <v>607</v>
      </c>
      <c r="UVN338" s="42" t="s">
        <v>607</v>
      </c>
      <c r="UVO338" s="42" t="s">
        <v>607</v>
      </c>
      <c r="UVP338" s="42" t="s">
        <v>607</v>
      </c>
      <c r="UVQ338" s="42" t="s">
        <v>607</v>
      </c>
      <c r="UVR338" s="42" t="s">
        <v>607</v>
      </c>
      <c r="UVS338" s="42" t="s">
        <v>607</v>
      </c>
      <c r="UVT338" s="42" t="s">
        <v>607</v>
      </c>
      <c r="UVU338" s="42" t="s">
        <v>607</v>
      </c>
      <c r="UVV338" s="42" t="s">
        <v>607</v>
      </c>
      <c r="UVW338" s="42" t="s">
        <v>607</v>
      </c>
      <c r="UVX338" s="42" t="s">
        <v>607</v>
      </c>
      <c r="UVY338" s="42" t="s">
        <v>607</v>
      </c>
      <c r="UVZ338" s="42" t="s">
        <v>607</v>
      </c>
      <c r="UWA338" s="42" t="s">
        <v>607</v>
      </c>
      <c r="UWB338" s="42" t="s">
        <v>607</v>
      </c>
      <c r="UWC338" s="42" t="s">
        <v>607</v>
      </c>
      <c r="UWD338" s="42" t="s">
        <v>607</v>
      </c>
      <c r="UWE338" s="42" t="s">
        <v>607</v>
      </c>
      <c r="UWF338" s="42" t="s">
        <v>607</v>
      </c>
      <c r="UWG338" s="42" t="s">
        <v>607</v>
      </c>
      <c r="UWH338" s="42" t="s">
        <v>607</v>
      </c>
      <c r="UWI338" s="42" t="s">
        <v>607</v>
      </c>
      <c r="UWJ338" s="42" t="s">
        <v>607</v>
      </c>
      <c r="UWK338" s="42" t="s">
        <v>607</v>
      </c>
      <c r="UWL338" s="42" t="s">
        <v>607</v>
      </c>
      <c r="UWM338" s="42" t="s">
        <v>607</v>
      </c>
      <c r="UWN338" s="42" t="s">
        <v>607</v>
      </c>
      <c r="UWO338" s="42" t="s">
        <v>607</v>
      </c>
      <c r="UWP338" s="42" t="s">
        <v>607</v>
      </c>
      <c r="UWQ338" s="42" t="s">
        <v>607</v>
      </c>
      <c r="UWR338" s="42" t="s">
        <v>607</v>
      </c>
      <c r="UWS338" s="42" t="s">
        <v>607</v>
      </c>
      <c r="UWT338" s="42" t="s">
        <v>607</v>
      </c>
      <c r="UWU338" s="42" t="s">
        <v>607</v>
      </c>
      <c r="UWV338" s="42" t="s">
        <v>607</v>
      </c>
      <c r="UWW338" s="42" t="s">
        <v>607</v>
      </c>
      <c r="UWX338" s="42" t="s">
        <v>607</v>
      </c>
      <c r="UWY338" s="42" t="s">
        <v>607</v>
      </c>
      <c r="UWZ338" s="42" t="s">
        <v>607</v>
      </c>
      <c r="UXA338" s="42" t="s">
        <v>607</v>
      </c>
      <c r="UXB338" s="42" t="s">
        <v>607</v>
      </c>
      <c r="UXC338" s="42" t="s">
        <v>607</v>
      </c>
      <c r="UXD338" s="42" t="s">
        <v>607</v>
      </c>
      <c r="UXE338" s="42" t="s">
        <v>607</v>
      </c>
      <c r="UXF338" s="42" t="s">
        <v>607</v>
      </c>
      <c r="UXG338" s="42" t="s">
        <v>607</v>
      </c>
      <c r="UXH338" s="42" t="s">
        <v>607</v>
      </c>
      <c r="UXI338" s="42" t="s">
        <v>607</v>
      </c>
      <c r="UXJ338" s="42" t="s">
        <v>607</v>
      </c>
      <c r="UXK338" s="42" t="s">
        <v>607</v>
      </c>
      <c r="UXL338" s="42" t="s">
        <v>607</v>
      </c>
      <c r="UXM338" s="42" t="s">
        <v>607</v>
      </c>
      <c r="UXN338" s="42" t="s">
        <v>607</v>
      </c>
      <c r="UXO338" s="42" t="s">
        <v>607</v>
      </c>
      <c r="UXP338" s="42" t="s">
        <v>607</v>
      </c>
      <c r="UXQ338" s="42" t="s">
        <v>607</v>
      </c>
      <c r="UXR338" s="42" t="s">
        <v>607</v>
      </c>
      <c r="UXS338" s="42" t="s">
        <v>607</v>
      </c>
      <c r="UXT338" s="42" t="s">
        <v>607</v>
      </c>
      <c r="UXU338" s="42" t="s">
        <v>607</v>
      </c>
      <c r="UXV338" s="42" t="s">
        <v>607</v>
      </c>
      <c r="UXW338" s="42" t="s">
        <v>607</v>
      </c>
      <c r="UXX338" s="42" t="s">
        <v>607</v>
      </c>
      <c r="UXY338" s="42" t="s">
        <v>607</v>
      </c>
      <c r="UXZ338" s="42" t="s">
        <v>607</v>
      </c>
      <c r="UYA338" s="42" t="s">
        <v>607</v>
      </c>
      <c r="UYB338" s="42" t="s">
        <v>607</v>
      </c>
      <c r="UYC338" s="42" t="s">
        <v>607</v>
      </c>
      <c r="UYD338" s="42" t="s">
        <v>607</v>
      </c>
      <c r="UYE338" s="42" t="s">
        <v>607</v>
      </c>
      <c r="UYF338" s="42" t="s">
        <v>607</v>
      </c>
      <c r="UYG338" s="42" t="s">
        <v>607</v>
      </c>
      <c r="UYH338" s="42" t="s">
        <v>607</v>
      </c>
      <c r="UYI338" s="42" t="s">
        <v>607</v>
      </c>
      <c r="UYJ338" s="42" t="s">
        <v>607</v>
      </c>
      <c r="UYK338" s="42" t="s">
        <v>607</v>
      </c>
      <c r="UYL338" s="42" t="s">
        <v>607</v>
      </c>
      <c r="UYM338" s="42" t="s">
        <v>607</v>
      </c>
      <c r="UYN338" s="42" t="s">
        <v>607</v>
      </c>
      <c r="UYO338" s="42" t="s">
        <v>607</v>
      </c>
      <c r="UYP338" s="42" t="s">
        <v>607</v>
      </c>
      <c r="UYQ338" s="42" t="s">
        <v>607</v>
      </c>
      <c r="UYR338" s="42" t="s">
        <v>607</v>
      </c>
      <c r="UYS338" s="42" t="s">
        <v>607</v>
      </c>
      <c r="UYT338" s="42" t="s">
        <v>607</v>
      </c>
      <c r="UYU338" s="42" t="s">
        <v>607</v>
      </c>
      <c r="UYV338" s="42" t="s">
        <v>607</v>
      </c>
      <c r="UYW338" s="42" t="s">
        <v>607</v>
      </c>
      <c r="UYX338" s="42" t="s">
        <v>607</v>
      </c>
      <c r="UYY338" s="42" t="s">
        <v>607</v>
      </c>
      <c r="UYZ338" s="42" t="s">
        <v>607</v>
      </c>
      <c r="UZA338" s="42" t="s">
        <v>607</v>
      </c>
      <c r="UZB338" s="42" t="s">
        <v>607</v>
      </c>
      <c r="UZC338" s="42" t="s">
        <v>607</v>
      </c>
      <c r="UZD338" s="42" t="s">
        <v>607</v>
      </c>
      <c r="UZE338" s="42" t="s">
        <v>607</v>
      </c>
      <c r="UZF338" s="42" t="s">
        <v>607</v>
      </c>
      <c r="UZG338" s="42" t="s">
        <v>607</v>
      </c>
      <c r="UZH338" s="42" t="s">
        <v>607</v>
      </c>
      <c r="UZI338" s="42" t="s">
        <v>607</v>
      </c>
      <c r="UZJ338" s="42" t="s">
        <v>607</v>
      </c>
      <c r="UZK338" s="42" t="s">
        <v>607</v>
      </c>
      <c r="UZL338" s="42" t="s">
        <v>607</v>
      </c>
      <c r="UZM338" s="42" t="s">
        <v>607</v>
      </c>
      <c r="UZN338" s="42" t="s">
        <v>607</v>
      </c>
      <c r="UZO338" s="42" t="s">
        <v>607</v>
      </c>
      <c r="UZP338" s="42" t="s">
        <v>607</v>
      </c>
      <c r="UZQ338" s="42" t="s">
        <v>607</v>
      </c>
      <c r="UZR338" s="42" t="s">
        <v>607</v>
      </c>
      <c r="UZS338" s="42" t="s">
        <v>607</v>
      </c>
      <c r="UZT338" s="42" t="s">
        <v>607</v>
      </c>
      <c r="UZU338" s="42" t="s">
        <v>607</v>
      </c>
      <c r="UZV338" s="42" t="s">
        <v>607</v>
      </c>
      <c r="UZW338" s="42" t="s">
        <v>607</v>
      </c>
      <c r="UZX338" s="42" t="s">
        <v>607</v>
      </c>
      <c r="UZY338" s="42" t="s">
        <v>607</v>
      </c>
      <c r="UZZ338" s="42" t="s">
        <v>607</v>
      </c>
      <c r="VAA338" s="42" t="s">
        <v>607</v>
      </c>
      <c r="VAB338" s="42" t="s">
        <v>607</v>
      </c>
      <c r="VAC338" s="42" t="s">
        <v>607</v>
      </c>
      <c r="VAD338" s="42" t="s">
        <v>607</v>
      </c>
      <c r="VAE338" s="42" t="s">
        <v>607</v>
      </c>
      <c r="VAF338" s="42" t="s">
        <v>607</v>
      </c>
      <c r="VAG338" s="42" t="s">
        <v>607</v>
      </c>
      <c r="VAH338" s="42" t="s">
        <v>607</v>
      </c>
      <c r="VAI338" s="42" t="s">
        <v>607</v>
      </c>
      <c r="VAJ338" s="42" t="s">
        <v>607</v>
      </c>
      <c r="VAK338" s="42" t="s">
        <v>607</v>
      </c>
      <c r="VAL338" s="42" t="s">
        <v>607</v>
      </c>
      <c r="VAM338" s="42" t="s">
        <v>607</v>
      </c>
      <c r="VAN338" s="42" t="s">
        <v>607</v>
      </c>
      <c r="VAO338" s="42" t="s">
        <v>607</v>
      </c>
      <c r="VAP338" s="42" t="s">
        <v>607</v>
      </c>
      <c r="VAQ338" s="42" t="s">
        <v>607</v>
      </c>
      <c r="VAR338" s="42" t="s">
        <v>607</v>
      </c>
      <c r="VAS338" s="42" t="s">
        <v>607</v>
      </c>
      <c r="VAT338" s="42" t="s">
        <v>607</v>
      </c>
      <c r="VAU338" s="42" t="s">
        <v>607</v>
      </c>
      <c r="VAV338" s="42" t="s">
        <v>607</v>
      </c>
      <c r="VAW338" s="42" t="s">
        <v>607</v>
      </c>
      <c r="VAX338" s="42" t="s">
        <v>607</v>
      </c>
      <c r="VAY338" s="42" t="s">
        <v>607</v>
      </c>
      <c r="VAZ338" s="42" t="s">
        <v>607</v>
      </c>
      <c r="VBA338" s="42" t="s">
        <v>607</v>
      </c>
      <c r="VBB338" s="42" t="s">
        <v>607</v>
      </c>
      <c r="VBC338" s="42" t="s">
        <v>607</v>
      </c>
      <c r="VBD338" s="42" t="s">
        <v>607</v>
      </c>
      <c r="VBE338" s="42" t="s">
        <v>607</v>
      </c>
      <c r="VBF338" s="42" t="s">
        <v>607</v>
      </c>
      <c r="VBG338" s="42" t="s">
        <v>607</v>
      </c>
      <c r="VBH338" s="42" t="s">
        <v>607</v>
      </c>
      <c r="VBI338" s="42" t="s">
        <v>607</v>
      </c>
      <c r="VBJ338" s="42" t="s">
        <v>607</v>
      </c>
      <c r="VBK338" s="42" t="s">
        <v>607</v>
      </c>
      <c r="VBL338" s="42" t="s">
        <v>607</v>
      </c>
      <c r="VBM338" s="42" t="s">
        <v>607</v>
      </c>
      <c r="VBN338" s="42" t="s">
        <v>607</v>
      </c>
      <c r="VBO338" s="42" t="s">
        <v>607</v>
      </c>
      <c r="VBP338" s="42" t="s">
        <v>607</v>
      </c>
      <c r="VBQ338" s="42" t="s">
        <v>607</v>
      </c>
      <c r="VBR338" s="42" t="s">
        <v>607</v>
      </c>
      <c r="VBS338" s="42" t="s">
        <v>607</v>
      </c>
      <c r="VBT338" s="42" t="s">
        <v>607</v>
      </c>
      <c r="VBU338" s="42" t="s">
        <v>607</v>
      </c>
      <c r="VBV338" s="42" t="s">
        <v>607</v>
      </c>
      <c r="VBW338" s="42" t="s">
        <v>607</v>
      </c>
      <c r="VBX338" s="42" t="s">
        <v>607</v>
      </c>
      <c r="VBY338" s="42" t="s">
        <v>607</v>
      </c>
      <c r="VBZ338" s="42" t="s">
        <v>607</v>
      </c>
      <c r="VCA338" s="42" t="s">
        <v>607</v>
      </c>
      <c r="VCB338" s="42" t="s">
        <v>607</v>
      </c>
      <c r="VCC338" s="42" t="s">
        <v>607</v>
      </c>
      <c r="VCD338" s="42" t="s">
        <v>607</v>
      </c>
      <c r="VCE338" s="42" t="s">
        <v>607</v>
      </c>
      <c r="VCF338" s="42" t="s">
        <v>607</v>
      </c>
      <c r="VCG338" s="42" t="s">
        <v>607</v>
      </c>
      <c r="VCH338" s="42" t="s">
        <v>607</v>
      </c>
      <c r="VCI338" s="42" t="s">
        <v>607</v>
      </c>
      <c r="VCJ338" s="42" t="s">
        <v>607</v>
      </c>
      <c r="VCK338" s="42" t="s">
        <v>607</v>
      </c>
      <c r="VCL338" s="42" t="s">
        <v>607</v>
      </c>
      <c r="VCM338" s="42" t="s">
        <v>607</v>
      </c>
      <c r="VCN338" s="42" t="s">
        <v>607</v>
      </c>
      <c r="VCO338" s="42" t="s">
        <v>607</v>
      </c>
      <c r="VCP338" s="42" t="s">
        <v>607</v>
      </c>
      <c r="VCQ338" s="42" t="s">
        <v>607</v>
      </c>
      <c r="VCR338" s="42" t="s">
        <v>607</v>
      </c>
      <c r="VCS338" s="42" t="s">
        <v>607</v>
      </c>
      <c r="VCT338" s="42" t="s">
        <v>607</v>
      </c>
      <c r="VCU338" s="42" t="s">
        <v>607</v>
      </c>
      <c r="VCV338" s="42" t="s">
        <v>607</v>
      </c>
      <c r="VCW338" s="42" t="s">
        <v>607</v>
      </c>
      <c r="VCX338" s="42" t="s">
        <v>607</v>
      </c>
      <c r="VCY338" s="42" t="s">
        <v>607</v>
      </c>
      <c r="VCZ338" s="42" t="s">
        <v>607</v>
      </c>
      <c r="VDA338" s="42" t="s">
        <v>607</v>
      </c>
      <c r="VDB338" s="42" t="s">
        <v>607</v>
      </c>
      <c r="VDC338" s="42" t="s">
        <v>607</v>
      </c>
      <c r="VDD338" s="42" t="s">
        <v>607</v>
      </c>
      <c r="VDE338" s="42" t="s">
        <v>607</v>
      </c>
      <c r="VDF338" s="42" t="s">
        <v>607</v>
      </c>
      <c r="VDG338" s="42" t="s">
        <v>607</v>
      </c>
      <c r="VDH338" s="42" t="s">
        <v>607</v>
      </c>
      <c r="VDI338" s="42" t="s">
        <v>607</v>
      </c>
      <c r="VDJ338" s="42" t="s">
        <v>607</v>
      </c>
      <c r="VDK338" s="42" t="s">
        <v>607</v>
      </c>
      <c r="VDL338" s="42" t="s">
        <v>607</v>
      </c>
      <c r="VDM338" s="42" t="s">
        <v>607</v>
      </c>
      <c r="VDN338" s="42" t="s">
        <v>607</v>
      </c>
      <c r="VDO338" s="42" t="s">
        <v>607</v>
      </c>
      <c r="VDP338" s="42" t="s">
        <v>607</v>
      </c>
      <c r="VDQ338" s="42" t="s">
        <v>607</v>
      </c>
      <c r="VDR338" s="42" t="s">
        <v>607</v>
      </c>
      <c r="VDS338" s="42" t="s">
        <v>607</v>
      </c>
      <c r="VDT338" s="42" t="s">
        <v>607</v>
      </c>
      <c r="VDU338" s="42" t="s">
        <v>607</v>
      </c>
      <c r="VDV338" s="42" t="s">
        <v>607</v>
      </c>
      <c r="VDW338" s="42" t="s">
        <v>607</v>
      </c>
      <c r="VDX338" s="42" t="s">
        <v>607</v>
      </c>
      <c r="VDY338" s="42" t="s">
        <v>607</v>
      </c>
      <c r="VDZ338" s="42" t="s">
        <v>607</v>
      </c>
      <c r="VEA338" s="42" t="s">
        <v>607</v>
      </c>
      <c r="VEB338" s="42" t="s">
        <v>607</v>
      </c>
      <c r="VEC338" s="42" t="s">
        <v>607</v>
      </c>
      <c r="VED338" s="42" t="s">
        <v>607</v>
      </c>
      <c r="VEE338" s="42" t="s">
        <v>607</v>
      </c>
      <c r="VEF338" s="42" t="s">
        <v>607</v>
      </c>
      <c r="VEG338" s="42" t="s">
        <v>607</v>
      </c>
      <c r="VEH338" s="42" t="s">
        <v>607</v>
      </c>
      <c r="VEI338" s="42" t="s">
        <v>607</v>
      </c>
      <c r="VEJ338" s="42" t="s">
        <v>607</v>
      </c>
      <c r="VEK338" s="42" t="s">
        <v>607</v>
      </c>
      <c r="VEL338" s="42" t="s">
        <v>607</v>
      </c>
      <c r="VEM338" s="42" t="s">
        <v>607</v>
      </c>
      <c r="VEN338" s="42" t="s">
        <v>607</v>
      </c>
      <c r="VEO338" s="42" t="s">
        <v>607</v>
      </c>
      <c r="VEP338" s="42" t="s">
        <v>607</v>
      </c>
      <c r="VEQ338" s="42" t="s">
        <v>607</v>
      </c>
      <c r="VER338" s="42" t="s">
        <v>607</v>
      </c>
      <c r="VES338" s="42" t="s">
        <v>607</v>
      </c>
      <c r="VET338" s="42" t="s">
        <v>607</v>
      </c>
      <c r="VEU338" s="42" t="s">
        <v>607</v>
      </c>
      <c r="VEV338" s="42" t="s">
        <v>607</v>
      </c>
      <c r="VEW338" s="42" t="s">
        <v>607</v>
      </c>
      <c r="VEX338" s="42" t="s">
        <v>607</v>
      </c>
      <c r="VEY338" s="42" t="s">
        <v>607</v>
      </c>
      <c r="VEZ338" s="42" t="s">
        <v>607</v>
      </c>
      <c r="VFA338" s="42" t="s">
        <v>607</v>
      </c>
      <c r="VFB338" s="42" t="s">
        <v>607</v>
      </c>
      <c r="VFC338" s="42" t="s">
        <v>607</v>
      </c>
      <c r="VFD338" s="42" t="s">
        <v>607</v>
      </c>
      <c r="VFE338" s="42" t="s">
        <v>607</v>
      </c>
      <c r="VFF338" s="42" t="s">
        <v>607</v>
      </c>
      <c r="VFG338" s="42" t="s">
        <v>607</v>
      </c>
      <c r="VFH338" s="42" t="s">
        <v>607</v>
      </c>
      <c r="VFI338" s="42" t="s">
        <v>607</v>
      </c>
      <c r="VFJ338" s="42" t="s">
        <v>607</v>
      </c>
      <c r="VFK338" s="42" t="s">
        <v>607</v>
      </c>
      <c r="VFL338" s="42" t="s">
        <v>607</v>
      </c>
      <c r="VFM338" s="42" t="s">
        <v>607</v>
      </c>
      <c r="VFN338" s="42" t="s">
        <v>607</v>
      </c>
      <c r="VFO338" s="42" t="s">
        <v>607</v>
      </c>
      <c r="VFP338" s="42" t="s">
        <v>607</v>
      </c>
      <c r="VFQ338" s="42" t="s">
        <v>607</v>
      </c>
      <c r="VFR338" s="42" t="s">
        <v>607</v>
      </c>
      <c r="VFS338" s="42" t="s">
        <v>607</v>
      </c>
      <c r="VFT338" s="42" t="s">
        <v>607</v>
      </c>
      <c r="VFU338" s="42" t="s">
        <v>607</v>
      </c>
      <c r="VFV338" s="42" t="s">
        <v>607</v>
      </c>
      <c r="VFW338" s="42" t="s">
        <v>607</v>
      </c>
      <c r="VFX338" s="42" t="s">
        <v>607</v>
      </c>
      <c r="VFY338" s="42" t="s">
        <v>607</v>
      </c>
      <c r="VFZ338" s="42" t="s">
        <v>607</v>
      </c>
      <c r="VGA338" s="42" t="s">
        <v>607</v>
      </c>
      <c r="VGB338" s="42" t="s">
        <v>607</v>
      </c>
      <c r="VGC338" s="42" t="s">
        <v>607</v>
      </c>
      <c r="VGD338" s="42" t="s">
        <v>607</v>
      </c>
      <c r="VGE338" s="42" t="s">
        <v>607</v>
      </c>
      <c r="VGF338" s="42" t="s">
        <v>607</v>
      </c>
      <c r="VGG338" s="42" t="s">
        <v>607</v>
      </c>
      <c r="VGH338" s="42" t="s">
        <v>607</v>
      </c>
      <c r="VGI338" s="42" t="s">
        <v>607</v>
      </c>
      <c r="VGJ338" s="42" t="s">
        <v>607</v>
      </c>
      <c r="VGK338" s="42" t="s">
        <v>607</v>
      </c>
      <c r="VGL338" s="42" t="s">
        <v>607</v>
      </c>
      <c r="VGM338" s="42" t="s">
        <v>607</v>
      </c>
      <c r="VGN338" s="42" t="s">
        <v>607</v>
      </c>
      <c r="VGO338" s="42" t="s">
        <v>607</v>
      </c>
      <c r="VGP338" s="42" t="s">
        <v>607</v>
      </c>
      <c r="VGQ338" s="42" t="s">
        <v>607</v>
      </c>
      <c r="VGR338" s="42" t="s">
        <v>607</v>
      </c>
      <c r="VGS338" s="42" t="s">
        <v>607</v>
      </c>
      <c r="VGT338" s="42" t="s">
        <v>607</v>
      </c>
      <c r="VGU338" s="42" t="s">
        <v>607</v>
      </c>
      <c r="VGV338" s="42" t="s">
        <v>607</v>
      </c>
      <c r="VGW338" s="42" t="s">
        <v>607</v>
      </c>
      <c r="VGX338" s="42" t="s">
        <v>607</v>
      </c>
      <c r="VGY338" s="42" t="s">
        <v>607</v>
      </c>
      <c r="VGZ338" s="42" t="s">
        <v>607</v>
      </c>
      <c r="VHA338" s="42" t="s">
        <v>607</v>
      </c>
      <c r="VHB338" s="42" t="s">
        <v>607</v>
      </c>
      <c r="VHC338" s="42" t="s">
        <v>607</v>
      </c>
      <c r="VHD338" s="42" t="s">
        <v>607</v>
      </c>
      <c r="VHE338" s="42" t="s">
        <v>607</v>
      </c>
      <c r="VHF338" s="42" t="s">
        <v>607</v>
      </c>
      <c r="VHG338" s="42" t="s">
        <v>607</v>
      </c>
      <c r="VHH338" s="42" t="s">
        <v>607</v>
      </c>
      <c r="VHI338" s="42" t="s">
        <v>607</v>
      </c>
      <c r="VHJ338" s="42" t="s">
        <v>607</v>
      </c>
      <c r="VHK338" s="42" t="s">
        <v>607</v>
      </c>
      <c r="VHL338" s="42" t="s">
        <v>607</v>
      </c>
      <c r="VHM338" s="42" t="s">
        <v>607</v>
      </c>
      <c r="VHN338" s="42" t="s">
        <v>607</v>
      </c>
      <c r="VHO338" s="42" t="s">
        <v>607</v>
      </c>
      <c r="VHP338" s="42" t="s">
        <v>607</v>
      </c>
      <c r="VHQ338" s="42" t="s">
        <v>607</v>
      </c>
      <c r="VHR338" s="42" t="s">
        <v>607</v>
      </c>
      <c r="VHS338" s="42" t="s">
        <v>607</v>
      </c>
      <c r="VHT338" s="42" t="s">
        <v>607</v>
      </c>
      <c r="VHU338" s="42" t="s">
        <v>607</v>
      </c>
      <c r="VHV338" s="42" t="s">
        <v>607</v>
      </c>
      <c r="VHW338" s="42" t="s">
        <v>607</v>
      </c>
      <c r="VHX338" s="42" t="s">
        <v>607</v>
      </c>
      <c r="VHY338" s="42" t="s">
        <v>607</v>
      </c>
      <c r="VHZ338" s="42" t="s">
        <v>607</v>
      </c>
      <c r="VIA338" s="42" t="s">
        <v>607</v>
      </c>
      <c r="VIB338" s="42" t="s">
        <v>607</v>
      </c>
      <c r="VIC338" s="42" t="s">
        <v>607</v>
      </c>
      <c r="VID338" s="42" t="s">
        <v>607</v>
      </c>
      <c r="VIE338" s="42" t="s">
        <v>607</v>
      </c>
      <c r="VIF338" s="42" t="s">
        <v>607</v>
      </c>
      <c r="VIG338" s="42" t="s">
        <v>607</v>
      </c>
      <c r="VIH338" s="42" t="s">
        <v>607</v>
      </c>
      <c r="VII338" s="42" t="s">
        <v>607</v>
      </c>
      <c r="VIJ338" s="42" t="s">
        <v>607</v>
      </c>
      <c r="VIK338" s="42" t="s">
        <v>607</v>
      </c>
      <c r="VIL338" s="42" t="s">
        <v>607</v>
      </c>
      <c r="VIM338" s="42" t="s">
        <v>607</v>
      </c>
      <c r="VIN338" s="42" t="s">
        <v>607</v>
      </c>
      <c r="VIO338" s="42" t="s">
        <v>607</v>
      </c>
      <c r="VIP338" s="42" t="s">
        <v>607</v>
      </c>
      <c r="VIQ338" s="42" t="s">
        <v>607</v>
      </c>
      <c r="VIR338" s="42" t="s">
        <v>607</v>
      </c>
      <c r="VIS338" s="42" t="s">
        <v>607</v>
      </c>
      <c r="VIT338" s="42" t="s">
        <v>607</v>
      </c>
      <c r="VIU338" s="42" t="s">
        <v>607</v>
      </c>
      <c r="VIV338" s="42" t="s">
        <v>607</v>
      </c>
      <c r="VIW338" s="42" t="s">
        <v>607</v>
      </c>
      <c r="VIX338" s="42" t="s">
        <v>607</v>
      </c>
      <c r="VIY338" s="42" t="s">
        <v>607</v>
      </c>
      <c r="VIZ338" s="42" t="s">
        <v>607</v>
      </c>
      <c r="VJA338" s="42" t="s">
        <v>607</v>
      </c>
      <c r="VJB338" s="42" t="s">
        <v>607</v>
      </c>
      <c r="VJC338" s="42" t="s">
        <v>607</v>
      </c>
      <c r="VJD338" s="42" t="s">
        <v>607</v>
      </c>
      <c r="VJE338" s="42" t="s">
        <v>607</v>
      </c>
      <c r="VJF338" s="42" t="s">
        <v>607</v>
      </c>
      <c r="VJG338" s="42" t="s">
        <v>607</v>
      </c>
      <c r="VJH338" s="42" t="s">
        <v>607</v>
      </c>
      <c r="VJI338" s="42" t="s">
        <v>607</v>
      </c>
      <c r="VJJ338" s="42" t="s">
        <v>607</v>
      </c>
      <c r="VJK338" s="42" t="s">
        <v>607</v>
      </c>
      <c r="VJL338" s="42" t="s">
        <v>607</v>
      </c>
      <c r="VJM338" s="42" t="s">
        <v>607</v>
      </c>
      <c r="VJN338" s="42" t="s">
        <v>607</v>
      </c>
      <c r="VJO338" s="42" t="s">
        <v>607</v>
      </c>
      <c r="VJP338" s="42" t="s">
        <v>607</v>
      </c>
      <c r="VJQ338" s="42" t="s">
        <v>607</v>
      </c>
      <c r="VJR338" s="42" t="s">
        <v>607</v>
      </c>
      <c r="VJS338" s="42" t="s">
        <v>607</v>
      </c>
      <c r="VJT338" s="42" t="s">
        <v>607</v>
      </c>
      <c r="VJU338" s="42" t="s">
        <v>607</v>
      </c>
      <c r="VJV338" s="42" t="s">
        <v>607</v>
      </c>
      <c r="VJW338" s="42" t="s">
        <v>607</v>
      </c>
      <c r="VJX338" s="42" t="s">
        <v>607</v>
      </c>
      <c r="VJY338" s="42" t="s">
        <v>607</v>
      </c>
      <c r="VJZ338" s="42" t="s">
        <v>607</v>
      </c>
      <c r="VKA338" s="42" t="s">
        <v>607</v>
      </c>
      <c r="VKB338" s="42" t="s">
        <v>607</v>
      </c>
      <c r="VKC338" s="42" t="s">
        <v>607</v>
      </c>
      <c r="VKD338" s="42" t="s">
        <v>607</v>
      </c>
      <c r="VKE338" s="42" t="s">
        <v>607</v>
      </c>
      <c r="VKF338" s="42" t="s">
        <v>607</v>
      </c>
      <c r="VKG338" s="42" t="s">
        <v>607</v>
      </c>
      <c r="VKH338" s="42" t="s">
        <v>607</v>
      </c>
      <c r="VKI338" s="42" t="s">
        <v>607</v>
      </c>
      <c r="VKJ338" s="42" t="s">
        <v>607</v>
      </c>
      <c r="VKK338" s="42" t="s">
        <v>607</v>
      </c>
      <c r="VKL338" s="42" t="s">
        <v>607</v>
      </c>
      <c r="VKM338" s="42" t="s">
        <v>607</v>
      </c>
      <c r="VKN338" s="42" t="s">
        <v>607</v>
      </c>
      <c r="VKO338" s="42" t="s">
        <v>607</v>
      </c>
      <c r="VKP338" s="42" t="s">
        <v>607</v>
      </c>
      <c r="VKQ338" s="42" t="s">
        <v>607</v>
      </c>
      <c r="VKR338" s="42" t="s">
        <v>607</v>
      </c>
      <c r="VKS338" s="42" t="s">
        <v>607</v>
      </c>
      <c r="VKT338" s="42" t="s">
        <v>607</v>
      </c>
      <c r="VKU338" s="42" t="s">
        <v>607</v>
      </c>
      <c r="VKV338" s="42" t="s">
        <v>607</v>
      </c>
      <c r="VKW338" s="42" t="s">
        <v>607</v>
      </c>
      <c r="VKX338" s="42" t="s">
        <v>607</v>
      </c>
      <c r="VKY338" s="42" t="s">
        <v>607</v>
      </c>
      <c r="VKZ338" s="42" t="s">
        <v>607</v>
      </c>
      <c r="VLA338" s="42" t="s">
        <v>607</v>
      </c>
      <c r="VLB338" s="42" t="s">
        <v>607</v>
      </c>
      <c r="VLC338" s="42" t="s">
        <v>607</v>
      </c>
      <c r="VLD338" s="42" t="s">
        <v>607</v>
      </c>
      <c r="VLE338" s="42" t="s">
        <v>607</v>
      </c>
      <c r="VLF338" s="42" t="s">
        <v>607</v>
      </c>
      <c r="VLG338" s="42" t="s">
        <v>607</v>
      </c>
      <c r="VLH338" s="42" t="s">
        <v>607</v>
      </c>
      <c r="VLI338" s="42" t="s">
        <v>607</v>
      </c>
      <c r="VLJ338" s="42" t="s">
        <v>607</v>
      </c>
      <c r="VLK338" s="42" t="s">
        <v>607</v>
      </c>
      <c r="VLL338" s="42" t="s">
        <v>607</v>
      </c>
      <c r="VLM338" s="42" t="s">
        <v>607</v>
      </c>
      <c r="VLN338" s="42" t="s">
        <v>607</v>
      </c>
      <c r="VLO338" s="42" t="s">
        <v>607</v>
      </c>
      <c r="VLP338" s="42" t="s">
        <v>607</v>
      </c>
      <c r="VLQ338" s="42" t="s">
        <v>607</v>
      </c>
      <c r="VLR338" s="42" t="s">
        <v>607</v>
      </c>
      <c r="VLS338" s="42" t="s">
        <v>607</v>
      </c>
      <c r="VLT338" s="42" t="s">
        <v>607</v>
      </c>
      <c r="VLU338" s="42" t="s">
        <v>607</v>
      </c>
      <c r="VLV338" s="42" t="s">
        <v>607</v>
      </c>
      <c r="VLW338" s="42" t="s">
        <v>607</v>
      </c>
      <c r="VLX338" s="42" t="s">
        <v>607</v>
      </c>
      <c r="VLY338" s="42" t="s">
        <v>607</v>
      </c>
      <c r="VLZ338" s="42" t="s">
        <v>607</v>
      </c>
      <c r="VMA338" s="42" t="s">
        <v>607</v>
      </c>
      <c r="VMB338" s="42" t="s">
        <v>607</v>
      </c>
      <c r="VMC338" s="42" t="s">
        <v>607</v>
      </c>
      <c r="VMD338" s="42" t="s">
        <v>607</v>
      </c>
      <c r="VME338" s="42" t="s">
        <v>607</v>
      </c>
      <c r="VMF338" s="42" t="s">
        <v>607</v>
      </c>
      <c r="VMG338" s="42" t="s">
        <v>607</v>
      </c>
      <c r="VMH338" s="42" t="s">
        <v>607</v>
      </c>
      <c r="VMI338" s="42" t="s">
        <v>607</v>
      </c>
      <c r="VMJ338" s="42" t="s">
        <v>607</v>
      </c>
      <c r="VMK338" s="42" t="s">
        <v>607</v>
      </c>
      <c r="VML338" s="42" t="s">
        <v>607</v>
      </c>
      <c r="VMM338" s="42" t="s">
        <v>607</v>
      </c>
      <c r="VMN338" s="42" t="s">
        <v>607</v>
      </c>
      <c r="VMO338" s="42" t="s">
        <v>607</v>
      </c>
      <c r="VMP338" s="42" t="s">
        <v>607</v>
      </c>
      <c r="VMQ338" s="42" t="s">
        <v>607</v>
      </c>
      <c r="VMR338" s="42" t="s">
        <v>607</v>
      </c>
      <c r="VMS338" s="42" t="s">
        <v>607</v>
      </c>
      <c r="VMT338" s="42" t="s">
        <v>607</v>
      </c>
      <c r="VMU338" s="42" t="s">
        <v>607</v>
      </c>
      <c r="VMV338" s="42" t="s">
        <v>607</v>
      </c>
      <c r="VMW338" s="42" t="s">
        <v>607</v>
      </c>
      <c r="VMX338" s="42" t="s">
        <v>607</v>
      </c>
      <c r="VMY338" s="42" t="s">
        <v>607</v>
      </c>
      <c r="VMZ338" s="42" t="s">
        <v>607</v>
      </c>
      <c r="VNA338" s="42" t="s">
        <v>607</v>
      </c>
      <c r="VNB338" s="42" t="s">
        <v>607</v>
      </c>
      <c r="VNC338" s="42" t="s">
        <v>607</v>
      </c>
      <c r="VND338" s="42" t="s">
        <v>607</v>
      </c>
      <c r="VNE338" s="42" t="s">
        <v>607</v>
      </c>
      <c r="VNF338" s="42" t="s">
        <v>607</v>
      </c>
      <c r="VNG338" s="42" t="s">
        <v>607</v>
      </c>
      <c r="VNH338" s="42" t="s">
        <v>607</v>
      </c>
      <c r="VNI338" s="42" t="s">
        <v>607</v>
      </c>
      <c r="VNJ338" s="42" t="s">
        <v>607</v>
      </c>
      <c r="VNK338" s="42" t="s">
        <v>607</v>
      </c>
      <c r="VNL338" s="42" t="s">
        <v>607</v>
      </c>
      <c r="VNM338" s="42" t="s">
        <v>607</v>
      </c>
      <c r="VNN338" s="42" t="s">
        <v>607</v>
      </c>
      <c r="VNO338" s="42" t="s">
        <v>607</v>
      </c>
      <c r="VNP338" s="42" t="s">
        <v>607</v>
      </c>
      <c r="VNQ338" s="42" t="s">
        <v>607</v>
      </c>
      <c r="VNR338" s="42" t="s">
        <v>607</v>
      </c>
      <c r="VNS338" s="42" t="s">
        <v>607</v>
      </c>
      <c r="VNT338" s="42" t="s">
        <v>607</v>
      </c>
      <c r="VNU338" s="42" t="s">
        <v>607</v>
      </c>
      <c r="VNV338" s="42" t="s">
        <v>607</v>
      </c>
      <c r="VNW338" s="42" t="s">
        <v>607</v>
      </c>
      <c r="VNX338" s="42" t="s">
        <v>607</v>
      </c>
      <c r="VNY338" s="42" t="s">
        <v>607</v>
      </c>
      <c r="VNZ338" s="42" t="s">
        <v>607</v>
      </c>
      <c r="VOA338" s="42" t="s">
        <v>607</v>
      </c>
      <c r="VOB338" s="42" t="s">
        <v>607</v>
      </c>
      <c r="VOC338" s="42" t="s">
        <v>607</v>
      </c>
      <c r="VOD338" s="42" t="s">
        <v>607</v>
      </c>
      <c r="VOE338" s="42" t="s">
        <v>607</v>
      </c>
      <c r="VOF338" s="42" t="s">
        <v>607</v>
      </c>
      <c r="VOG338" s="42" t="s">
        <v>607</v>
      </c>
      <c r="VOH338" s="42" t="s">
        <v>607</v>
      </c>
      <c r="VOI338" s="42" t="s">
        <v>607</v>
      </c>
      <c r="VOJ338" s="42" t="s">
        <v>607</v>
      </c>
      <c r="VOK338" s="42" t="s">
        <v>607</v>
      </c>
      <c r="VOL338" s="42" t="s">
        <v>607</v>
      </c>
      <c r="VOM338" s="42" t="s">
        <v>607</v>
      </c>
      <c r="VON338" s="42" t="s">
        <v>607</v>
      </c>
      <c r="VOO338" s="42" t="s">
        <v>607</v>
      </c>
      <c r="VOP338" s="42" t="s">
        <v>607</v>
      </c>
      <c r="VOQ338" s="42" t="s">
        <v>607</v>
      </c>
      <c r="VOR338" s="42" t="s">
        <v>607</v>
      </c>
      <c r="VOS338" s="42" t="s">
        <v>607</v>
      </c>
      <c r="VOT338" s="42" t="s">
        <v>607</v>
      </c>
      <c r="VOU338" s="42" t="s">
        <v>607</v>
      </c>
      <c r="VOV338" s="42" t="s">
        <v>607</v>
      </c>
      <c r="VOW338" s="42" t="s">
        <v>607</v>
      </c>
      <c r="VOX338" s="42" t="s">
        <v>607</v>
      </c>
      <c r="VOY338" s="42" t="s">
        <v>607</v>
      </c>
      <c r="VOZ338" s="42" t="s">
        <v>607</v>
      </c>
      <c r="VPA338" s="42" t="s">
        <v>607</v>
      </c>
      <c r="VPB338" s="42" t="s">
        <v>607</v>
      </c>
      <c r="VPC338" s="42" t="s">
        <v>607</v>
      </c>
      <c r="VPD338" s="42" t="s">
        <v>607</v>
      </c>
      <c r="VPE338" s="42" t="s">
        <v>607</v>
      </c>
      <c r="VPF338" s="42" t="s">
        <v>607</v>
      </c>
      <c r="VPG338" s="42" t="s">
        <v>607</v>
      </c>
      <c r="VPH338" s="42" t="s">
        <v>607</v>
      </c>
      <c r="VPI338" s="42" t="s">
        <v>607</v>
      </c>
      <c r="VPJ338" s="42" t="s">
        <v>607</v>
      </c>
      <c r="VPK338" s="42" t="s">
        <v>607</v>
      </c>
      <c r="VPL338" s="42" t="s">
        <v>607</v>
      </c>
      <c r="VPM338" s="42" t="s">
        <v>607</v>
      </c>
      <c r="VPN338" s="42" t="s">
        <v>607</v>
      </c>
      <c r="VPO338" s="42" t="s">
        <v>607</v>
      </c>
      <c r="VPP338" s="42" t="s">
        <v>607</v>
      </c>
      <c r="VPQ338" s="42" t="s">
        <v>607</v>
      </c>
      <c r="VPR338" s="42" t="s">
        <v>607</v>
      </c>
      <c r="VPS338" s="42" t="s">
        <v>607</v>
      </c>
      <c r="VPT338" s="42" t="s">
        <v>607</v>
      </c>
      <c r="VPU338" s="42" t="s">
        <v>607</v>
      </c>
      <c r="VPV338" s="42" t="s">
        <v>607</v>
      </c>
      <c r="VPW338" s="42" t="s">
        <v>607</v>
      </c>
      <c r="VPX338" s="42" t="s">
        <v>607</v>
      </c>
      <c r="VPY338" s="42" t="s">
        <v>607</v>
      </c>
      <c r="VPZ338" s="42" t="s">
        <v>607</v>
      </c>
      <c r="VQA338" s="42" t="s">
        <v>607</v>
      </c>
      <c r="VQB338" s="42" t="s">
        <v>607</v>
      </c>
      <c r="VQC338" s="42" t="s">
        <v>607</v>
      </c>
      <c r="VQD338" s="42" t="s">
        <v>607</v>
      </c>
      <c r="VQE338" s="42" t="s">
        <v>607</v>
      </c>
      <c r="VQF338" s="42" t="s">
        <v>607</v>
      </c>
      <c r="VQG338" s="42" t="s">
        <v>607</v>
      </c>
      <c r="VQH338" s="42" t="s">
        <v>607</v>
      </c>
      <c r="VQI338" s="42" t="s">
        <v>607</v>
      </c>
      <c r="VQJ338" s="42" t="s">
        <v>607</v>
      </c>
      <c r="VQK338" s="42" t="s">
        <v>607</v>
      </c>
      <c r="VQL338" s="42" t="s">
        <v>607</v>
      </c>
      <c r="VQM338" s="42" t="s">
        <v>607</v>
      </c>
      <c r="VQN338" s="42" t="s">
        <v>607</v>
      </c>
      <c r="VQO338" s="42" t="s">
        <v>607</v>
      </c>
      <c r="VQP338" s="42" t="s">
        <v>607</v>
      </c>
      <c r="VQQ338" s="42" t="s">
        <v>607</v>
      </c>
      <c r="VQR338" s="42" t="s">
        <v>607</v>
      </c>
      <c r="VQS338" s="42" t="s">
        <v>607</v>
      </c>
      <c r="VQT338" s="42" t="s">
        <v>607</v>
      </c>
      <c r="VQU338" s="42" t="s">
        <v>607</v>
      </c>
      <c r="VQV338" s="42" t="s">
        <v>607</v>
      </c>
      <c r="VQW338" s="42" t="s">
        <v>607</v>
      </c>
      <c r="VQX338" s="42" t="s">
        <v>607</v>
      </c>
      <c r="VQY338" s="42" t="s">
        <v>607</v>
      </c>
      <c r="VQZ338" s="42" t="s">
        <v>607</v>
      </c>
      <c r="VRA338" s="42" t="s">
        <v>607</v>
      </c>
      <c r="VRB338" s="42" t="s">
        <v>607</v>
      </c>
      <c r="VRC338" s="42" t="s">
        <v>607</v>
      </c>
      <c r="VRD338" s="42" t="s">
        <v>607</v>
      </c>
      <c r="VRE338" s="42" t="s">
        <v>607</v>
      </c>
      <c r="VRF338" s="42" t="s">
        <v>607</v>
      </c>
      <c r="VRG338" s="42" t="s">
        <v>607</v>
      </c>
      <c r="VRH338" s="42" t="s">
        <v>607</v>
      </c>
      <c r="VRI338" s="42" t="s">
        <v>607</v>
      </c>
      <c r="VRJ338" s="42" t="s">
        <v>607</v>
      </c>
      <c r="VRK338" s="42" t="s">
        <v>607</v>
      </c>
      <c r="VRL338" s="42" t="s">
        <v>607</v>
      </c>
      <c r="VRM338" s="42" t="s">
        <v>607</v>
      </c>
      <c r="VRN338" s="42" t="s">
        <v>607</v>
      </c>
      <c r="VRO338" s="42" t="s">
        <v>607</v>
      </c>
      <c r="VRP338" s="42" t="s">
        <v>607</v>
      </c>
      <c r="VRQ338" s="42" t="s">
        <v>607</v>
      </c>
      <c r="VRR338" s="42" t="s">
        <v>607</v>
      </c>
      <c r="VRS338" s="42" t="s">
        <v>607</v>
      </c>
      <c r="VRT338" s="42" t="s">
        <v>607</v>
      </c>
      <c r="VRU338" s="42" t="s">
        <v>607</v>
      </c>
      <c r="VRV338" s="42" t="s">
        <v>607</v>
      </c>
      <c r="VRW338" s="42" t="s">
        <v>607</v>
      </c>
      <c r="VRX338" s="42" t="s">
        <v>607</v>
      </c>
      <c r="VRY338" s="42" t="s">
        <v>607</v>
      </c>
      <c r="VRZ338" s="42" t="s">
        <v>607</v>
      </c>
      <c r="VSA338" s="42" t="s">
        <v>607</v>
      </c>
      <c r="VSB338" s="42" t="s">
        <v>607</v>
      </c>
      <c r="VSC338" s="42" t="s">
        <v>607</v>
      </c>
      <c r="VSD338" s="42" t="s">
        <v>607</v>
      </c>
      <c r="VSE338" s="42" t="s">
        <v>607</v>
      </c>
      <c r="VSF338" s="42" t="s">
        <v>607</v>
      </c>
      <c r="VSG338" s="42" t="s">
        <v>607</v>
      </c>
      <c r="VSH338" s="42" t="s">
        <v>607</v>
      </c>
      <c r="VSI338" s="42" t="s">
        <v>607</v>
      </c>
      <c r="VSJ338" s="42" t="s">
        <v>607</v>
      </c>
      <c r="VSK338" s="42" t="s">
        <v>607</v>
      </c>
      <c r="VSL338" s="42" t="s">
        <v>607</v>
      </c>
      <c r="VSM338" s="42" t="s">
        <v>607</v>
      </c>
      <c r="VSN338" s="42" t="s">
        <v>607</v>
      </c>
      <c r="VSO338" s="42" t="s">
        <v>607</v>
      </c>
      <c r="VSP338" s="42" t="s">
        <v>607</v>
      </c>
      <c r="VSQ338" s="42" t="s">
        <v>607</v>
      </c>
      <c r="VSR338" s="42" t="s">
        <v>607</v>
      </c>
      <c r="VSS338" s="42" t="s">
        <v>607</v>
      </c>
      <c r="VST338" s="42" t="s">
        <v>607</v>
      </c>
      <c r="VSU338" s="42" t="s">
        <v>607</v>
      </c>
      <c r="VSV338" s="42" t="s">
        <v>607</v>
      </c>
      <c r="VSW338" s="42" t="s">
        <v>607</v>
      </c>
      <c r="VSX338" s="42" t="s">
        <v>607</v>
      </c>
      <c r="VSY338" s="42" t="s">
        <v>607</v>
      </c>
      <c r="VSZ338" s="42" t="s">
        <v>607</v>
      </c>
      <c r="VTA338" s="42" t="s">
        <v>607</v>
      </c>
      <c r="VTB338" s="42" t="s">
        <v>607</v>
      </c>
      <c r="VTC338" s="42" t="s">
        <v>607</v>
      </c>
      <c r="VTD338" s="42" t="s">
        <v>607</v>
      </c>
      <c r="VTE338" s="42" t="s">
        <v>607</v>
      </c>
      <c r="VTF338" s="42" t="s">
        <v>607</v>
      </c>
      <c r="VTG338" s="42" t="s">
        <v>607</v>
      </c>
      <c r="VTH338" s="42" t="s">
        <v>607</v>
      </c>
      <c r="VTI338" s="42" t="s">
        <v>607</v>
      </c>
      <c r="VTJ338" s="42" t="s">
        <v>607</v>
      </c>
      <c r="VTK338" s="42" t="s">
        <v>607</v>
      </c>
      <c r="VTL338" s="42" t="s">
        <v>607</v>
      </c>
      <c r="VTM338" s="42" t="s">
        <v>607</v>
      </c>
      <c r="VTN338" s="42" t="s">
        <v>607</v>
      </c>
      <c r="VTO338" s="42" t="s">
        <v>607</v>
      </c>
      <c r="VTP338" s="42" t="s">
        <v>607</v>
      </c>
      <c r="VTQ338" s="42" t="s">
        <v>607</v>
      </c>
      <c r="VTR338" s="42" t="s">
        <v>607</v>
      </c>
      <c r="VTS338" s="42" t="s">
        <v>607</v>
      </c>
      <c r="VTT338" s="42" t="s">
        <v>607</v>
      </c>
      <c r="VTU338" s="42" t="s">
        <v>607</v>
      </c>
      <c r="VTV338" s="42" t="s">
        <v>607</v>
      </c>
      <c r="VTW338" s="42" t="s">
        <v>607</v>
      </c>
      <c r="VTX338" s="42" t="s">
        <v>607</v>
      </c>
      <c r="VTY338" s="42" t="s">
        <v>607</v>
      </c>
      <c r="VTZ338" s="42" t="s">
        <v>607</v>
      </c>
      <c r="VUA338" s="42" t="s">
        <v>607</v>
      </c>
      <c r="VUB338" s="42" t="s">
        <v>607</v>
      </c>
      <c r="VUC338" s="42" t="s">
        <v>607</v>
      </c>
      <c r="VUD338" s="42" t="s">
        <v>607</v>
      </c>
      <c r="VUE338" s="42" t="s">
        <v>607</v>
      </c>
      <c r="VUF338" s="42" t="s">
        <v>607</v>
      </c>
      <c r="VUG338" s="42" t="s">
        <v>607</v>
      </c>
      <c r="VUH338" s="42" t="s">
        <v>607</v>
      </c>
      <c r="VUI338" s="42" t="s">
        <v>607</v>
      </c>
      <c r="VUJ338" s="42" t="s">
        <v>607</v>
      </c>
      <c r="VUK338" s="42" t="s">
        <v>607</v>
      </c>
      <c r="VUL338" s="42" t="s">
        <v>607</v>
      </c>
      <c r="VUM338" s="42" t="s">
        <v>607</v>
      </c>
      <c r="VUN338" s="42" t="s">
        <v>607</v>
      </c>
      <c r="VUO338" s="42" t="s">
        <v>607</v>
      </c>
      <c r="VUP338" s="42" t="s">
        <v>607</v>
      </c>
      <c r="VUQ338" s="42" t="s">
        <v>607</v>
      </c>
      <c r="VUR338" s="42" t="s">
        <v>607</v>
      </c>
      <c r="VUS338" s="42" t="s">
        <v>607</v>
      </c>
      <c r="VUT338" s="42" t="s">
        <v>607</v>
      </c>
      <c r="VUU338" s="42" t="s">
        <v>607</v>
      </c>
      <c r="VUV338" s="42" t="s">
        <v>607</v>
      </c>
      <c r="VUW338" s="42" t="s">
        <v>607</v>
      </c>
      <c r="VUX338" s="42" t="s">
        <v>607</v>
      </c>
      <c r="VUY338" s="42" t="s">
        <v>607</v>
      </c>
      <c r="VUZ338" s="42" t="s">
        <v>607</v>
      </c>
      <c r="VVA338" s="42" t="s">
        <v>607</v>
      </c>
      <c r="VVB338" s="42" t="s">
        <v>607</v>
      </c>
      <c r="VVC338" s="42" t="s">
        <v>607</v>
      </c>
      <c r="VVD338" s="42" t="s">
        <v>607</v>
      </c>
      <c r="VVE338" s="42" t="s">
        <v>607</v>
      </c>
      <c r="VVF338" s="42" t="s">
        <v>607</v>
      </c>
      <c r="VVG338" s="42" t="s">
        <v>607</v>
      </c>
      <c r="VVH338" s="42" t="s">
        <v>607</v>
      </c>
      <c r="VVI338" s="42" t="s">
        <v>607</v>
      </c>
      <c r="VVJ338" s="42" t="s">
        <v>607</v>
      </c>
      <c r="VVK338" s="42" t="s">
        <v>607</v>
      </c>
      <c r="VVL338" s="42" t="s">
        <v>607</v>
      </c>
      <c r="VVM338" s="42" t="s">
        <v>607</v>
      </c>
      <c r="VVN338" s="42" t="s">
        <v>607</v>
      </c>
      <c r="VVO338" s="42" t="s">
        <v>607</v>
      </c>
      <c r="VVP338" s="42" t="s">
        <v>607</v>
      </c>
      <c r="VVQ338" s="42" t="s">
        <v>607</v>
      </c>
      <c r="VVR338" s="42" t="s">
        <v>607</v>
      </c>
      <c r="VVS338" s="42" t="s">
        <v>607</v>
      </c>
      <c r="VVT338" s="42" t="s">
        <v>607</v>
      </c>
      <c r="VVU338" s="42" t="s">
        <v>607</v>
      </c>
      <c r="VVV338" s="42" t="s">
        <v>607</v>
      </c>
      <c r="VVW338" s="42" t="s">
        <v>607</v>
      </c>
      <c r="VVX338" s="42" t="s">
        <v>607</v>
      </c>
      <c r="VVY338" s="42" t="s">
        <v>607</v>
      </c>
      <c r="VVZ338" s="42" t="s">
        <v>607</v>
      </c>
      <c r="VWA338" s="42" t="s">
        <v>607</v>
      </c>
      <c r="VWB338" s="42" t="s">
        <v>607</v>
      </c>
      <c r="VWC338" s="42" t="s">
        <v>607</v>
      </c>
      <c r="VWD338" s="42" t="s">
        <v>607</v>
      </c>
      <c r="VWE338" s="42" t="s">
        <v>607</v>
      </c>
      <c r="VWF338" s="42" t="s">
        <v>607</v>
      </c>
      <c r="VWG338" s="42" t="s">
        <v>607</v>
      </c>
      <c r="VWH338" s="42" t="s">
        <v>607</v>
      </c>
      <c r="VWI338" s="42" t="s">
        <v>607</v>
      </c>
      <c r="VWJ338" s="42" t="s">
        <v>607</v>
      </c>
      <c r="VWK338" s="42" t="s">
        <v>607</v>
      </c>
      <c r="VWL338" s="42" t="s">
        <v>607</v>
      </c>
      <c r="VWM338" s="42" t="s">
        <v>607</v>
      </c>
      <c r="VWN338" s="42" t="s">
        <v>607</v>
      </c>
      <c r="VWO338" s="42" t="s">
        <v>607</v>
      </c>
      <c r="VWP338" s="42" t="s">
        <v>607</v>
      </c>
      <c r="VWQ338" s="42" t="s">
        <v>607</v>
      </c>
      <c r="VWR338" s="42" t="s">
        <v>607</v>
      </c>
      <c r="VWS338" s="42" t="s">
        <v>607</v>
      </c>
      <c r="VWT338" s="42" t="s">
        <v>607</v>
      </c>
      <c r="VWU338" s="42" t="s">
        <v>607</v>
      </c>
      <c r="VWV338" s="42" t="s">
        <v>607</v>
      </c>
      <c r="VWW338" s="42" t="s">
        <v>607</v>
      </c>
      <c r="VWX338" s="42" t="s">
        <v>607</v>
      </c>
      <c r="VWY338" s="42" t="s">
        <v>607</v>
      </c>
      <c r="VWZ338" s="42" t="s">
        <v>607</v>
      </c>
      <c r="VXA338" s="42" t="s">
        <v>607</v>
      </c>
      <c r="VXB338" s="42" t="s">
        <v>607</v>
      </c>
      <c r="VXC338" s="42" t="s">
        <v>607</v>
      </c>
      <c r="VXD338" s="42" t="s">
        <v>607</v>
      </c>
      <c r="VXE338" s="42" t="s">
        <v>607</v>
      </c>
      <c r="VXF338" s="42" t="s">
        <v>607</v>
      </c>
      <c r="VXG338" s="42" t="s">
        <v>607</v>
      </c>
      <c r="VXH338" s="42" t="s">
        <v>607</v>
      </c>
      <c r="VXI338" s="42" t="s">
        <v>607</v>
      </c>
      <c r="VXJ338" s="42" t="s">
        <v>607</v>
      </c>
      <c r="VXK338" s="42" t="s">
        <v>607</v>
      </c>
      <c r="VXL338" s="42" t="s">
        <v>607</v>
      </c>
      <c r="VXM338" s="42" t="s">
        <v>607</v>
      </c>
      <c r="VXN338" s="42" t="s">
        <v>607</v>
      </c>
      <c r="VXO338" s="42" t="s">
        <v>607</v>
      </c>
      <c r="VXP338" s="42" t="s">
        <v>607</v>
      </c>
      <c r="VXQ338" s="42" t="s">
        <v>607</v>
      </c>
      <c r="VXR338" s="42" t="s">
        <v>607</v>
      </c>
      <c r="VXS338" s="42" t="s">
        <v>607</v>
      </c>
      <c r="VXT338" s="42" t="s">
        <v>607</v>
      </c>
      <c r="VXU338" s="42" t="s">
        <v>607</v>
      </c>
      <c r="VXV338" s="42" t="s">
        <v>607</v>
      </c>
      <c r="VXW338" s="42" t="s">
        <v>607</v>
      </c>
      <c r="VXX338" s="42" t="s">
        <v>607</v>
      </c>
      <c r="VXY338" s="42" t="s">
        <v>607</v>
      </c>
      <c r="VXZ338" s="42" t="s">
        <v>607</v>
      </c>
      <c r="VYA338" s="42" t="s">
        <v>607</v>
      </c>
      <c r="VYB338" s="42" t="s">
        <v>607</v>
      </c>
      <c r="VYC338" s="42" t="s">
        <v>607</v>
      </c>
      <c r="VYD338" s="42" t="s">
        <v>607</v>
      </c>
      <c r="VYE338" s="42" t="s">
        <v>607</v>
      </c>
      <c r="VYF338" s="42" t="s">
        <v>607</v>
      </c>
      <c r="VYG338" s="42" t="s">
        <v>607</v>
      </c>
      <c r="VYH338" s="42" t="s">
        <v>607</v>
      </c>
      <c r="VYI338" s="42" t="s">
        <v>607</v>
      </c>
      <c r="VYJ338" s="42" t="s">
        <v>607</v>
      </c>
      <c r="VYK338" s="42" t="s">
        <v>607</v>
      </c>
      <c r="VYL338" s="42" t="s">
        <v>607</v>
      </c>
      <c r="VYM338" s="42" t="s">
        <v>607</v>
      </c>
      <c r="VYN338" s="42" t="s">
        <v>607</v>
      </c>
      <c r="VYO338" s="42" t="s">
        <v>607</v>
      </c>
      <c r="VYP338" s="42" t="s">
        <v>607</v>
      </c>
      <c r="VYQ338" s="42" t="s">
        <v>607</v>
      </c>
      <c r="VYR338" s="42" t="s">
        <v>607</v>
      </c>
      <c r="VYS338" s="42" t="s">
        <v>607</v>
      </c>
      <c r="VYT338" s="42" t="s">
        <v>607</v>
      </c>
      <c r="VYU338" s="42" t="s">
        <v>607</v>
      </c>
      <c r="VYV338" s="42" t="s">
        <v>607</v>
      </c>
      <c r="VYW338" s="42" t="s">
        <v>607</v>
      </c>
      <c r="VYX338" s="42" t="s">
        <v>607</v>
      </c>
      <c r="VYY338" s="42" t="s">
        <v>607</v>
      </c>
      <c r="VYZ338" s="42" t="s">
        <v>607</v>
      </c>
      <c r="VZA338" s="42" t="s">
        <v>607</v>
      </c>
      <c r="VZB338" s="42" t="s">
        <v>607</v>
      </c>
      <c r="VZC338" s="42" t="s">
        <v>607</v>
      </c>
      <c r="VZD338" s="42" t="s">
        <v>607</v>
      </c>
      <c r="VZE338" s="42" t="s">
        <v>607</v>
      </c>
      <c r="VZF338" s="42" t="s">
        <v>607</v>
      </c>
      <c r="VZG338" s="42" t="s">
        <v>607</v>
      </c>
      <c r="VZH338" s="42" t="s">
        <v>607</v>
      </c>
      <c r="VZI338" s="42" t="s">
        <v>607</v>
      </c>
      <c r="VZJ338" s="42" t="s">
        <v>607</v>
      </c>
      <c r="VZK338" s="42" t="s">
        <v>607</v>
      </c>
      <c r="VZL338" s="42" t="s">
        <v>607</v>
      </c>
      <c r="VZM338" s="42" t="s">
        <v>607</v>
      </c>
      <c r="VZN338" s="42" t="s">
        <v>607</v>
      </c>
      <c r="VZO338" s="42" t="s">
        <v>607</v>
      </c>
      <c r="VZP338" s="42" t="s">
        <v>607</v>
      </c>
      <c r="VZQ338" s="42" t="s">
        <v>607</v>
      </c>
      <c r="VZR338" s="42" t="s">
        <v>607</v>
      </c>
      <c r="VZS338" s="42" t="s">
        <v>607</v>
      </c>
      <c r="VZT338" s="42" t="s">
        <v>607</v>
      </c>
      <c r="VZU338" s="42" t="s">
        <v>607</v>
      </c>
      <c r="VZV338" s="42" t="s">
        <v>607</v>
      </c>
      <c r="VZW338" s="42" t="s">
        <v>607</v>
      </c>
      <c r="VZX338" s="42" t="s">
        <v>607</v>
      </c>
      <c r="VZY338" s="42" t="s">
        <v>607</v>
      </c>
      <c r="VZZ338" s="42" t="s">
        <v>607</v>
      </c>
      <c r="WAA338" s="42" t="s">
        <v>607</v>
      </c>
      <c r="WAB338" s="42" t="s">
        <v>607</v>
      </c>
      <c r="WAC338" s="42" t="s">
        <v>607</v>
      </c>
      <c r="WAD338" s="42" t="s">
        <v>607</v>
      </c>
      <c r="WAE338" s="42" t="s">
        <v>607</v>
      </c>
      <c r="WAF338" s="42" t="s">
        <v>607</v>
      </c>
      <c r="WAG338" s="42" t="s">
        <v>607</v>
      </c>
      <c r="WAH338" s="42" t="s">
        <v>607</v>
      </c>
      <c r="WAI338" s="42" t="s">
        <v>607</v>
      </c>
      <c r="WAJ338" s="42" t="s">
        <v>607</v>
      </c>
      <c r="WAK338" s="42" t="s">
        <v>607</v>
      </c>
      <c r="WAL338" s="42" t="s">
        <v>607</v>
      </c>
      <c r="WAM338" s="42" t="s">
        <v>607</v>
      </c>
      <c r="WAN338" s="42" t="s">
        <v>607</v>
      </c>
      <c r="WAO338" s="42" t="s">
        <v>607</v>
      </c>
      <c r="WAP338" s="42" t="s">
        <v>607</v>
      </c>
      <c r="WAQ338" s="42" t="s">
        <v>607</v>
      </c>
      <c r="WAR338" s="42" t="s">
        <v>607</v>
      </c>
      <c r="WAS338" s="42" t="s">
        <v>607</v>
      </c>
      <c r="WAT338" s="42" t="s">
        <v>607</v>
      </c>
      <c r="WAU338" s="42" t="s">
        <v>607</v>
      </c>
      <c r="WAV338" s="42" t="s">
        <v>607</v>
      </c>
      <c r="WAW338" s="42" t="s">
        <v>607</v>
      </c>
      <c r="WAX338" s="42" t="s">
        <v>607</v>
      </c>
      <c r="WAY338" s="42" t="s">
        <v>607</v>
      </c>
      <c r="WAZ338" s="42" t="s">
        <v>607</v>
      </c>
      <c r="WBA338" s="42" t="s">
        <v>607</v>
      </c>
      <c r="WBB338" s="42" t="s">
        <v>607</v>
      </c>
      <c r="WBC338" s="42" t="s">
        <v>607</v>
      </c>
      <c r="WBD338" s="42" t="s">
        <v>607</v>
      </c>
      <c r="WBE338" s="42" t="s">
        <v>607</v>
      </c>
      <c r="WBF338" s="42" t="s">
        <v>607</v>
      </c>
      <c r="WBG338" s="42" t="s">
        <v>607</v>
      </c>
      <c r="WBH338" s="42" t="s">
        <v>607</v>
      </c>
      <c r="WBI338" s="42" t="s">
        <v>607</v>
      </c>
      <c r="WBJ338" s="42" t="s">
        <v>607</v>
      </c>
      <c r="WBK338" s="42" t="s">
        <v>607</v>
      </c>
      <c r="WBL338" s="42" t="s">
        <v>607</v>
      </c>
      <c r="WBM338" s="42" t="s">
        <v>607</v>
      </c>
      <c r="WBN338" s="42" t="s">
        <v>607</v>
      </c>
      <c r="WBO338" s="42" t="s">
        <v>607</v>
      </c>
      <c r="WBP338" s="42" t="s">
        <v>607</v>
      </c>
      <c r="WBQ338" s="42" t="s">
        <v>607</v>
      </c>
      <c r="WBR338" s="42" t="s">
        <v>607</v>
      </c>
      <c r="WBS338" s="42" t="s">
        <v>607</v>
      </c>
      <c r="WBT338" s="42" t="s">
        <v>607</v>
      </c>
      <c r="WBU338" s="42" t="s">
        <v>607</v>
      </c>
      <c r="WBV338" s="42" t="s">
        <v>607</v>
      </c>
      <c r="WBW338" s="42" t="s">
        <v>607</v>
      </c>
      <c r="WBX338" s="42" t="s">
        <v>607</v>
      </c>
      <c r="WBY338" s="42" t="s">
        <v>607</v>
      </c>
      <c r="WBZ338" s="42" t="s">
        <v>607</v>
      </c>
      <c r="WCA338" s="42" t="s">
        <v>607</v>
      </c>
      <c r="WCB338" s="42" t="s">
        <v>607</v>
      </c>
      <c r="WCC338" s="42" t="s">
        <v>607</v>
      </c>
      <c r="WCD338" s="42" t="s">
        <v>607</v>
      </c>
      <c r="WCE338" s="42" t="s">
        <v>607</v>
      </c>
      <c r="WCF338" s="42" t="s">
        <v>607</v>
      </c>
      <c r="WCG338" s="42" t="s">
        <v>607</v>
      </c>
      <c r="WCH338" s="42" t="s">
        <v>607</v>
      </c>
      <c r="WCI338" s="42" t="s">
        <v>607</v>
      </c>
      <c r="WCJ338" s="42" t="s">
        <v>607</v>
      </c>
      <c r="WCK338" s="42" t="s">
        <v>607</v>
      </c>
      <c r="WCL338" s="42" t="s">
        <v>607</v>
      </c>
      <c r="WCM338" s="42" t="s">
        <v>607</v>
      </c>
      <c r="WCN338" s="42" t="s">
        <v>607</v>
      </c>
      <c r="WCO338" s="42" t="s">
        <v>607</v>
      </c>
      <c r="WCP338" s="42" t="s">
        <v>607</v>
      </c>
      <c r="WCQ338" s="42" t="s">
        <v>607</v>
      </c>
      <c r="WCR338" s="42" t="s">
        <v>607</v>
      </c>
      <c r="WCS338" s="42" t="s">
        <v>607</v>
      </c>
      <c r="WCT338" s="42" t="s">
        <v>607</v>
      </c>
      <c r="WCU338" s="42" t="s">
        <v>607</v>
      </c>
      <c r="WCV338" s="42" t="s">
        <v>607</v>
      </c>
      <c r="WCW338" s="42" t="s">
        <v>607</v>
      </c>
      <c r="WCX338" s="42" t="s">
        <v>607</v>
      </c>
      <c r="WCY338" s="42" t="s">
        <v>607</v>
      </c>
      <c r="WCZ338" s="42" t="s">
        <v>607</v>
      </c>
      <c r="WDA338" s="42" t="s">
        <v>607</v>
      </c>
      <c r="WDB338" s="42" t="s">
        <v>607</v>
      </c>
      <c r="WDC338" s="42" t="s">
        <v>607</v>
      </c>
      <c r="WDD338" s="42" t="s">
        <v>607</v>
      </c>
      <c r="WDE338" s="42" t="s">
        <v>607</v>
      </c>
      <c r="WDF338" s="42" t="s">
        <v>607</v>
      </c>
      <c r="WDG338" s="42" t="s">
        <v>607</v>
      </c>
      <c r="WDH338" s="42" t="s">
        <v>607</v>
      </c>
      <c r="WDI338" s="42" t="s">
        <v>607</v>
      </c>
      <c r="WDJ338" s="42" t="s">
        <v>607</v>
      </c>
      <c r="WDK338" s="42" t="s">
        <v>607</v>
      </c>
      <c r="WDL338" s="42" t="s">
        <v>607</v>
      </c>
      <c r="WDM338" s="42" t="s">
        <v>607</v>
      </c>
      <c r="WDN338" s="42" t="s">
        <v>607</v>
      </c>
      <c r="WDO338" s="42" t="s">
        <v>607</v>
      </c>
      <c r="WDP338" s="42" t="s">
        <v>607</v>
      </c>
      <c r="WDQ338" s="42" t="s">
        <v>607</v>
      </c>
      <c r="WDR338" s="42" t="s">
        <v>607</v>
      </c>
      <c r="WDS338" s="42" t="s">
        <v>607</v>
      </c>
      <c r="WDT338" s="42" t="s">
        <v>607</v>
      </c>
      <c r="WDU338" s="42" t="s">
        <v>607</v>
      </c>
      <c r="WDV338" s="42" t="s">
        <v>607</v>
      </c>
      <c r="WDW338" s="42" t="s">
        <v>607</v>
      </c>
      <c r="WDX338" s="42" t="s">
        <v>607</v>
      </c>
      <c r="WDY338" s="42" t="s">
        <v>607</v>
      </c>
      <c r="WDZ338" s="42" t="s">
        <v>607</v>
      </c>
      <c r="WEA338" s="42" t="s">
        <v>607</v>
      </c>
      <c r="WEB338" s="42" t="s">
        <v>607</v>
      </c>
      <c r="WEC338" s="42" t="s">
        <v>607</v>
      </c>
      <c r="WED338" s="42" t="s">
        <v>607</v>
      </c>
      <c r="WEE338" s="42" t="s">
        <v>607</v>
      </c>
      <c r="WEF338" s="42" t="s">
        <v>607</v>
      </c>
      <c r="WEG338" s="42" t="s">
        <v>607</v>
      </c>
      <c r="WEH338" s="42" t="s">
        <v>607</v>
      </c>
      <c r="WEI338" s="42" t="s">
        <v>607</v>
      </c>
      <c r="WEJ338" s="42" t="s">
        <v>607</v>
      </c>
      <c r="WEK338" s="42" t="s">
        <v>607</v>
      </c>
      <c r="WEL338" s="42" t="s">
        <v>607</v>
      </c>
      <c r="WEM338" s="42" t="s">
        <v>607</v>
      </c>
      <c r="WEN338" s="42" t="s">
        <v>607</v>
      </c>
      <c r="WEO338" s="42" t="s">
        <v>607</v>
      </c>
      <c r="WEP338" s="42" t="s">
        <v>607</v>
      </c>
      <c r="WEQ338" s="42" t="s">
        <v>607</v>
      </c>
      <c r="WER338" s="42" t="s">
        <v>607</v>
      </c>
      <c r="WES338" s="42" t="s">
        <v>607</v>
      </c>
      <c r="WET338" s="42" t="s">
        <v>607</v>
      </c>
      <c r="WEU338" s="42" t="s">
        <v>607</v>
      </c>
      <c r="WEV338" s="42" t="s">
        <v>607</v>
      </c>
      <c r="WEW338" s="42" t="s">
        <v>607</v>
      </c>
      <c r="WEX338" s="42" t="s">
        <v>607</v>
      </c>
      <c r="WEY338" s="42" t="s">
        <v>607</v>
      </c>
      <c r="WEZ338" s="42" t="s">
        <v>607</v>
      </c>
      <c r="WFA338" s="42" t="s">
        <v>607</v>
      </c>
      <c r="WFB338" s="42" t="s">
        <v>607</v>
      </c>
      <c r="WFC338" s="42" t="s">
        <v>607</v>
      </c>
      <c r="WFD338" s="42" t="s">
        <v>607</v>
      </c>
      <c r="WFE338" s="42" t="s">
        <v>607</v>
      </c>
      <c r="WFF338" s="42" t="s">
        <v>607</v>
      </c>
      <c r="WFG338" s="42" t="s">
        <v>607</v>
      </c>
      <c r="WFH338" s="42" t="s">
        <v>607</v>
      </c>
      <c r="WFI338" s="42" t="s">
        <v>607</v>
      </c>
      <c r="WFJ338" s="42" t="s">
        <v>607</v>
      </c>
      <c r="WFK338" s="42" t="s">
        <v>607</v>
      </c>
      <c r="WFL338" s="42" t="s">
        <v>607</v>
      </c>
      <c r="WFM338" s="42" t="s">
        <v>607</v>
      </c>
      <c r="WFN338" s="42" t="s">
        <v>607</v>
      </c>
      <c r="WFO338" s="42" t="s">
        <v>607</v>
      </c>
      <c r="WFP338" s="42" t="s">
        <v>607</v>
      </c>
      <c r="WFQ338" s="42" t="s">
        <v>607</v>
      </c>
      <c r="WFR338" s="42" t="s">
        <v>607</v>
      </c>
      <c r="WFS338" s="42" t="s">
        <v>607</v>
      </c>
      <c r="WFT338" s="42" t="s">
        <v>607</v>
      </c>
      <c r="WFU338" s="42" t="s">
        <v>607</v>
      </c>
      <c r="WFV338" s="42" t="s">
        <v>607</v>
      </c>
      <c r="WFW338" s="42" t="s">
        <v>607</v>
      </c>
      <c r="WFX338" s="42" t="s">
        <v>607</v>
      </c>
      <c r="WFY338" s="42" t="s">
        <v>607</v>
      </c>
      <c r="WFZ338" s="42" t="s">
        <v>607</v>
      </c>
      <c r="WGA338" s="42" t="s">
        <v>607</v>
      </c>
      <c r="WGB338" s="42" t="s">
        <v>607</v>
      </c>
      <c r="WGC338" s="42" t="s">
        <v>607</v>
      </c>
      <c r="WGD338" s="42" t="s">
        <v>607</v>
      </c>
      <c r="WGE338" s="42" t="s">
        <v>607</v>
      </c>
      <c r="WGF338" s="42" t="s">
        <v>607</v>
      </c>
      <c r="WGG338" s="42" t="s">
        <v>607</v>
      </c>
      <c r="WGH338" s="42" t="s">
        <v>607</v>
      </c>
      <c r="WGI338" s="42" t="s">
        <v>607</v>
      </c>
      <c r="WGJ338" s="42" t="s">
        <v>607</v>
      </c>
      <c r="WGK338" s="42" t="s">
        <v>607</v>
      </c>
      <c r="WGL338" s="42" t="s">
        <v>607</v>
      </c>
      <c r="WGM338" s="42" t="s">
        <v>607</v>
      </c>
      <c r="WGN338" s="42" t="s">
        <v>607</v>
      </c>
      <c r="WGO338" s="42" t="s">
        <v>607</v>
      </c>
      <c r="WGP338" s="42" t="s">
        <v>607</v>
      </c>
      <c r="WGQ338" s="42" t="s">
        <v>607</v>
      </c>
      <c r="WGR338" s="42" t="s">
        <v>607</v>
      </c>
      <c r="WGS338" s="42" t="s">
        <v>607</v>
      </c>
      <c r="WGT338" s="42" t="s">
        <v>607</v>
      </c>
      <c r="WGU338" s="42" t="s">
        <v>607</v>
      </c>
      <c r="WGV338" s="42" t="s">
        <v>607</v>
      </c>
      <c r="WGW338" s="42" t="s">
        <v>607</v>
      </c>
      <c r="WGX338" s="42" t="s">
        <v>607</v>
      </c>
      <c r="WGY338" s="42" t="s">
        <v>607</v>
      </c>
      <c r="WGZ338" s="42" t="s">
        <v>607</v>
      </c>
      <c r="WHA338" s="42" t="s">
        <v>607</v>
      </c>
      <c r="WHB338" s="42" t="s">
        <v>607</v>
      </c>
      <c r="WHC338" s="42" t="s">
        <v>607</v>
      </c>
      <c r="WHD338" s="42" t="s">
        <v>607</v>
      </c>
      <c r="WHE338" s="42" t="s">
        <v>607</v>
      </c>
      <c r="WHF338" s="42" t="s">
        <v>607</v>
      </c>
      <c r="WHG338" s="42" t="s">
        <v>607</v>
      </c>
      <c r="WHH338" s="42" t="s">
        <v>607</v>
      </c>
      <c r="WHI338" s="42" t="s">
        <v>607</v>
      </c>
      <c r="WHJ338" s="42" t="s">
        <v>607</v>
      </c>
      <c r="WHK338" s="42" t="s">
        <v>607</v>
      </c>
      <c r="WHL338" s="42" t="s">
        <v>607</v>
      </c>
      <c r="WHM338" s="42" t="s">
        <v>607</v>
      </c>
      <c r="WHN338" s="42" t="s">
        <v>607</v>
      </c>
      <c r="WHO338" s="42" t="s">
        <v>607</v>
      </c>
      <c r="WHP338" s="42" t="s">
        <v>607</v>
      </c>
      <c r="WHQ338" s="42" t="s">
        <v>607</v>
      </c>
      <c r="WHR338" s="42" t="s">
        <v>607</v>
      </c>
      <c r="WHS338" s="42" t="s">
        <v>607</v>
      </c>
      <c r="WHT338" s="42" t="s">
        <v>607</v>
      </c>
      <c r="WHU338" s="42" t="s">
        <v>607</v>
      </c>
      <c r="WHV338" s="42" t="s">
        <v>607</v>
      </c>
      <c r="WHW338" s="42" t="s">
        <v>607</v>
      </c>
      <c r="WHX338" s="42" t="s">
        <v>607</v>
      </c>
      <c r="WHY338" s="42" t="s">
        <v>607</v>
      </c>
      <c r="WHZ338" s="42" t="s">
        <v>607</v>
      </c>
      <c r="WIA338" s="42" t="s">
        <v>607</v>
      </c>
      <c r="WIB338" s="42" t="s">
        <v>607</v>
      </c>
      <c r="WIC338" s="42" t="s">
        <v>607</v>
      </c>
      <c r="WID338" s="42" t="s">
        <v>607</v>
      </c>
      <c r="WIE338" s="42" t="s">
        <v>607</v>
      </c>
      <c r="WIF338" s="42" t="s">
        <v>607</v>
      </c>
      <c r="WIG338" s="42" t="s">
        <v>607</v>
      </c>
      <c r="WIH338" s="42" t="s">
        <v>607</v>
      </c>
      <c r="WII338" s="42" t="s">
        <v>607</v>
      </c>
      <c r="WIJ338" s="42" t="s">
        <v>607</v>
      </c>
      <c r="WIK338" s="42" t="s">
        <v>607</v>
      </c>
      <c r="WIL338" s="42" t="s">
        <v>607</v>
      </c>
      <c r="WIM338" s="42" t="s">
        <v>607</v>
      </c>
      <c r="WIN338" s="42" t="s">
        <v>607</v>
      </c>
      <c r="WIO338" s="42" t="s">
        <v>607</v>
      </c>
      <c r="WIP338" s="42" t="s">
        <v>607</v>
      </c>
      <c r="WIQ338" s="42" t="s">
        <v>607</v>
      </c>
      <c r="WIR338" s="42" t="s">
        <v>607</v>
      </c>
      <c r="WIS338" s="42" t="s">
        <v>607</v>
      </c>
      <c r="WIT338" s="42" t="s">
        <v>607</v>
      </c>
      <c r="WIU338" s="42" t="s">
        <v>607</v>
      </c>
      <c r="WIV338" s="42" t="s">
        <v>607</v>
      </c>
      <c r="WIW338" s="42" t="s">
        <v>607</v>
      </c>
      <c r="WIX338" s="42" t="s">
        <v>607</v>
      </c>
      <c r="WIY338" s="42" t="s">
        <v>607</v>
      </c>
      <c r="WIZ338" s="42" t="s">
        <v>607</v>
      </c>
      <c r="WJA338" s="42" t="s">
        <v>607</v>
      </c>
      <c r="WJB338" s="42" t="s">
        <v>607</v>
      </c>
      <c r="WJC338" s="42" t="s">
        <v>607</v>
      </c>
      <c r="WJD338" s="42" t="s">
        <v>607</v>
      </c>
      <c r="WJE338" s="42" t="s">
        <v>607</v>
      </c>
      <c r="WJF338" s="42" t="s">
        <v>607</v>
      </c>
      <c r="WJG338" s="42" t="s">
        <v>607</v>
      </c>
      <c r="WJH338" s="42" t="s">
        <v>607</v>
      </c>
      <c r="WJI338" s="42" t="s">
        <v>607</v>
      </c>
      <c r="WJJ338" s="42" t="s">
        <v>607</v>
      </c>
      <c r="WJK338" s="42" t="s">
        <v>607</v>
      </c>
      <c r="WJL338" s="42" t="s">
        <v>607</v>
      </c>
      <c r="WJM338" s="42" t="s">
        <v>607</v>
      </c>
      <c r="WJN338" s="42" t="s">
        <v>607</v>
      </c>
      <c r="WJO338" s="42" t="s">
        <v>607</v>
      </c>
      <c r="WJP338" s="42" t="s">
        <v>607</v>
      </c>
      <c r="WJQ338" s="42" t="s">
        <v>607</v>
      </c>
      <c r="WJR338" s="42" t="s">
        <v>607</v>
      </c>
      <c r="WJS338" s="42" t="s">
        <v>607</v>
      </c>
      <c r="WJT338" s="42" t="s">
        <v>607</v>
      </c>
      <c r="WJU338" s="42" t="s">
        <v>607</v>
      </c>
      <c r="WJV338" s="42" t="s">
        <v>607</v>
      </c>
      <c r="WJW338" s="42" t="s">
        <v>607</v>
      </c>
      <c r="WJX338" s="42" t="s">
        <v>607</v>
      </c>
      <c r="WJY338" s="42" t="s">
        <v>607</v>
      </c>
      <c r="WJZ338" s="42" t="s">
        <v>607</v>
      </c>
      <c r="WKA338" s="42" t="s">
        <v>607</v>
      </c>
      <c r="WKB338" s="42" t="s">
        <v>607</v>
      </c>
      <c r="WKC338" s="42" t="s">
        <v>607</v>
      </c>
      <c r="WKD338" s="42" t="s">
        <v>607</v>
      </c>
      <c r="WKE338" s="42" t="s">
        <v>607</v>
      </c>
      <c r="WKF338" s="42" t="s">
        <v>607</v>
      </c>
      <c r="WKG338" s="42" t="s">
        <v>607</v>
      </c>
      <c r="WKH338" s="42" t="s">
        <v>607</v>
      </c>
      <c r="WKI338" s="42" t="s">
        <v>607</v>
      </c>
      <c r="WKJ338" s="42" t="s">
        <v>607</v>
      </c>
      <c r="WKK338" s="42" t="s">
        <v>607</v>
      </c>
      <c r="WKL338" s="42" t="s">
        <v>607</v>
      </c>
      <c r="WKM338" s="42" t="s">
        <v>607</v>
      </c>
      <c r="WKN338" s="42" t="s">
        <v>607</v>
      </c>
      <c r="WKO338" s="42" t="s">
        <v>607</v>
      </c>
      <c r="WKP338" s="42" t="s">
        <v>607</v>
      </c>
      <c r="WKQ338" s="42" t="s">
        <v>607</v>
      </c>
      <c r="WKR338" s="42" t="s">
        <v>607</v>
      </c>
      <c r="WKS338" s="42" t="s">
        <v>607</v>
      </c>
      <c r="WKT338" s="42" t="s">
        <v>607</v>
      </c>
      <c r="WKU338" s="42" t="s">
        <v>607</v>
      </c>
      <c r="WKV338" s="42" t="s">
        <v>607</v>
      </c>
      <c r="WKW338" s="42" t="s">
        <v>607</v>
      </c>
      <c r="WKX338" s="42" t="s">
        <v>607</v>
      </c>
      <c r="WKY338" s="42" t="s">
        <v>607</v>
      </c>
      <c r="WKZ338" s="42" t="s">
        <v>607</v>
      </c>
      <c r="WLA338" s="42" t="s">
        <v>607</v>
      </c>
      <c r="WLB338" s="42" t="s">
        <v>607</v>
      </c>
      <c r="WLC338" s="42" t="s">
        <v>607</v>
      </c>
      <c r="WLD338" s="42" t="s">
        <v>607</v>
      </c>
      <c r="WLE338" s="42" t="s">
        <v>607</v>
      </c>
      <c r="WLF338" s="42" t="s">
        <v>607</v>
      </c>
      <c r="WLG338" s="42" t="s">
        <v>607</v>
      </c>
      <c r="WLH338" s="42" t="s">
        <v>607</v>
      </c>
      <c r="WLI338" s="42" t="s">
        <v>607</v>
      </c>
      <c r="WLJ338" s="42" t="s">
        <v>607</v>
      </c>
      <c r="WLK338" s="42" t="s">
        <v>607</v>
      </c>
      <c r="WLL338" s="42" t="s">
        <v>607</v>
      </c>
      <c r="WLM338" s="42" t="s">
        <v>607</v>
      </c>
      <c r="WLN338" s="42" t="s">
        <v>607</v>
      </c>
      <c r="WLO338" s="42" t="s">
        <v>607</v>
      </c>
      <c r="WLP338" s="42" t="s">
        <v>607</v>
      </c>
      <c r="WLQ338" s="42" t="s">
        <v>607</v>
      </c>
      <c r="WLR338" s="42" t="s">
        <v>607</v>
      </c>
      <c r="WLS338" s="42" t="s">
        <v>607</v>
      </c>
      <c r="WLT338" s="42" t="s">
        <v>607</v>
      </c>
      <c r="WLU338" s="42" t="s">
        <v>607</v>
      </c>
      <c r="WLV338" s="42" t="s">
        <v>607</v>
      </c>
      <c r="WLW338" s="42" t="s">
        <v>607</v>
      </c>
      <c r="WLX338" s="42" t="s">
        <v>607</v>
      </c>
      <c r="WLY338" s="42" t="s">
        <v>607</v>
      </c>
      <c r="WLZ338" s="42" t="s">
        <v>607</v>
      </c>
      <c r="WMA338" s="42" t="s">
        <v>607</v>
      </c>
      <c r="WMB338" s="42" t="s">
        <v>607</v>
      </c>
      <c r="WMC338" s="42" t="s">
        <v>607</v>
      </c>
      <c r="WMD338" s="42" t="s">
        <v>607</v>
      </c>
      <c r="WME338" s="42" t="s">
        <v>607</v>
      </c>
      <c r="WMF338" s="42" t="s">
        <v>607</v>
      </c>
      <c r="WMG338" s="42" t="s">
        <v>607</v>
      </c>
      <c r="WMH338" s="42" t="s">
        <v>607</v>
      </c>
      <c r="WMI338" s="42" t="s">
        <v>607</v>
      </c>
      <c r="WMJ338" s="42" t="s">
        <v>607</v>
      </c>
      <c r="WMK338" s="42" t="s">
        <v>607</v>
      </c>
      <c r="WML338" s="42" t="s">
        <v>607</v>
      </c>
      <c r="WMM338" s="42" t="s">
        <v>607</v>
      </c>
      <c r="WMN338" s="42" t="s">
        <v>607</v>
      </c>
      <c r="WMO338" s="42" t="s">
        <v>607</v>
      </c>
      <c r="WMP338" s="42" t="s">
        <v>607</v>
      </c>
      <c r="WMQ338" s="42" t="s">
        <v>607</v>
      </c>
      <c r="WMR338" s="42" t="s">
        <v>607</v>
      </c>
      <c r="WMS338" s="42" t="s">
        <v>607</v>
      </c>
      <c r="WMT338" s="42" t="s">
        <v>607</v>
      </c>
      <c r="WMU338" s="42" t="s">
        <v>607</v>
      </c>
      <c r="WMV338" s="42" t="s">
        <v>607</v>
      </c>
      <c r="WMW338" s="42" t="s">
        <v>607</v>
      </c>
      <c r="WMX338" s="42" t="s">
        <v>607</v>
      </c>
      <c r="WMY338" s="42" t="s">
        <v>607</v>
      </c>
      <c r="WMZ338" s="42" t="s">
        <v>607</v>
      </c>
      <c r="WNA338" s="42" t="s">
        <v>607</v>
      </c>
      <c r="WNB338" s="42" t="s">
        <v>607</v>
      </c>
      <c r="WNC338" s="42" t="s">
        <v>607</v>
      </c>
      <c r="WND338" s="42" t="s">
        <v>607</v>
      </c>
      <c r="WNE338" s="42" t="s">
        <v>607</v>
      </c>
      <c r="WNF338" s="42" t="s">
        <v>607</v>
      </c>
      <c r="WNG338" s="42" t="s">
        <v>607</v>
      </c>
      <c r="WNH338" s="42" t="s">
        <v>607</v>
      </c>
      <c r="WNI338" s="42" t="s">
        <v>607</v>
      </c>
      <c r="WNJ338" s="42" t="s">
        <v>607</v>
      </c>
      <c r="WNK338" s="42" t="s">
        <v>607</v>
      </c>
      <c r="WNL338" s="42" t="s">
        <v>607</v>
      </c>
      <c r="WNM338" s="42" t="s">
        <v>607</v>
      </c>
      <c r="WNN338" s="42" t="s">
        <v>607</v>
      </c>
      <c r="WNO338" s="42" t="s">
        <v>607</v>
      </c>
      <c r="WNP338" s="42" t="s">
        <v>607</v>
      </c>
      <c r="WNQ338" s="42" t="s">
        <v>607</v>
      </c>
      <c r="WNR338" s="42" t="s">
        <v>607</v>
      </c>
      <c r="WNS338" s="42" t="s">
        <v>607</v>
      </c>
      <c r="WNT338" s="42" t="s">
        <v>607</v>
      </c>
      <c r="WNU338" s="42" t="s">
        <v>607</v>
      </c>
      <c r="WNV338" s="42" t="s">
        <v>607</v>
      </c>
      <c r="WNW338" s="42" t="s">
        <v>607</v>
      </c>
      <c r="WNX338" s="42" t="s">
        <v>607</v>
      </c>
      <c r="WNY338" s="42" t="s">
        <v>607</v>
      </c>
      <c r="WNZ338" s="42" t="s">
        <v>607</v>
      </c>
      <c r="WOA338" s="42" t="s">
        <v>607</v>
      </c>
      <c r="WOB338" s="42" t="s">
        <v>607</v>
      </c>
      <c r="WOC338" s="42" t="s">
        <v>607</v>
      </c>
      <c r="WOD338" s="42" t="s">
        <v>607</v>
      </c>
      <c r="WOE338" s="42" t="s">
        <v>607</v>
      </c>
      <c r="WOF338" s="42" t="s">
        <v>607</v>
      </c>
      <c r="WOG338" s="42" t="s">
        <v>607</v>
      </c>
      <c r="WOH338" s="42" t="s">
        <v>607</v>
      </c>
      <c r="WOI338" s="42" t="s">
        <v>607</v>
      </c>
      <c r="WOJ338" s="42" t="s">
        <v>607</v>
      </c>
      <c r="WOK338" s="42" t="s">
        <v>607</v>
      </c>
      <c r="WOL338" s="42" t="s">
        <v>607</v>
      </c>
      <c r="WOM338" s="42" t="s">
        <v>607</v>
      </c>
      <c r="WON338" s="42" t="s">
        <v>607</v>
      </c>
      <c r="WOO338" s="42" t="s">
        <v>607</v>
      </c>
      <c r="WOP338" s="42" t="s">
        <v>607</v>
      </c>
      <c r="WOQ338" s="42" t="s">
        <v>607</v>
      </c>
      <c r="WOR338" s="42" t="s">
        <v>607</v>
      </c>
      <c r="WOS338" s="42" t="s">
        <v>607</v>
      </c>
      <c r="WOT338" s="42" t="s">
        <v>607</v>
      </c>
      <c r="WOU338" s="42" t="s">
        <v>607</v>
      </c>
      <c r="WOV338" s="42" t="s">
        <v>607</v>
      </c>
      <c r="WOW338" s="42" t="s">
        <v>607</v>
      </c>
      <c r="WOX338" s="42" t="s">
        <v>607</v>
      </c>
      <c r="WOY338" s="42" t="s">
        <v>607</v>
      </c>
      <c r="WOZ338" s="42" t="s">
        <v>607</v>
      </c>
      <c r="WPA338" s="42" t="s">
        <v>607</v>
      </c>
      <c r="WPB338" s="42" t="s">
        <v>607</v>
      </c>
      <c r="WPC338" s="42" t="s">
        <v>607</v>
      </c>
      <c r="WPD338" s="42" t="s">
        <v>607</v>
      </c>
      <c r="WPE338" s="42" t="s">
        <v>607</v>
      </c>
      <c r="WPF338" s="42" t="s">
        <v>607</v>
      </c>
      <c r="WPG338" s="42" t="s">
        <v>607</v>
      </c>
      <c r="WPH338" s="42" t="s">
        <v>607</v>
      </c>
      <c r="WPI338" s="42" t="s">
        <v>607</v>
      </c>
      <c r="WPJ338" s="42" t="s">
        <v>607</v>
      </c>
      <c r="WPK338" s="42" t="s">
        <v>607</v>
      </c>
      <c r="WPL338" s="42" t="s">
        <v>607</v>
      </c>
      <c r="WPM338" s="42" t="s">
        <v>607</v>
      </c>
      <c r="WPN338" s="42" t="s">
        <v>607</v>
      </c>
      <c r="WPO338" s="42" t="s">
        <v>607</v>
      </c>
      <c r="WPP338" s="42" t="s">
        <v>607</v>
      </c>
      <c r="WPQ338" s="42" t="s">
        <v>607</v>
      </c>
      <c r="WPR338" s="42" t="s">
        <v>607</v>
      </c>
      <c r="WPS338" s="42" t="s">
        <v>607</v>
      </c>
      <c r="WPT338" s="42" t="s">
        <v>607</v>
      </c>
      <c r="WPU338" s="42" t="s">
        <v>607</v>
      </c>
      <c r="WPV338" s="42" t="s">
        <v>607</v>
      </c>
      <c r="WPW338" s="42" t="s">
        <v>607</v>
      </c>
      <c r="WPX338" s="42" t="s">
        <v>607</v>
      </c>
      <c r="WPY338" s="42" t="s">
        <v>607</v>
      </c>
      <c r="WPZ338" s="42" t="s">
        <v>607</v>
      </c>
      <c r="WQA338" s="42" t="s">
        <v>607</v>
      </c>
      <c r="WQB338" s="42" t="s">
        <v>607</v>
      </c>
      <c r="WQC338" s="42" t="s">
        <v>607</v>
      </c>
      <c r="WQD338" s="42" t="s">
        <v>607</v>
      </c>
      <c r="WQE338" s="42" t="s">
        <v>607</v>
      </c>
      <c r="WQF338" s="42" t="s">
        <v>607</v>
      </c>
      <c r="WQG338" s="42" t="s">
        <v>607</v>
      </c>
      <c r="WQH338" s="42" t="s">
        <v>607</v>
      </c>
      <c r="WQI338" s="42" t="s">
        <v>607</v>
      </c>
      <c r="WQJ338" s="42" t="s">
        <v>607</v>
      </c>
      <c r="WQK338" s="42" t="s">
        <v>607</v>
      </c>
      <c r="WQL338" s="42" t="s">
        <v>607</v>
      </c>
      <c r="WQM338" s="42" t="s">
        <v>607</v>
      </c>
      <c r="WQN338" s="42" t="s">
        <v>607</v>
      </c>
      <c r="WQO338" s="42" t="s">
        <v>607</v>
      </c>
      <c r="WQP338" s="42" t="s">
        <v>607</v>
      </c>
      <c r="WQQ338" s="42" t="s">
        <v>607</v>
      </c>
      <c r="WQR338" s="42" t="s">
        <v>607</v>
      </c>
      <c r="WQS338" s="42" t="s">
        <v>607</v>
      </c>
      <c r="WQT338" s="42" t="s">
        <v>607</v>
      </c>
      <c r="WQU338" s="42" t="s">
        <v>607</v>
      </c>
      <c r="WQV338" s="42" t="s">
        <v>607</v>
      </c>
      <c r="WQW338" s="42" t="s">
        <v>607</v>
      </c>
      <c r="WQX338" s="42" t="s">
        <v>607</v>
      </c>
      <c r="WQY338" s="42" t="s">
        <v>607</v>
      </c>
      <c r="WQZ338" s="42" t="s">
        <v>607</v>
      </c>
      <c r="WRA338" s="42" t="s">
        <v>607</v>
      </c>
      <c r="WRB338" s="42" t="s">
        <v>607</v>
      </c>
      <c r="WRC338" s="42" t="s">
        <v>607</v>
      </c>
      <c r="WRD338" s="42" t="s">
        <v>607</v>
      </c>
      <c r="WRE338" s="42" t="s">
        <v>607</v>
      </c>
      <c r="WRF338" s="42" t="s">
        <v>607</v>
      </c>
      <c r="WRG338" s="42" t="s">
        <v>607</v>
      </c>
      <c r="WRH338" s="42" t="s">
        <v>607</v>
      </c>
      <c r="WRI338" s="42" t="s">
        <v>607</v>
      </c>
      <c r="WRJ338" s="42" t="s">
        <v>607</v>
      </c>
      <c r="WRK338" s="42" t="s">
        <v>607</v>
      </c>
      <c r="WRL338" s="42" t="s">
        <v>607</v>
      </c>
      <c r="WRM338" s="42" t="s">
        <v>607</v>
      </c>
      <c r="WRN338" s="42" t="s">
        <v>607</v>
      </c>
      <c r="WRO338" s="42" t="s">
        <v>607</v>
      </c>
      <c r="WRP338" s="42" t="s">
        <v>607</v>
      </c>
      <c r="WRQ338" s="42" t="s">
        <v>607</v>
      </c>
      <c r="WRR338" s="42" t="s">
        <v>607</v>
      </c>
      <c r="WRS338" s="42" t="s">
        <v>607</v>
      </c>
      <c r="WRT338" s="42" t="s">
        <v>607</v>
      </c>
      <c r="WRU338" s="42" t="s">
        <v>607</v>
      </c>
      <c r="WRV338" s="42" t="s">
        <v>607</v>
      </c>
      <c r="WRW338" s="42" t="s">
        <v>607</v>
      </c>
      <c r="WRX338" s="42" t="s">
        <v>607</v>
      </c>
      <c r="WRY338" s="42" t="s">
        <v>607</v>
      </c>
      <c r="WRZ338" s="42" t="s">
        <v>607</v>
      </c>
      <c r="WSA338" s="42" t="s">
        <v>607</v>
      </c>
      <c r="WSB338" s="42" t="s">
        <v>607</v>
      </c>
      <c r="WSC338" s="42" t="s">
        <v>607</v>
      </c>
      <c r="WSD338" s="42" t="s">
        <v>607</v>
      </c>
      <c r="WSE338" s="42" t="s">
        <v>607</v>
      </c>
      <c r="WSF338" s="42" t="s">
        <v>607</v>
      </c>
      <c r="WSG338" s="42" t="s">
        <v>607</v>
      </c>
      <c r="WSH338" s="42" t="s">
        <v>607</v>
      </c>
      <c r="WSI338" s="42" t="s">
        <v>607</v>
      </c>
      <c r="WSJ338" s="42" t="s">
        <v>607</v>
      </c>
      <c r="WSK338" s="42" t="s">
        <v>607</v>
      </c>
      <c r="WSL338" s="42" t="s">
        <v>607</v>
      </c>
      <c r="WSM338" s="42" t="s">
        <v>607</v>
      </c>
      <c r="WSN338" s="42" t="s">
        <v>607</v>
      </c>
      <c r="WSO338" s="42" t="s">
        <v>607</v>
      </c>
      <c r="WSP338" s="42" t="s">
        <v>607</v>
      </c>
      <c r="WSQ338" s="42" t="s">
        <v>607</v>
      </c>
      <c r="WSR338" s="42" t="s">
        <v>607</v>
      </c>
      <c r="WSS338" s="42" t="s">
        <v>607</v>
      </c>
      <c r="WST338" s="42" t="s">
        <v>607</v>
      </c>
      <c r="WSU338" s="42" t="s">
        <v>607</v>
      </c>
      <c r="WSV338" s="42" t="s">
        <v>607</v>
      </c>
      <c r="WSW338" s="42" t="s">
        <v>607</v>
      </c>
      <c r="WSX338" s="42" t="s">
        <v>607</v>
      </c>
      <c r="WSY338" s="42" t="s">
        <v>607</v>
      </c>
      <c r="WSZ338" s="42" t="s">
        <v>607</v>
      </c>
      <c r="WTA338" s="42" t="s">
        <v>607</v>
      </c>
      <c r="WTB338" s="42" t="s">
        <v>607</v>
      </c>
      <c r="WTC338" s="42" t="s">
        <v>607</v>
      </c>
      <c r="WTD338" s="42" t="s">
        <v>607</v>
      </c>
      <c r="WTE338" s="42" t="s">
        <v>607</v>
      </c>
      <c r="WTF338" s="42" t="s">
        <v>607</v>
      </c>
      <c r="WTG338" s="42" t="s">
        <v>607</v>
      </c>
      <c r="WTH338" s="42" t="s">
        <v>607</v>
      </c>
      <c r="WTI338" s="42" t="s">
        <v>607</v>
      </c>
      <c r="WTJ338" s="42" t="s">
        <v>607</v>
      </c>
      <c r="WTK338" s="42" t="s">
        <v>607</v>
      </c>
      <c r="WTL338" s="42" t="s">
        <v>607</v>
      </c>
      <c r="WTM338" s="42" t="s">
        <v>607</v>
      </c>
      <c r="WTN338" s="42" t="s">
        <v>607</v>
      </c>
      <c r="WTO338" s="42" t="s">
        <v>607</v>
      </c>
      <c r="WTP338" s="42" t="s">
        <v>607</v>
      </c>
      <c r="WTQ338" s="42" t="s">
        <v>607</v>
      </c>
      <c r="WTR338" s="42" t="s">
        <v>607</v>
      </c>
      <c r="WTS338" s="42" t="s">
        <v>607</v>
      </c>
      <c r="WTT338" s="42" t="s">
        <v>607</v>
      </c>
      <c r="WTU338" s="42" t="s">
        <v>607</v>
      </c>
      <c r="WTV338" s="42" t="s">
        <v>607</v>
      </c>
      <c r="WTW338" s="42" t="s">
        <v>607</v>
      </c>
      <c r="WTX338" s="42" t="s">
        <v>607</v>
      </c>
      <c r="WTY338" s="42" t="s">
        <v>607</v>
      </c>
      <c r="WTZ338" s="42" t="s">
        <v>607</v>
      </c>
      <c r="WUA338" s="42" t="s">
        <v>607</v>
      </c>
      <c r="WUB338" s="42" t="s">
        <v>607</v>
      </c>
      <c r="WUC338" s="42" t="s">
        <v>607</v>
      </c>
      <c r="WUD338" s="42" t="s">
        <v>607</v>
      </c>
      <c r="WUE338" s="42" t="s">
        <v>607</v>
      </c>
      <c r="WUF338" s="42" t="s">
        <v>607</v>
      </c>
      <c r="WUG338" s="42" t="s">
        <v>607</v>
      </c>
      <c r="WUH338" s="42" t="s">
        <v>607</v>
      </c>
      <c r="WUI338" s="42" t="s">
        <v>607</v>
      </c>
      <c r="WUJ338" s="42" t="s">
        <v>607</v>
      </c>
      <c r="WUK338" s="42" t="s">
        <v>607</v>
      </c>
      <c r="WUL338" s="42" t="s">
        <v>607</v>
      </c>
      <c r="WUM338" s="42" t="s">
        <v>607</v>
      </c>
      <c r="WUN338" s="42" t="s">
        <v>607</v>
      </c>
      <c r="WUO338" s="42" t="s">
        <v>607</v>
      </c>
      <c r="WUP338" s="42" t="s">
        <v>607</v>
      </c>
      <c r="WUQ338" s="42" t="s">
        <v>607</v>
      </c>
      <c r="WUR338" s="42" t="s">
        <v>607</v>
      </c>
      <c r="WUS338" s="42" t="s">
        <v>607</v>
      </c>
      <c r="WUT338" s="42" t="s">
        <v>607</v>
      </c>
      <c r="WUU338" s="42" t="s">
        <v>607</v>
      </c>
      <c r="WUV338" s="42" t="s">
        <v>607</v>
      </c>
      <c r="WUW338" s="42" t="s">
        <v>607</v>
      </c>
      <c r="WUX338" s="42" t="s">
        <v>607</v>
      </c>
      <c r="WUY338" s="42" t="s">
        <v>607</v>
      </c>
      <c r="WUZ338" s="42" t="s">
        <v>607</v>
      </c>
      <c r="WVA338" s="42" t="s">
        <v>607</v>
      </c>
      <c r="WVB338" s="42" t="s">
        <v>607</v>
      </c>
      <c r="WVC338" s="42" t="s">
        <v>607</v>
      </c>
      <c r="WVD338" s="42" t="s">
        <v>607</v>
      </c>
      <c r="WVE338" s="42" t="s">
        <v>607</v>
      </c>
      <c r="WVF338" s="42" t="s">
        <v>607</v>
      </c>
      <c r="WVG338" s="42" t="s">
        <v>607</v>
      </c>
      <c r="WVH338" s="42" t="s">
        <v>607</v>
      </c>
      <c r="WVI338" s="42" t="s">
        <v>607</v>
      </c>
      <c r="WVJ338" s="42" t="s">
        <v>607</v>
      </c>
      <c r="WVK338" s="42" t="s">
        <v>607</v>
      </c>
      <c r="WVL338" s="42" t="s">
        <v>607</v>
      </c>
      <c r="WVM338" s="42" t="s">
        <v>607</v>
      </c>
      <c r="WVN338" s="42" t="s">
        <v>607</v>
      </c>
      <c r="WVO338" s="42" t="s">
        <v>607</v>
      </c>
      <c r="WVP338" s="42" t="s">
        <v>607</v>
      </c>
      <c r="WVQ338" s="42" t="s">
        <v>607</v>
      </c>
      <c r="WVR338" s="42" t="s">
        <v>607</v>
      </c>
      <c r="WVS338" s="42" t="s">
        <v>607</v>
      </c>
      <c r="WVT338" s="42" t="s">
        <v>607</v>
      </c>
      <c r="WVU338" s="42" t="s">
        <v>607</v>
      </c>
      <c r="WVV338" s="42" t="s">
        <v>607</v>
      </c>
      <c r="WVW338" s="42" t="s">
        <v>607</v>
      </c>
      <c r="WVX338" s="42" t="s">
        <v>607</v>
      </c>
      <c r="WVY338" s="42" t="s">
        <v>607</v>
      </c>
      <c r="WVZ338" s="42" t="s">
        <v>607</v>
      </c>
      <c r="WWA338" s="42" t="s">
        <v>607</v>
      </c>
      <c r="WWB338" s="42" t="s">
        <v>607</v>
      </c>
      <c r="WWC338" s="42" t="s">
        <v>607</v>
      </c>
      <c r="WWD338" s="42" t="s">
        <v>607</v>
      </c>
      <c r="WWE338" s="42" t="s">
        <v>607</v>
      </c>
      <c r="WWF338" s="42" t="s">
        <v>607</v>
      </c>
      <c r="WWG338" s="42" t="s">
        <v>607</v>
      </c>
      <c r="WWH338" s="42" t="s">
        <v>607</v>
      </c>
      <c r="WWI338" s="42" t="s">
        <v>607</v>
      </c>
      <c r="WWJ338" s="42" t="s">
        <v>607</v>
      </c>
      <c r="WWK338" s="42" t="s">
        <v>607</v>
      </c>
      <c r="WWL338" s="42" t="s">
        <v>607</v>
      </c>
      <c r="WWM338" s="42" t="s">
        <v>607</v>
      </c>
      <c r="WWN338" s="42" t="s">
        <v>607</v>
      </c>
      <c r="WWO338" s="42" t="s">
        <v>607</v>
      </c>
      <c r="WWP338" s="42" t="s">
        <v>607</v>
      </c>
      <c r="WWQ338" s="42" t="s">
        <v>607</v>
      </c>
      <c r="WWR338" s="42" t="s">
        <v>607</v>
      </c>
      <c r="WWS338" s="42" t="s">
        <v>607</v>
      </c>
      <c r="WWT338" s="42" t="s">
        <v>607</v>
      </c>
      <c r="WWU338" s="42" t="s">
        <v>607</v>
      </c>
      <c r="WWV338" s="42" t="s">
        <v>607</v>
      </c>
      <c r="WWW338" s="42" t="s">
        <v>607</v>
      </c>
      <c r="WWX338" s="42" t="s">
        <v>607</v>
      </c>
      <c r="WWY338" s="42" t="s">
        <v>607</v>
      </c>
      <c r="WWZ338" s="42" t="s">
        <v>607</v>
      </c>
      <c r="WXA338" s="42" t="s">
        <v>607</v>
      </c>
      <c r="WXB338" s="42" t="s">
        <v>607</v>
      </c>
      <c r="WXC338" s="42" t="s">
        <v>607</v>
      </c>
      <c r="WXD338" s="42" t="s">
        <v>607</v>
      </c>
      <c r="WXE338" s="42" t="s">
        <v>607</v>
      </c>
      <c r="WXF338" s="42" t="s">
        <v>607</v>
      </c>
      <c r="WXG338" s="42" t="s">
        <v>607</v>
      </c>
      <c r="WXH338" s="42" t="s">
        <v>607</v>
      </c>
      <c r="WXI338" s="42" t="s">
        <v>607</v>
      </c>
      <c r="WXJ338" s="42" t="s">
        <v>607</v>
      </c>
      <c r="WXK338" s="42" t="s">
        <v>607</v>
      </c>
      <c r="WXL338" s="42" t="s">
        <v>607</v>
      </c>
      <c r="WXM338" s="42" t="s">
        <v>607</v>
      </c>
      <c r="WXN338" s="42" t="s">
        <v>607</v>
      </c>
      <c r="WXO338" s="42" t="s">
        <v>607</v>
      </c>
    </row>
    <row r="339" spans="1:16187" s="42" customFormat="1" x14ac:dyDescent="0.25">
      <c r="A339" s="135">
        <f t="shared" si="78"/>
        <v>322</v>
      </c>
      <c r="B339" s="134">
        <f t="shared" si="79"/>
        <v>134</v>
      </c>
      <c r="C339" s="150" t="s">
        <v>608</v>
      </c>
      <c r="D339" s="77" t="s">
        <v>657</v>
      </c>
      <c r="E339" s="129">
        <f t="shared" si="76"/>
        <v>4757098.5299999993</v>
      </c>
      <c r="F339" s="139"/>
      <c r="G339" s="139"/>
      <c r="H339" s="44">
        <v>2477792.7799999998</v>
      </c>
      <c r="I339" s="139"/>
      <c r="J339" s="44">
        <v>2006081.9399205982</v>
      </c>
      <c r="K339" s="44"/>
      <c r="L339" s="44"/>
      <c r="M339" s="44"/>
      <c r="N339" s="44"/>
      <c r="O339" s="44"/>
      <c r="P339" s="44"/>
      <c r="Q339" s="152"/>
      <c r="R339" s="44">
        <v>205354.86105600002</v>
      </c>
      <c r="S339" s="44">
        <v>24000</v>
      </c>
      <c r="T339" s="151">
        <v>43868.949023401605</v>
      </c>
      <c r="U339" s="24">
        <f>COUNTIF(F339:Q339,"&gt;0")</f>
        <v>2</v>
      </c>
      <c r="CW339" s="42" t="s">
        <v>608</v>
      </c>
      <c r="CX339" s="42" t="s">
        <v>608</v>
      </c>
      <c r="CY339" s="42" t="s">
        <v>608</v>
      </c>
      <c r="CZ339" s="42" t="s">
        <v>608</v>
      </c>
      <c r="DA339" s="42" t="s">
        <v>608</v>
      </c>
      <c r="DB339" s="42" t="s">
        <v>608</v>
      </c>
      <c r="DC339" s="42" t="s">
        <v>608</v>
      </c>
      <c r="DD339" s="42" t="s">
        <v>608</v>
      </c>
      <c r="DE339" s="42" t="s">
        <v>608</v>
      </c>
      <c r="DF339" s="42" t="s">
        <v>608</v>
      </c>
      <c r="DG339" s="42" t="s">
        <v>608</v>
      </c>
      <c r="DH339" s="42" t="s">
        <v>608</v>
      </c>
      <c r="DI339" s="42" t="s">
        <v>608</v>
      </c>
      <c r="DJ339" s="42" t="s">
        <v>608</v>
      </c>
      <c r="DK339" s="42" t="s">
        <v>608</v>
      </c>
      <c r="DL339" s="42" t="s">
        <v>608</v>
      </c>
      <c r="DM339" s="42" t="s">
        <v>608</v>
      </c>
      <c r="DN339" s="42" t="s">
        <v>608</v>
      </c>
      <c r="DO339" s="42" t="s">
        <v>608</v>
      </c>
      <c r="DP339" s="42" t="s">
        <v>608</v>
      </c>
      <c r="DQ339" s="42" t="s">
        <v>608</v>
      </c>
      <c r="DR339" s="42" t="s">
        <v>608</v>
      </c>
      <c r="DS339" s="42" t="s">
        <v>608</v>
      </c>
      <c r="DT339" s="42" t="s">
        <v>608</v>
      </c>
      <c r="DU339" s="42" t="s">
        <v>608</v>
      </c>
      <c r="DV339" s="42" t="s">
        <v>608</v>
      </c>
      <c r="DW339" s="42" t="s">
        <v>608</v>
      </c>
      <c r="DX339" s="42" t="s">
        <v>608</v>
      </c>
      <c r="DY339" s="42" t="s">
        <v>608</v>
      </c>
      <c r="DZ339" s="42" t="s">
        <v>608</v>
      </c>
      <c r="EA339" s="42" t="s">
        <v>608</v>
      </c>
      <c r="EB339" s="42" t="s">
        <v>608</v>
      </c>
      <c r="EC339" s="42" t="s">
        <v>608</v>
      </c>
      <c r="ED339" s="42" t="s">
        <v>608</v>
      </c>
      <c r="EE339" s="42" t="s">
        <v>608</v>
      </c>
      <c r="EF339" s="42" t="s">
        <v>608</v>
      </c>
      <c r="EG339" s="42" t="s">
        <v>608</v>
      </c>
      <c r="EH339" s="42" t="s">
        <v>608</v>
      </c>
      <c r="EI339" s="42" t="s">
        <v>608</v>
      </c>
      <c r="EJ339" s="42" t="s">
        <v>608</v>
      </c>
      <c r="EK339" s="42" t="s">
        <v>608</v>
      </c>
      <c r="EL339" s="42" t="s">
        <v>608</v>
      </c>
      <c r="EM339" s="42" t="s">
        <v>608</v>
      </c>
      <c r="EN339" s="42" t="s">
        <v>608</v>
      </c>
      <c r="EO339" s="42" t="s">
        <v>608</v>
      </c>
      <c r="EP339" s="42" t="s">
        <v>608</v>
      </c>
      <c r="EQ339" s="42" t="s">
        <v>608</v>
      </c>
      <c r="ER339" s="42" t="s">
        <v>608</v>
      </c>
      <c r="ES339" s="42" t="s">
        <v>608</v>
      </c>
      <c r="ET339" s="42" t="s">
        <v>608</v>
      </c>
      <c r="EU339" s="42" t="s">
        <v>608</v>
      </c>
      <c r="EV339" s="42" t="s">
        <v>608</v>
      </c>
      <c r="EW339" s="42" t="s">
        <v>608</v>
      </c>
      <c r="EX339" s="42" t="s">
        <v>608</v>
      </c>
      <c r="EY339" s="42" t="s">
        <v>608</v>
      </c>
      <c r="EZ339" s="42" t="s">
        <v>608</v>
      </c>
      <c r="FA339" s="42" t="s">
        <v>608</v>
      </c>
      <c r="FB339" s="42" t="s">
        <v>608</v>
      </c>
      <c r="FC339" s="42" t="s">
        <v>608</v>
      </c>
      <c r="FD339" s="42" t="s">
        <v>608</v>
      </c>
      <c r="FE339" s="42" t="s">
        <v>608</v>
      </c>
      <c r="FF339" s="42" t="s">
        <v>608</v>
      </c>
      <c r="FG339" s="42" t="s">
        <v>608</v>
      </c>
      <c r="FH339" s="42" t="s">
        <v>608</v>
      </c>
      <c r="FI339" s="42" t="s">
        <v>608</v>
      </c>
      <c r="FJ339" s="42" t="s">
        <v>608</v>
      </c>
      <c r="FK339" s="42" t="s">
        <v>608</v>
      </c>
      <c r="FL339" s="42" t="s">
        <v>608</v>
      </c>
      <c r="FM339" s="42" t="s">
        <v>608</v>
      </c>
      <c r="FN339" s="42" t="s">
        <v>608</v>
      </c>
      <c r="FO339" s="42" t="s">
        <v>608</v>
      </c>
      <c r="FP339" s="42" t="s">
        <v>608</v>
      </c>
      <c r="FQ339" s="42" t="s">
        <v>608</v>
      </c>
      <c r="FR339" s="42" t="s">
        <v>608</v>
      </c>
      <c r="FS339" s="42" t="s">
        <v>608</v>
      </c>
      <c r="FT339" s="42" t="s">
        <v>608</v>
      </c>
      <c r="FU339" s="42" t="s">
        <v>608</v>
      </c>
      <c r="FV339" s="42" t="s">
        <v>608</v>
      </c>
      <c r="FW339" s="42" t="s">
        <v>608</v>
      </c>
      <c r="FX339" s="42" t="s">
        <v>608</v>
      </c>
      <c r="FY339" s="42" t="s">
        <v>608</v>
      </c>
      <c r="FZ339" s="42" t="s">
        <v>608</v>
      </c>
      <c r="GA339" s="42" t="s">
        <v>608</v>
      </c>
      <c r="GB339" s="42" t="s">
        <v>608</v>
      </c>
      <c r="GC339" s="42" t="s">
        <v>608</v>
      </c>
      <c r="GD339" s="42" t="s">
        <v>608</v>
      </c>
      <c r="GE339" s="42" t="s">
        <v>608</v>
      </c>
      <c r="GF339" s="42" t="s">
        <v>608</v>
      </c>
      <c r="GG339" s="42" t="s">
        <v>608</v>
      </c>
      <c r="GH339" s="42" t="s">
        <v>608</v>
      </c>
      <c r="GI339" s="42" t="s">
        <v>608</v>
      </c>
      <c r="GJ339" s="42" t="s">
        <v>608</v>
      </c>
      <c r="GK339" s="42" t="s">
        <v>608</v>
      </c>
      <c r="GL339" s="42" t="s">
        <v>608</v>
      </c>
      <c r="GM339" s="42" t="s">
        <v>608</v>
      </c>
      <c r="GN339" s="42" t="s">
        <v>608</v>
      </c>
      <c r="GO339" s="42" t="s">
        <v>608</v>
      </c>
      <c r="GP339" s="42" t="s">
        <v>608</v>
      </c>
      <c r="GQ339" s="42" t="s">
        <v>608</v>
      </c>
      <c r="GR339" s="42" t="s">
        <v>608</v>
      </c>
      <c r="GS339" s="42" t="s">
        <v>608</v>
      </c>
      <c r="GT339" s="42" t="s">
        <v>608</v>
      </c>
      <c r="GU339" s="42" t="s">
        <v>608</v>
      </c>
      <c r="GV339" s="42" t="s">
        <v>608</v>
      </c>
      <c r="GW339" s="42" t="s">
        <v>608</v>
      </c>
      <c r="GX339" s="42" t="s">
        <v>608</v>
      </c>
      <c r="GY339" s="42" t="s">
        <v>608</v>
      </c>
      <c r="GZ339" s="42" t="s">
        <v>608</v>
      </c>
      <c r="HA339" s="42" t="s">
        <v>608</v>
      </c>
      <c r="HB339" s="42" t="s">
        <v>608</v>
      </c>
      <c r="HC339" s="42" t="s">
        <v>608</v>
      </c>
      <c r="HD339" s="42" t="s">
        <v>608</v>
      </c>
      <c r="HE339" s="42" t="s">
        <v>608</v>
      </c>
      <c r="HF339" s="42" t="s">
        <v>608</v>
      </c>
      <c r="HG339" s="42" t="s">
        <v>608</v>
      </c>
      <c r="HH339" s="42" t="s">
        <v>608</v>
      </c>
      <c r="HI339" s="42" t="s">
        <v>608</v>
      </c>
      <c r="HJ339" s="42" t="s">
        <v>608</v>
      </c>
      <c r="HK339" s="42" t="s">
        <v>608</v>
      </c>
      <c r="HL339" s="42" t="s">
        <v>608</v>
      </c>
      <c r="HM339" s="42" t="s">
        <v>608</v>
      </c>
      <c r="HN339" s="42" t="s">
        <v>608</v>
      </c>
      <c r="HO339" s="42" t="s">
        <v>608</v>
      </c>
      <c r="HP339" s="42" t="s">
        <v>608</v>
      </c>
      <c r="HQ339" s="42" t="s">
        <v>608</v>
      </c>
      <c r="HR339" s="42" t="s">
        <v>608</v>
      </c>
      <c r="HS339" s="42" t="s">
        <v>608</v>
      </c>
      <c r="HT339" s="42" t="s">
        <v>608</v>
      </c>
      <c r="HU339" s="42" t="s">
        <v>608</v>
      </c>
      <c r="HV339" s="42" t="s">
        <v>608</v>
      </c>
      <c r="HW339" s="42" t="s">
        <v>608</v>
      </c>
      <c r="HX339" s="42" t="s">
        <v>608</v>
      </c>
      <c r="HY339" s="42" t="s">
        <v>608</v>
      </c>
      <c r="HZ339" s="42" t="s">
        <v>608</v>
      </c>
      <c r="IA339" s="42" t="s">
        <v>608</v>
      </c>
      <c r="IB339" s="42" t="s">
        <v>608</v>
      </c>
      <c r="IC339" s="42" t="s">
        <v>608</v>
      </c>
      <c r="ID339" s="42" t="s">
        <v>608</v>
      </c>
      <c r="IE339" s="42" t="s">
        <v>608</v>
      </c>
      <c r="IF339" s="42" t="s">
        <v>608</v>
      </c>
      <c r="IG339" s="42" t="s">
        <v>608</v>
      </c>
      <c r="IH339" s="42" t="s">
        <v>608</v>
      </c>
      <c r="II339" s="42" t="s">
        <v>608</v>
      </c>
      <c r="IJ339" s="42" t="s">
        <v>608</v>
      </c>
      <c r="IK339" s="42" t="s">
        <v>608</v>
      </c>
      <c r="IL339" s="42" t="s">
        <v>608</v>
      </c>
      <c r="IM339" s="42" t="s">
        <v>608</v>
      </c>
      <c r="IN339" s="42" t="s">
        <v>608</v>
      </c>
      <c r="IO339" s="42" t="s">
        <v>608</v>
      </c>
      <c r="IP339" s="42" t="s">
        <v>608</v>
      </c>
      <c r="IQ339" s="42" t="s">
        <v>608</v>
      </c>
      <c r="IR339" s="42" t="s">
        <v>608</v>
      </c>
      <c r="IS339" s="42" t="s">
        <v>608</v>
      </c>
      <c r="IT339" s="42" t="s">
        <v>608</v>
      </c>
      <c r="IU339" s="42" t="s">
        <v>608</v>
      </c>
      <c r="IV339" s="42" t="s">
        <v>608</v>
      </c>
      <c r="IW339" s="42" t="s">
        <v>608</v>
      </c>
      <c r="IX339" s="42" t="s">
        <v>608</v>
      </c>
      <c r="IY339" s="42" t="s">
        <v>608</v>
      </c>
      <c r="IZ339" s="42" t="s">
        <v>608</v>
      </c>
      <c r="JA339" s="42" t="s">
        <v>608</v>
      </c>
      <c r="JB339" s="42" t="s">
        <v>608</v>
      </c>
      <c r="JC339" s="42" t="s">
        <v>608</v>
      </c>
      <c r="JD339" s="42" t="s">
        <v>608</v>
      </c>
      <c r="JE339" s="42" t="s">
        <v>608</v>
      </c>
      <c r="JF339" s="42" t="s">
        <v>608</v>
      </c>
      <c r="JG339" s="42" t="s">
        <v>608</v>
      </c>
      <c r="JH339" s="42" t="s">
        <v>608</v>
      </c>
      <c r="JI339" s="42" t="s">
        <v>608</v>
      </c>
      <c r="JJ339" s="42" t="s">
        <v>608</v>
      </c>
      <c r="JK339" s="42" t="s">
        <v>608</v>
      </c>
      <c r="JL339" s="42" t="s">
        <v>608</v>
      </c>
      <c r="JM339" s="42" t="s">
        <v>608</v>
      </c>
      <c r="JN339" s="42" t="s">
        <v>608</v>
      </c>
      <c r="JO339" s="42" t="s">
        <v>608</v>
      </c>
      <c r="JP339" s="42" t="s">
        <v>608</v>
      </c>
      <c r="JQ339" s="42" t="s">
        <v>608</v>
      </c>
      <c r="JR339" s="42" t="s">
        <v>608</v>
      </c>
      <c r="JS339" s="42" t="s">
        <v>608</v>
      </c>
      <c r="JT339" s="42" t="s">
        <v>608</v>
      </c>
      <c r="JU339" s="42" t="s">
        <v>608</v>
      </c>
      <c r="JV339" s="42" t="s">
        <v>608</v>
      </c>
      <c r="JW339" s="42" t="s">
        <v>608</v>
      </c>
      <c r="JX339" s="42" t="s">
        <v>608</v>
      </c>
      <c r="JY339" s="42" t="s">
        <v>608</v>
      </c>
      <c r="JZ339" s="42" t="s">
        <v>608</v>
      </c>
      <c r="KA339" s="42" t="s">
        <v>608</v>
      </c>
      <c r="KB339" s="42" t="s">
        <v>608</v>
      </c>
      <c r="KC339" s="42" t="s">
        <v>608</v>
      </c>
      <c r="KD339" s="42" t="s">
        <v>608</v>
      </c>
      <c r="KE339" s="42" t="s">
        <v>608</v>
      </c>
      <c r="KF339" s="42" t="s">
        <v>608</v>
      </c>
      <c r="KG339" s="42" t="s">
        <v>608</v>
      </c>
      <c r="KH339" s="42" t="s">
        <v>608</v>
      </c>
      <c r="KI339" s="42" t="s">
        <v>608</v>
      </c>
      <c r="KJ339" s="42" t="s">
        <v>608</v>
      </c>
      <c r="KK339" s="42" t="s">
        <v>608</v>
      </c>
      <c r="KL339" s="42" t="s">
        <v>608</v>
      </c>
      <c r="KM339" s="42" t="s">
        <v>608</v>
      </c>
      <c r="KN339" s="42" t="s">
        <v>608</v>
      </c>
      <c r="KO339" s="42" t="s">
        <v>608</v>
      </c>
      <c r="KP339" s="42" t="s">
        <v>608</v>
      </c>
      <c r="KQ339" s="42" t="s">
        <v>608</v>
      </c>
      <c r="KR339" s="42" t="s">
        <v>608</v>
      </c>
      <c r="KS339" s="42" t="s">
        <v>608</v>
      </c>
      <c r="KT339" s="42" t="s">
        <v>608</v>
      </c>
      <c r="KU339" s="42" t="s">
        <v>608</v>
      </c>
      <c r="KV339" s="42" t="s">
        <v>608</v>
      </c>
      <c r="KW339" s="42" t="s">
        <v>608</v>
      </c>
      <c r="KX339" s="42" t="s">
        <v>608</v>
      </c>
      <c r="KY339" s="42" t="s">
        <v>608</v>
      </c>
      <c r="KZ339" s="42" t="s">
        <v>608</v>
      </c>
      <c r="LA339" s="42" t="s">
        <v>608</v>
      </c>
      <c r="LB339" s="42" t="s">
        <v>608</v>
      </c>
      <c r="LC339" s="42" t="s">
        <v>608</v>
      </c>
      <c r="LD339" s="42" t="s">
        <v>608</v>
      </c>
      <c r="LE339" s="42" t="s">
        <v>608</v>
      </c>
      <c r="LF339" s="42" t="s">
        <v>608</v>
      </c>
      <c r="LG339" s="42" t="s">
        <v>608</v>
      </c>
      <c r="LH339" s="42" t="s">
        <v>608</v>
      </c>
      <c r="LI339" s="42" t="s">
        <v>608</v>
      </c>
      <c r="LJ339" s="42" t="s">
        <v>608</v>
      </c>
      <c r="LK339" s="42" t="s">
        <v>608</v>
      </c>
      <c r="LL339" s="42" t="s">
        <v>608</v>
      </c>
      <c r="LM339" s="42" t="s">
        <v>608</v>
      </c>
      <c r="LN339" s="42" t="s">
        <v>608</v>
      </c>
      <c r="LO339" s="42" t="s">
        <v>608</v>
      </c>
      <c r="LP339" s="42" t="s">
        <v>608</v>
      </c>
      <c r="LQ339" s="42" t="s">
        <v>608</v>
      </c>
      <c r="LR339" s="42" t="s">
        <v>608</v>
      </c>
      <c r="LS339" s="42" t="s">
        <v>608</v>
      </c>
      <c r="LT339" s="42" t="s">
        <v>608</v>
      </c>
      <c r="LU339" s="42" t="s">
        <v>608</v>
      </c>
      <c r="LV339" s="42" t="s">
        <v>608</v>
      </c>
      <c r="LW339" s="42" t="s">
        <v>608</v>
      </c>
      <c r="LX339" s="42" t="s">
        <v>608</v>
      </c>
      <c r="LY339" s="42" t="s">
        <v>608</v>
      </c>
      <c r="LZ339" s="42" t="s">
        <v>608</v>
      </c>
      <c r="MA339" s="42" t="s">
        <v>608</v>
      </c>
      <c r="MB339" s="42" t="s">
        <v>608</v>
      </c>
      <c r="MC339" s="42" t="s">
        <v>608</v>
      </c>
      <c r="MD339" s="42" t="s">
        <v>608</v>
      </c>
      <c r="ME339" s="42" t="s">
        <v>608</v>
      </c>
      <c r="MF339" s="42" t="s">
        <v>608</v>
      </c>
      <c r="MG339" s="42" t="s">
        <v>608</v>
      </c>
      <c r="MH339" s="42" t="s">
        <v>608</v>
      </c>
      <c r="MI339" s="42" t="s">
        <v>608</v>
      </c>
      <c r="MJ339" s="42" t="s">
        <v>608</v>
      </c>
      <c r="MK339" s="42" t="s">
        <v>608</v>
      </c>
      <c r="ML339" s="42" t="s">
        <v>608</v>
      </c>
      <c r="MM339" s="42" t="s">
        <v>608</v>
      </c>
      <c r="MN339" s="42" t="s">
        <v>608</v>
      </c>
      <c r="MO339" s="42" t="s">
        <v>608</v>
      </c>
      <c r="MP339" s="42" t="s">
        <v>608</v>
      </c>
      <c r="MQ339" s="42" t="s">
        <v>608</v>
      </c>
      <c r="MR339" s="42" t="s">
        <v>608</v>
      </c>
      <c r="MS339" s="42" t="s">
        <v>608</v>
      </c>
      <c r="MT339" s="42" t="s">
        <v>608</v>
      </c>
      <c r="MU339" s="42" t="s">
        <v>608</v>
      </c>
      <c r="MV339" s="42" t="s">
        <v>608</v>
      </c>
      <c r="MW339" s="42" t="s">
        <v>608</v>
      </c>
      <c r="MX339" s="42" t="s">
        <v>608</v>
      </c>
      <c r="MY339" s="42" t="s">
        <v>608</v>
      </c>
      <c r="MZ339" s="42" t="s">
        <v>608</v>
      </c>
      <c r="NA339" s="42" t="s">
        <v>608</v>
      </c>
      <c r="NB339" s="42" t="s">
        <v>608</v>
      </c>
      <c r="NC339" s="42" t="s">
        <v>608</v>
      </c>
      <c r="ND339" s="42" t="s">
        <v>608</v>
      </c>
      <c r="NE339" s="42" t="s">
        <v>608</v>
      </c>
      <c r="NF339" s="42" t="s">
        <v>608</v>
      </c>
      <c r="NG339" s="42" t="s">
        <v>608</v>
      </c>
      <c r="NH339" s="42" t="s">
        <v>608</v>
      </c>
      <c r="NI339" s="42" t="s">
        <v>608</v>
      </c>
      <c r="NJ339" s="42" t="s">
        <v>608</v>
      </c>
      <c r="NK339" s="42" t="s">
        <v>608</v>
      </c>
      <c r="NL339" s="42" t="s">
        <v>608</v>
      </c>
      <c r="NM339" s="42" t="s">
        <v>608</v>
      </c>
      <c r="NN339" s="42" t="s">
        <v>608</v>
      </c>
      <c r="NO339" s="42" t="s">
        <v>608</v>
      </c>
      <c r="NP339" s="42" t="s">
        <v>608</v>
      </c>
      <c r="NQ339" s="42" t="s">
        <v>608</v>
      </c>
      <c r="NR339" s="42" t="s">
        <v>608</v>
      </c>
      <c r="NS339" s="42" t="s">
        <v>608</v>
      </c>
      <c r="NT339" s="42" t="s">
        <v>608</v>
      </c>
      <c r="NU339" s="42" t="s">
        <v>608</v>
      </c>
      <c r="NV339" s="42" t="s">
        <v>608</v>
      </c>
      <c r="NW339" s="42" t="s">
        <v>608</v>
      </c>
      <c r="NX339" s="42" t="s">
        <v>608</v>
      </c>
      <c r="NY339" s="42" t="s">
        <v>608</v>
      </c>
      <c r="NZ339" s="42" t="s">
        <v>608</v>
      </c>
      <c r="OA339" s="42" t="s">
        <v>608</v>
      </c>
      <c r="OB339" s="42" t="s">
        <v>608</v>
      </c>
      <c r="OC339" s="42" t="s">
        <v>608</v>
      </c>
      <c r="OD339" s="42" t="s">
        <v>608</v>
      </c>
      <c r="OE339" s="42" t="s">
        <v>608</v>
      </c>
      <c r="OF339" s="42" t="s">
        <v>608</v>
      </c>
      <c r="OG339" s="42" t="s">
        <v>608</v>
      </c>
      <c r="OH339" s="42" t="s">
        <v>608</v>
      </c>
      <c r="OI339" s="42" t="s">
        <v>608</v>
      </c>
      <c r="OJ339" s="42" t="s">
        <v>608</v>
      </c>
      <c r="OK339" s="42" t="s">
        <v>608</v>
      </c>
      <c r="OL339" s="42" t="s">
        <v>608</v>
      </c>
      <c r="OM339" s="42" t="s">
        <v>608</v>
      </c>
      <c r="ON339" s="42" t="s">
        <v>608</v>
      </c>
      <c r="OO339" s="42" t="s">
        <v>608</v>
      </c>
      <c r="OP339" s="42" t="s">
        <v>608</v>
      </c>
      <c r="OQ339" s="42" t="s">
        <v>608</v>
      </c>
      <c r="OR339" s="42" t="s">
        <v>608</v>
      </c>
      <c r="OS339" s="42" t="s">
        <v>608</v>
      </c>
      <c r="OT339" s="42" t="s">
        <v>608</v>
      </c>
      <c r="OU339" s="42" t="s">
        <v>608</v>
      </c>
      <c r="OV339" s="42" t="s">
        <v>608</v>
      </c>
      <c r="OW339" s="42" t="s">
        <v>608</v>
      </c>
      <c r="OX339" s="42" t="s">
        <v>608</v>
      </c>
      <c r="OY339" s="42" t="s">
        <v>608</v>
      </c>
      <c r="OZ339" s="42" t="s">
        <v>608</v>
      </c>
      <c r="PA339" s="42" t="s">
        <v>608</v>
      </c>
      <c r="PB339" s="42" t="s">
        <v>608</v>
      </c>
      <c r="PC339" s="42" t="s">
        <v>608</v>
      </c>
      <c r="PD339" s="42" t="s">
        <v>608</v>
      </c>
      <c r="PE339" s="42" t="s">
        <v>608</v>
      </c>
      <c r="PF339" s="42" t="s">
        <v>608</v>
      </c>
      <c r="PG339" s="42" t="s">
        <v>608</v>
      </c>
      <c r="PH339" s="42" t="s">
        <v>608</v>
      </c>
      <c r="PI339" s="42" t="s">
        <v>608</v>
      </c>
      <c r="PJ339" s="42" t="s">
        <v>608</v>
      </c>
      <c r="PK339" s="42" t="s">
        <v>608</v>
      </c>
      <c r="PL339" s="42" t="s">
        <v>608</v>
      </c>
      <c r="PM339" s="42" t="s">
        <v>608</v>
      </c>
      <c r="PN339" s="42" t="s">
        <v>608</v>
      </c>
      <c r="PO339" s="42" t="s">
        <v>608</v>
      </c>
      <c r="PP339" s="42" t="s">
        <v>608</v>
      </c>
      <c r="PQ339" s="42" t="s">
        <v>608</v>
      </c>
      <c r="PR339" s="42" t="s">
        <v>608</v>
      </c>
      <c r="PS339" s="42" t="s">
        <v>608</v>
      </c>
      <c r="PT339" s="42" t="s">
        <v>608</v>
      </c>
      <c r="PU339" s="42" t="s">
        <v>608</v>
      </c>
      <c r="PV339" s="42" t="s">
        <v>608</v>
      </c>
      <c r="PW339" s="42" t="s">
        <v>608</v>
      </c>
      <c r="PX339" s="42" t="s">
        <v>608</v>
      </c>
      <c r="PY339" s="42" t="s">
        <v>608</v>
      </c>
      <c r="PZ339" s="42" t="s">
        <v>608</v>
      </c>
      <c r="QA339" s="42" t="s">
        <v>608</v>
      </c>
      <c r="QB339" s="42" t="s">
        <v>608</v>
      </c>
      <c r="QC339" s="42" t="s">
        <v>608</v>
      </c>
      <c r="QD339" s="42" t="s">
        <v>608</v>
      </c>
      <c r="QE339" s="42" t="s">
        <v>608</v>
      </c>
      <c r="QF339" s="42" t="s">
        <v>608</v>
      </c>
      <c r="QG339" s="42" t="s">
        <v>608</v>
      </c>
      <c r="QH339" s="42" t="s">
        <v>608</v>
      </c>
      <c r="QI339" s="42" t="s">
        <v>608</v>
      </c>
      <c r="QJ339" s="42" t="s">
        <v>608</v>
      </c>
      <c r="QK339" s="42" t="s">
        <v>608</v>
      </c>
      <c r="QL339" s="42" t="s">
        <v>608</v>
      </c>
      <c r="QM339" s="42" t="s">
        <v>608</v>
      </c>
      <c r="QN339" s="42" t="s">
        <v>608</v>
      </c>
      <c r="QO339" s="42" t="s">
        <v>608</v>
      </c>
      <c r="QP339" s="42" t="s">
        <v>608</v>
      </c>
      <c r="QQ339" s="42" t="s">
        <v>608</v>
      </c>
      <c r="QR339" s="42" t="s">
        <v>608</v>
      </c>
      <c r="QS339" s="42" t="s">
        <v>608</v>
      </c>
      <c r="QT339" s="42" t="s">
        <v>608</v>
      </c>
      <c r="QU339" s="42" t="s">
        <v>608</v>
      </c>
      <c r="QV339" s="42" t="s">
        <v>608</v>
      </c>
      <c r="QW339" s="42" t="s">
        <v>608</v>
      </c>
      <c r="QX339" s="42" t="s">
        <v>608</v>
      </c>
      <c r="QY339" s="42" t="s">
        <v>608</v>
      </c>
      <c r="QZ339" s="42" t="s">
        <v>608</v>
      </c>
      <c r="RA339" s="42" t="s">
        <v>608</v>
      </c>
      <c r="RB339" s="42" t="s">
        <v>608</v>
      </c>
      <c r="RC339" s="42" t="s">
        <v>608</v>
      </c>
      <c r="RD339" s="42" t="s">
        <v>608</v>
      </c>
      <c r="RE339" s="42" t="s">
        <v>608</v>
      </c>
      <c r="RF339" s="42" t="s">
        <v>608</v>
      </c>
      <c r="RG339" s="42" t="s">
        <v>608</v>
      </c>
      <c r="RH339" s="42" t="s">
        <v>608</v>
      </c>
      <c r="RI339" s="42" t="s">
        <v>608</v>
      </c>
      <c r="RJ339" s="42" t="s">
        <v>608</v>
      </c>
      <c r="RK339" s="42" t="s">
        <v>608</v>
      </c>
      <c r="RL339" s="42" t="s">
        <v>608</v>
      </c>
      <c r="RM339" s="42" t="s">
        <v>608</v>
      </c>
      <c r="RN339" s="42" t="s">
        <v>608</v>
      </c>
      <c r="RO339" s="42" t="s">
        <v>608</v>
      </c>
      <c r="RP339" s="42" t="s">
        <v>608</v>
      </c>
      <c r="RQ339" s="42" t="s">
        <v>608</v>
      </c>
      <c r="RR339" s="42" t="s">
        <v>608</v>
      </c>
      <c r="RS339" s="42" t="s">
        <v>608</v>
      </c>
      <c r="RT339" s="42" t="s">
        <v>608</v>
      </c>
      <c r="RU339" s="42" t="s">
        <v>608</v>
      </c>
      <c r="RV339" s="42" t="s">
        <v>608</v>
      </c>
      <c r="RW339" s="42" t="s">
        <v>608</v>
      </c>
      <c r="RX339" s="42" t="s">
        <v>608</v>
      </c>
      <c r="RY339" s="42" t="s">
        <v>608</v>
      </c>
      <c r="RZ339" s="42" t="s">
        <v>608</v>
      </c>
      <c r="SA339" s="42" t="s">
        <v>608</v>
      </c>
      <c r="SB339" s="42" t="s">
        <v>608</v>
      </c>
      <c r="SC339" s="42" t="s">
        <v>608</v>
      </c>
      <c r="SD339" s="42" t="s">
        <v>608</v>
      </c>
      <c r="SE339" s="42" t="s">
        <v>608</v>
      </c>
      <c r="SF339" s="42" t="s">
        <v>608</v>
      </c>
      <c r="SG339" s="42" t="s">
        <v>608</v>
      </c>
      <c r="SH339" s="42" t="s">
        <v>608</v>
      </c>
      <c r="SI339" s="42" t="s">
        <v>608</v>
      </c>
      <c r="SJ339" s="42" t="s">
        <v>608</v>
      </c>
      <c r="SK339" s="42" t="s">
        <v>608</v>
      </c>
      <c r="SL339" s="42" t="s">
        <v>608</v>
      </c>
      <c r="SM339" s="42" t="s">
        <v>608</v>
      </c>
      <c r="SN339" s="42" t="s">
        <v>608</v>
      </c>
      <c r="SO339" s="42" t="s">
        <v>608</v>
      </c>
      <c r="SP339" s="42" t="s">
        <v>608</v>
      </c>
      <c r="SQ339" s="42" t="s">
        <v>608</v>
      </c>
      <c r="SR339" s="42" t="s">
        <v>608</v>
      </c>
      <c r="SS339" s="42" t="s">
        <v>608</v>
      </c>
      <c r="ST339" s="42" t="s">
        <v>608</v>
      </c>
      <c r="SU339" s="42" t="s">
        <v>608</v>
      </c>
      <c r="SV339" s="42" t="s">
        <v>608</v>
      </c>
      <c r="SW339" s="42" t="s">
        <v>608</v>
      </c>
      <c r="SX339" s="42" t="s">
        <v>608</v>
      </c>
      <c r="SY339" s="42" t="s">
        <v>608</v>
      </c>
      <c r="SZ339" s="42" t="s">
        <v>608</v>
      </c>
      <c r="TA339" s="42" t="s">
        <v>608</v>
      </c>
      <c r="TB339" s="42" t="s">
        <v>608</v>
      </c>
      <c r="TC339" s="42" t="s">
        <v>608</v>
      </c>
      <c r="TD339" s="42" t="s">
        <v>608</v>
      </c>
      <c r="TE339" s="42" t="s">
        <v>608</v>
      </c>
      <c r="TF339" s="42" t="s">
        <v>608</v>
      </c>
      <c r="TG339" s="42" t="s">
        <v>608</v>
      </c>
      <c r="TH339" s="42" t="s">
        <v>608</v>
      </c>
      <c r="TI339" s="42" t="s">
        <v>608</v>
      </c>
      <c r="TJ339" s="42" t="s">
        <v>608</v>
      </c>
      <c r="TK339" s="42" t="s">
        <v>608</v>
      </c>
      <c r="TL339" s="42" t="s">
        <v>608</v>
      </c>
      <c r="TM339" s="42" t="s">
        <v>608</v>
      </c>
      <c r="TN339" s="42" t="s">
        <v>608</v>
      </c>
      <c r="TO339" s="42" t="s">
        <v>608</v>
      </c>
      <c r="TP339" s="42" t="s">
        <v>608</v>
      </c>
      <c r="TQ339" s="42" t="s">
        <v>608</v>
      </c>
      <c r="TR339" s="42" t="s">
        <v>608</v>
      </c>
      <c r="TS339" s="42" t="s">
        <v>608</v>
      </c>
      <c r="TT339" s="42" t="s">
        <v>608</v>
      </c>
      <c r="TU339" s="42" t="s">
        <v>608</v>
      </c>
      <c r="TV339" s="42" t="s">
        <v>608</v>
      </c>
      <c r="TW339" s="42" t="s">
        <v>608</v>
      </c>
      <c r="TX339" s="42" t="s">
        <v>608</v>
      </c>
      <c r="TY339" s="42" t="s">
        <v>608</v>
      </c>
      <c r="TZ339" s="42" t="s">
        <v>608</v>
      </c>
      <c r="UA339" s="42" t="s">
        <v>608</v>
      </c>
      <c r="UB339" s="42" t="s">
        <v>608</v>
      </c>
      <c r="UC339" s="42" t="s">
        <v>608</v>
      </c>
      <c r="UD339" s="42" t="s">
        <v>608</v>
      </c>
      <c r="UE339" s="42" t="s">
        <v>608</v>
      </c>
      <c r="UF339" s="42" t="s">
        <v>608</v>
      </c>
      <c r="UG339" s="42" t="s">
        <v>608</v>
      </c>
      <c r="UH339" s="42" t="s">
        <v>608</v>
      </c>
      <c r="UI339" s="42" t="s">
        <v>608</v>
      </c>
      <c r="UJ339" s="42" t="s">
        <v>608</v>
      </c>
      <c r="UK339" s="42" t="s">
        <v>608</v>
      </c>
      <c r="UL339" s="42" t="s">
        <v>608</v>
      </c>
      <c r="UM339" s="42" t="s">
        <v>608</v>
      </c>
      <c r="UN339" s="42" t="s">
        <v>608</v>
      </c>
      <c r="UO339" s="42" t="s">
        <v>608</v>
      </c>
      <c r="UP339" s="42" t="s">
        <v>608</v>
      </c>
      <c r="UQ339" s="42" t="s">
        <v>608</v>
      </c>
      <c r="UR339" s="42" t="s">
        <v>608</v>
      </c>
      <c r="US339" s="42" t="s">
        <v>608</v>
      </c>
      <c r="UT339" s="42" t="s">
        <v>608</v>
      </c>
      <c r="UU339" s="42" t="s">
        <v>608</v>
      </c>
      <c r="UV339" s="42" t="s">
        <v>608</v>
      </c>
      <c r="UW339" s="42" t="s">
        <v>608</v>
      </c>
      <c r="UX339" s="42" t="s">
        <v>608</v>
      </c>
      <c r="UY339" s="42" t="s">
        <v>608</v>
      </c>
      <c r="UZ339" s="42" t="s">
        <v>608</v>
      </c>
      <c r="VA339" s="42" t="s">
        <v>608</v>
      </c>
      <c r="VB339" s="42" t="s">
        <v>608</v>
      </c>
      <c r="VC339" s="42" t="s">
        <v>608</v>
      </c>
      <c r="VD339" s="42" t="s">
        <v>608</v>
      </c>
      <c r="VE339" s="42" t="s">
        <v>608</v>
      </c>
      <c r="VF339" s="42" t="s">
        <v>608</v>
      </c>
      <c r="VG339" s="42" t="s">
        <v>608</v>
      </c>
      <c r="VH339" s="42" t="s">
        <v>608</v>
      </c>
      <c r="VI339" s="42" t="s">
        <v>608</v>
      </c>
      <c r="VJ339" s="42" t="s">
        <v>608</v>
      </c>
      <c r="VK339" s="42" t="s">
        <v>608</v>
      </c>
      <c r="VL339" s="42" t="s">
        <v>608</v>
      </c>
      <c r="VM339" s="42" t="s">
        <v>608</v>
      </c>
      <c r="VN339" s="42" t="s">
        <v>608</v>
      </c>
      <c r="VO339" s="42" t="s">
        <v>608</v>
      </c>
      <c r="VP339" s="42" t="s">
        <v>608</v>
      </c>
      <c r="VQ339" s="42" t="s">
        <v>608</v>
      </c>
      <c r="VR339" s="42" t="s">
        <v>608</v>
      </c>
      <c r="VS339" s="42" t="s">
        <v>608</v>
      </c>
      <c r="VT339" s="42" t="s">
        <v>608</v>
      </c>
      <c r="VU339" s="42" t="s">
        <v>608</v>
      </c>
      <c r="VV339" s="42" t="s">
        <v>608</v>
      </c>
      <c r="VW339" s="42" t="s">
        <v>608</v>
      </c>
      <c r="VX339" s="42" t="s">
        <v>608</v>
      </c>
      <c r="VY339" s="42" t="s">
        <v>608</v>
      </c>
      <c r="VZ339" s="42" t="s">
        <v>608</v>
      </c>
      <c r="WA339" s="42" t="s">
        <v>608</v>
      </c>
      <c r="WB339" s="42" t="s">
        <v>608</v>
      </c>
      <c r="WC339" s="42" t="s">
        <v>608</v>
      </c>
      <c r="WD339" s="42" t="s">
        <v>608</v>
      </c>
      <c r="WE339" s="42" t="s">
        <v>608</v>
      </c>
      <c r="WF339" s="42" t="s">
        <v>608</v>
      </c>
      <c r="WG339" s="42" t="s">
        <v>608</v>
      </c>
      <c r="WH339" s="42" t="s">
        <v>608</v>
      </c>
      <c r="WI339" s="42" t="s">
        <v>608</v>
      </c>
      <c r="WJ339" s="42" t="s">
        <v>608</v>
      </c>
      <c r="WK339" s="42" t="s">
        <v>608</v>
      </c>
      <c r="WL339" s="42" t="s">
        <v>608</v>
      </c>
      <c r="WM339" s="42" t="s">
        <v>608</v>
      </c>
      <c r="WN339" s="42" t="s">
        <v>608</v>
      </c>
      <c r="WO339" s="42" t="s">
        <v>608</v>
      </c>
      <c r="WP339" s="42" t="s">
        <v>608</v>
      </c>
      <c r="WQ339" s="42" t="s">
        <v>608</v>
      </c>
      <c r="WR339" s="42" t="s">
        <v>608</v>
      </c>
      <c r="WS339" s="42" t="s">
        <v>608</v>
      </c>
      <c r="WT339" s="42" t="s">
        <v>608</v>
      </c>
      <c r="WU339" s="42" t="s">
        <v>608</v>
      </c>
      <c r="WV339" s="42" t="s">
        <v>608</v>
      </c>
      <c r="WW339" s="42" t="s">
        <v>608</v>
      </c>
      <c r="WX339" s="42" t="s">
        <v>608</v>
      </c>
      <c r="WY339" s="42" t="s">
        <v>608</v>
      </c>
      <c r="WZ339" s="42" t="s">
        <v>608</v>
      </c>
      <c r="XA339" s="42" t="s">
        <v>608</v>
      </c>
      <c r="XB339" s="42" t="s">
        <v>608</v>
      </c>
      <c r="XC339" s="42" t="s">
        <v>608</v>
      </c>
      <c r="XD339" s="42" t="s">
        <v>608</v>
      </c>
      <c r="XE339" s="42" t="s">
        <v>608</v>
      </c>
      <c r="XF339" s="42" t="s">
        <v>608</v>
      </c>
      <c r="XG339" s="42" t="s">
        <v>608</v>
      </c>
      <c r="XH339" s="42" t="s">
        <v>608</v>
      </c>
      <c r="XI339" s="42" t="s">
        <v>608</v>
      </c>
      <c r="XJ339" s="42" t="s">
        <v>608</v>
      </c>
      <c r="XK339" s="42" t="s">
        <v>608</v>
      </c>
      <c r="XL339" s="42" t="s">
        <v>608</v>
      </c>
      <c r="XM339" s="42" t="s">
        <v>608</v>
      </c>
      <c r="XN339" s="42" t="s">
        <v>608</v>
      </c>
      <c r="XO339" s="42" t="s">
        <v>608</v>
      </c>
      <c r="XP339" s="42" t="s">
        <v>608</v>
      </c>
      <c r="XQ339" s="42" t="s">
        <v>608</v>
      </c>
      <c r="XR339" s="42" t="s">
        <v>608</v>
      </c>
      <c r="XS339" s="42" t="s">
        <v>608</v>
      </c>
      <c r="XT339" s="42" t="s">
        <v>608</v>
      </c>
      <c r="XU339" s="42" t="s">
        <v>608</v>
      </c>
      <c r="XV339" s="42" t="s">
        <v>608</v>
      </c>
      <c r="XW339" s="42" t="s">
        <v>608</v>
      </c>
      <c r="XX339" s="42" t="s">
        <v>608</v>
      </c>
      <c r="XY339" s="42" t="s">
        <v>608</v>
      </c>
      <c r="XZ339" s="42" t="s">
        <v>608</v>
      </c>
      <c r="YA339" s="42" t="s">
        <v>608</v>
      </c>
      <c r="YB339" s="42" t="s">
        <v>608</v>
      </c>
      <c r="YC339" s="42" t="s">
        <v>608</v>
      </c>
      <c r="YD339" s="42" t="s">
        <v>608</v>
      </c>
      <c r="YE339" s="42" t="s">
        <v>608</v>
      </c>
      <c r="YF339" s="42" t="s">
        <v>608</v>
      </c>
      <c r="YG339" s="42" t="s">
        <v>608</v>
      </c>
      <c r="YH339" s="42" t="s">
        <v>608</v>
      </c>
      <c r="YI339" s="42" t="s">
        <v>608</v>
      </c>
      <c r="YJ339" s="42" t="s">
        <v>608</v>
      </c>
      <c r="YK339" s="42" t="s">
        <v>608</v>
      </c>
      <c r="YL339" s="42" t="s">
        <v>608</v>
      </c>
      <c r="YM339" s="42" t="s">
        <v>608</v>
      </c>
      <c r="YN339" s="42" t="s">
        <v>608</v>
      </c>
      <c r="YO339" s="42" t="s">
        <v>608</v>
      </c>
      <c r="YP339" s="42" t="s">
        <v>608</v>
      </c>
      <c r="YQ339" s="42" t="s">
        <v>608</v>
      </c>
      <c r="YR339" s="42" t="s">
        <v>608</v>
      </c>
      <c r="YS339" s="42" t="s">
        <v>608</v>
      </c>
      <c r="YT339" s="42" t="s">
        <v>608</v>
      </c>
      <c r="YU339" s="42" t="s">
        <v>608</v>
      </c>
      <c r="YV339" s="42" t="s">
        <v>608</v>
      </c>
      <c r="YW339" s="42" t="s">
        <v>608</v>
      </c>
      <c r="YX339" s="42" t="s">
        <v>608</v>
      </c>
      <c r="YY339" s="42" t="s">
        <v>608</v>
      </c>
      <c r="YZ339" s="42" t="s">
        <v>608</v>
      </c>
      <c r="ZA339" s="42" t="s">
        <v>608</v>
      </c>
      <c r="ZB339" s="42" t="s">
        <v>608</v>
      </c>
      <c r="ZC339" s="42" t="s">
        <v>608</v>
      </c>
      <c r="ZD339" s="42" t="s">
        <v>608</v>
      </c>
      <c r="ZE339" s="42" t="s">
        <v>608</v>
      </c>
      <c r="ZF339" s="42" t="s">
        <v>608</v>
      </c>
      <c r="ZG339" s="42" t="s">
        <v>608</v>
      </c>
      <c r="ZH339" s="42" t="s">
        <v>608</v>
      </c>
      <c r="ZI339" s="42" t="s">
        <v>608</v>
      </c>
      <c r="ZJ339" s="42" t="s">
        <v>608</v>
      </c>
      <c r="ZK339" s="42" t="s">
        <v>608</v>
      </c>
      <c r="ZL339" s="42" t="s">
        <v>608</v>
      </c>
      <c r="ZM339" s="42" t="s">
        <v>608</v>
      </c>
      <c r="ZN339" s="42" t="s">
        <v>608</v>
      </c>
      <c r="ZO339" s="42" t="s">
        <v>608</v>
      </c>
      <c r="ZP339" s="42" t="s">
        <v>608</v>
      </c>
      <c r="ZQ339" s="42" t="s">
        <v>608</v>
      </c>
      <c r="ZR339" s="42" t="s">
        <v>608</v>
      </c>
      <c r="ZS339" s="42" t="s">
        <v>608</v>
      </c>
      <c r="ZT339" s="42" t="s">
        <v>608</v>
      </c>
      <c r="ZU339" s="42" t="s">
        <v>608</v>
      </c>
      <c r="ZV339" s="42" t="s">
        <v>608</v>
      </c>
      <c r="ZW339" s="42" t="s">
        <v>608</v>
      </c>
      <c r="ZX339" s="42" t="s">
        <v>608</v>
      </c>
      <c r="ZY339" s="42" t="s">
        <v>608</v>
      </c>
      <c r="ZZ339" s="42" t="s">
        <v>608</v>
      </c>
      <c r="AAA339" s="42" t="s">
        <v>608</v>
      </c>
      <c r="AAB339" s="42" t="s">
        <v>608</v>
      </c>
      <c r="AAC339" s="42" t="s">
        <v>608</v>
      </c>
      <c r="AAD339" s="42" t="s">
        <v>608</v>
      </c>
      <c r="AAE339" s="42" t="s">
        <v>608</v>
      </c>
      <c r="AAF339" s="42" t="s">
        <v>608</v>
      </c>
      <c r="AAG339" s="42" t="s">
        <v>608</v>
      </c>
      <c r="AAH339" s="42" t="s">
        <v>608</v>
      </c>
      <c r="AAI339" s="42" t="s">
        <v>608</v>
      </c>
      <c r="AAJ339" s="42" t="s">
        <v>608</v>
      </c>
      <c r="AAK339" s="42" t="s">
        <v>608</v>
      </c>
      <c r="AAL339" s="42" t="s">
        <v>608</v>
      </c>
      <c r="AAM339" s="42" t="s">
        <v>608</v>
      </c>
      <c r="AAN339" s="42" t="s">
        <v>608</v>
      </c>
      <c r="AAO339" s="42" t="s">
        <v>608</v>
      </c>
      <c r="AAP339" s="42" t="s">
        <v>608</v>
      </c>
      <c r="AAQ339" s="42" t="s">
        <v>608</v>
      </c>
      <c r="AAR339" s="42" t="s">
        <v>608</v>
      </c>
      <c r="AAS339" s="42" t="s">
        <v>608</v>
      </c>
      <c r="AAT339" s="42" t="s">
        <v>608</v>
      </c>
      <c r="AAU339" s="42" t="s">
        <v>608</v>
      </c>
      <c r="AAV339" s="42" t="s">
        <v>608</v>
      </c>
      <c r="AAW339" s="42" t="s">
        <v>608</v>
      </c>
      <c r="AAX339" s="42" t="s">
        <v>608</v>
      </c>
      <c r="AAY339" s="42" t="s">
        <v>608</v>
      </c>
      <c r="AAZ339" s="42" t="s">
        <v>608</v>
      </c>
      <c r="ABA339" s="42" t="s">
        <v>608</v>
      </c>
      <c r="ABB339" s="42" t="s">
        <v>608</v>
      </c>
      <c r="ABC339" s="42" t="s">
        <v>608</v>
      </c>
      <c r="ABD339" s="42" t="s">
        <v>608</v>
      </c>
      <c r="ABE339" s="42" t="s">
        <v>608</v>
      </c>
      <c r="ABF339" s="42" t="s">
        <v>608</v>
      </c>
      <c r="ABG339" s="42" t="s">
        <v>608</v>
      </c>
      <c r="ABH339" s="42" t="s">
        <v>608</v>
      </c>
      <c r="ABI339" s="42" t="s">
        <v>608</v>
      </c>
      <c r="ABJ339" s="42" t="s">
        <v>608</v>
      </c>
      <c r="ABK339" s="42" t="s">
        <v>608</v>
      </c>
      <c r="ABL339" s="42" t="s">
        <v>608</v>
      </c>
      <c r="ABM339" s="42" t="s">
        <v>608</v>
      </c>
      <c r="ABN339" s="42" t="s">
        <v>608</v>
      </c>
      <c r="ABO339" s="42" t="s">
        <v>608</v>
      </c>
      <c r="ABP339" s="42" t="s">
        <v>608</v>
      </c>
      <c r="ABQ339" s="42" t="s">
        <v>608</v>
      </c>
      <c r="ABR339" s="42" t="s">
        <v>608</v>
      </c>
      <c r="ABS339" s="42" t="s">
        <v>608</v>
      </c>
      <c r="ABT339" s="42" t="s">
        <v>608</v>
      </c>
      <c r="ABU339" s="42" t="s">
        <v>608</v>
      </c>
      <c r="ABV339" s="42" t="s">
        <v>608</v>
      </c>
      <c r="ABW339" s="42" t="s">
        <v>608</v>
      </c>
      <c r="ABX339" s="42" t="s">
        <v>608</v>
      </c>
      <c r="ABY339" s="42" t="s">
        <v>608</v>
      </c>
      <c r="ABZ339" s="42" t="s">
        <v>608</v>
      </c>
      <c r="ACA339" s="42" t="s">
        <v>608</v>
      </c>
      <c r="ACB339" s="42" t="s">
        <v>608</v>
      </c>
      <c r="ACC339" s="42" t="s">
        <v>608</v>
      </c>
      <c r="ACD339" s="42" t="s">
        <v>608</v>
      </c>
      <c r="ACE339" s="42" t="s">
        <v>608</v>
      </c>
      <c r="ACF339" s="42" t="s">
        <v>608</v>
      </c>
      <c r="ACG339" s="42" t="s">
        <v>608</v>
      </c>
      <c r="ACH339" s="42" t="s">
        <v>608</v>
      </c>
      <c r="ACI339" s="42" t="s">
        <v>608</v>
      </c>
      <c r="ACJ339" s="42" t="s">
        <v>608</v>
      </c>
      <c r="ACK339" s="42" t="s">
        <v>608</v>
      </c>
      <c r="ACL339" s="42" t="s">
        <v>608</v>
      </c>
      <c r="ACM339" s="42" t="s">
        <v>608</v>
      </c>
      <c r="ACN339" s="42" t="s">
        <v>608</v>
      </c>
      <c r="ACO339" s="42" t="s">
        <v>608</v>
      </c>
      <c r="ACP339" s="42" t="s">
        <v>608</v>
      </c>
      <c r="ACQ339" s="42" t="s">
        <v>608</v>
      </c>
      <c r="ACR339" s="42" t="s">
        <v>608</v>
      </c>
      <c r="ACS339" s="42" t="s">
        <v>608</v>
      </c>
      <c r="ACT339" s="42" t="s">
        <v>608</v>
      </c>
      <c r="ACU339" s="42" t="s">
        <v>608</v>
      </c>
      <c r="ACV339" s="42" t="s">
        <v>608</v>
      </c>
      <c r="ACW339" s="42" t="s">
        <v>608</v>
      </c>
      <c r="ACX339" s="42" t="s">
        <v>608</v>
      </c>
      <c r="ACY339" s="42" t="s">
        <v>608</v>
      </c>
      <c r="ACZ339" s="42" t="s">
        <v>608</v>
      </c>
      <c r="ADA339" s="42" t="s">
        <v>608</v>
      </c>
      <c r="ADB339" s="42" t="s">
        <v>608</v>
      </c>
      <c r="ADC339" s="42" t="s">
        <v>608</v>
      </c>
      <c r="ADD339" s="42" t="s">
        <v>608</v>
      </c>
      <c r="ADE339" s="42" t="s">
        <v>608</v>
      </c>
      <c r="ADF339" s="42" t="s">
        <v>608</v>
      </c>
      <c r="ADG339" s="42" t="s">
        <v>608</v>
      </c>
      <c r="ADH339" s="42" t="s">
        <v>608</v>
      </c>
      <c r="ADI339" s="42" t="s">
        <v>608</v>
      </c>
      <c r="ADJ339" s="42" t="s">
        <v>608</v>
      </c>
      <c r="ADK339" s="42" t="s">
        <v>608</v>
      </c>
      <c r="ADL339" s="42" t="s">
        <v>608</v>
      </c>
      <c r="ADM339" s="42" t="s">
        <v>608</v>
      </c>
      <c r="ADN339" s="42" t="s">
        <v>608</v>
      </c>
      <c r="ADO339" s="42" t="s">
        <v>608</v>
      </c>
      <c r="ADP339" s="42" t="s">
        <v>608</v>
      </c>
      <c r="ADQ339" s="42" t="s">
        <v>608</v>
      </c>
      <c r="ADR339" s="42" t="s">
        <v>608</v>
      </c>
      <c r="ADS339" s="42" t="s">
        <v>608</v>
      </c>
      <c r="ADT339" s="42" t="s">
        <v>608</v>
      </c>
      <c r="ADU339" s="42" t="s">
        <v>608</v>
      </c>
      <c r="ADV339" s="42" t="s">
        <v>608</v>
      </c>
      <c r="ADW339" s="42" t="s">
        <v>608</v>
      </c>
      <c r="ADX339" s="42" t="s">
        <v>608</v>
      </c>
      <c r="ADY339" s="42" t="s">
        <v>608</v>
      </c>
      <c r="ADZ339" s="42" t="s">
        <v>608</v>
      </c>
      <c r="AEA339" s="42" t="s">
        <v>608</v>
      </c>
      <c r="AEB339" s="42" t="s">
        <v>608</v>
      </c>
      <c r="AEC339" s="42" t="s">
        <v>608</v>
      </c>
      <c r="AED339" s="42" t="s">
        <v>608</v>
      </c>
      <c r="AEE339" s="42" t="s">
        <v>608</v>
      </c>
      <c r="AEF339" s="42" t="s">
        <v>608</v>
      </c>
      <c r="AEG339" s="42" t="s">
        <v>608</v>
      </c>
      <c r="AEH339" s="42" t="s">
        <v>608</v>
      </c>
      <c r="AEI339" s="42" t="s">
        <v>608</v>
      </c>
      <c r="AEJ339" s="42" t="s">
        <v>608</v>
      </c>
      <c r="AEK339" s="42" t="s">
        <v>608</v>
      </c>
      <c r="AEL339" s="42" t="s">
        <v>608</v>
      </c>
      <c r="AEM339" s="42" t="s">
        <v>608</v>
      </c>
      <c r="AEN339" s="42" t="s">
        <v>608</v>
      </c>
      <c r="AEO339" s="42" t="s">
        <v>608</v>
      </c>
      <c r="AEP339" s="42" t="s">
        <v>608</v>
      </c>
      <c r="AEQ339" s="42" t="s">
        <v>608</v>
      </c>
      <c r="AER339" s="42" t="s">
        <v>608</v>
      </c>
      <c r="AES339" s="42" t="s">
        <v>608</v>
      </c>
      <c r="AET339" s="42" t="s">
        <v>608</v>
      </c>
      <c r="AEU339" s="42" t="s">
        <v>608</v>
      </c>
      <c r="AEV339" s="42" t="s">
        <v>608</v>
      </c>
      <c r="AEW339" s="42" t="s">
        <v>608</v>
      </c>
      <c r="AEX339" s="42" t="s">
        <v>608</v>
      </c>
      <c r="AEY339" s="42" t="s">
        <v>608</v>
      </c>
      <c r="AEZ339" s="42" t="s">
        <v>608</v>
      </c>
      <c r="AFA339" s="42" t="s">
        <v>608</v>
      </c>
      <c r="AFB339" s="42" t="s">
        <v>608</v>
      </c>
      <c r="AFC339" s="42" t="s">
        <v>608</v>
      </c>
      <c r="AFD339" s="42" t="s">
        <v>608</v>
      </c>
      <c r="AFE339" s="42" t="s">
        <v>608</v>
      </c>
      <c r="AFF339" s="42" t="s">
        <v>608</v>
      </c>
      <c r="AFG339" s="42" t="s">
        <v>608</v>
      </c>
      <c r="AFH339" s="42" t="s">
        <v>608</v>
      </c>
      <c r="AFI339" s="42" t="s">
        <v>608</v>
      </c>
      <c r="AFJ339" s="42" t="s">
        <v>608</v>
      </c>
      <c r="AFK339" s="42" t="s">
        <v>608</v>
      </c>
      <c r="AFL339" s="42" t="s">
        <v>608</v>
      </c>
      <c r="AFM339" s="42" t="s">
        <v>608</v>
      </c>
      <c r="AFN339" s="42" t="s">
        <v>608</v>
      </c>
      <c r="AFO339" s="42" t="s">
        <v>608</v>
      </c>
      <c r="AFP339" s="42" t="s">
        <v>608</v>
      </c>
      <c r="AFQ339" s="42" t="s">
        <v>608</v>
      </c>
      <c r="AFR339" s="42" t="s">
        <v>608</v>
      </c>
      <c r="AFS339" s="42" t="s">
        <v>608</v>
      </c>
      <c r="AFT339" s="42" t="s">
        <v>608</v>
      </c>
      <c r="AFU339" s="42" t="s">
        <v>608</v>
      </c>
      <c r="AFV339" s="42" t="s">
        <v>608</v>
      </c>
      <c r="AFW339" s="42" t="s">
        <v>608</v>
      </c>
      <c r="AFX339" s="42" t="s">
        <v>608</v>
      </c>
      <c r="AFY339" s="42" t="s">
        <v>608</v>
      </c>
      <c r="AFZ339" s="42" t="s">
        <v>608</v>
      </c>
      <c r="AGA339" s="42" t="s">
        <v>608</v>
      </c>
      <c r="AGB339" s="42" t="s">
        <v>608</v>
      </c>
      <c r="AGC339" s="42" t="s">
        <v>608</v>
      </c>
      <c r="AGD339" s="42" t="s">
        <v>608</v>
      </c>
      <c r="AGE339" s="42" t="s">
        <v>608</v>
      </c>
      <c r="AGF339" s="42" t="s">
        <v>608</v>
      </c>
      <c r="AGG339" s="42" t="s">
        <v>608</v>
      </c>
      <c r="AGH339" s="42" t="s">
        <v>608</v>
      </c>
      <c r="AGI339" s="42" t="s">
        <v>608</v>
      </c>
      <c r="AGJ339" s="42" t="s">
        <v>608</v>
      </c>
      <c r="AGK339" s="42" t="s">
        <v>608</v>
      </c>
      <c r="AGL339" s="42" t="s">
        <v>608</v>
      </c>
      <c r="AGM339" s="42" t="s">
        <v>608</v>
      </c>
      <c r="AGN339" s="42" t="s">
        <v>608</v>
      </c>
      <c r="AGO339" s="42" t="s">
        <v>608</v>
      </c>
      <c r="AGP339" s="42" t="s">
        <v>608</v>
      </c>
      <c r="AGQ339" s="42" t="s">
        <v>608</v>
      </c>
      <c r="AGR339" s="42" t="s">
        <v>608</v>
      </c>
      <c r="AGS339" s="42" t="s">
        <v>608</v>
      </c>
      <c r="AGT339" s="42" t="s">
        <v>608</v>
      </c>
      <c r="AGU339" s="42" t="s">
        <v>608</v>
      </c>
      <c r="AGV339" s="42" t="s">
        <v>608</v>
      </c>
      <c r="AGW339" s="42" t="s">
        <v>608</v>
      </c>
      <c r="AGX339" s="42" t="s">
        <v>608</v>
      </c>
      <c r="AGY339" s="42" t="s">
        <v>608</v>
      </c>
      <c r="AGZ339" s="42" t="s">
        <v>608</v>
      </c>
      <c r="AHA339" s="42" t="s">
        <v>608</v>
      </c>
      <c r="AHB339" s="42" t="s">
        <v>608</v>
      </c>
      <c r="AHC339" s="42" t="s">
        <v>608</v>
      </c>
      <c r="AHD339" s="42" t="s">
        <v>608</v>
      </c>
      <c r="AHE339" s="42" t="s">
        <v>608</v>
      </c>
      <c r="AHF339" s="42" t="s">
        <v>608</v>
      </c>
      <c r="AHG339" s="42" t="s">
        <v>608</v>
      </c>
      <c r="AHH339" s="42" t="s">
        <v>608</v>
      </c>
      <c r="AHI339" s="42" t="s">
        <v>608</v>
      </c>
      <c r="AHJ339" s="42" t="s">
        <v>608</v>
      </c>
      <c r="AHK339" s="42" t="s">
        <v>608</v>
      </c>
      <c r="AHL339" s="42" t="s">
        <v>608</v>
      </c>
      <c r="AHM339" s="42" t="s">
        <v>608</v>
      </c>
      <c r="AHN339" s="42" t="s">
        <v>608</v>
      </c>
      <c r="AHO339" s="42" t="s">
        <v>608</v>
      </c>
      <c r="AHP339" s="42" t="s">
        <v>608</v>
      </c>
      <c r="AHQ339" s="42" t="s">
        <v>608</v>
      </c>
      <c r="AHR339" s="42" t="s">
        <v>608</v>
      </c>
      <c r="AHS339" s="42" t="s">
        <v>608</v>
      </c>
      <c r="AHT339" s="42" t="s">
        <v>608</v>
      </c>
      <c r="AHU339" s="42" t="s">
        <v>608</v>
      </c>
      <c r="AHV339" s="42" t="s">
        <v>608</v>
      </c>
      <c r="AHW339" s="42" t="s">
        <v>608</v>
      </c>
      <c r="AHX339" s="42" t="s">
        <v>608</v>
      </c>
      <c r="AHY339" s="42" t="s">
        <v>608</v>
      </c>
      <c r="AHZ339" s="42" t="s">
        <v>608</v>
      </c>
      <c r="AIA339" s="42" t="s">
        <v>608</v>
      </c>
      <c r="AIB339" s="42" t="s">
        <v>608</v>
      </c>
      <c r="AIC339" s="42" t="s">
        <v>608</v>
      </c>
      <c r="AID339" s="42" t="s">
        <v>608</v>
      </c>
      <c r="AIE339" s="42" t="s">
        <v>608</v>
      </c>
      <c r="AIF339" s="42" t="s">
        <v>608</v>
      </c>
      <c r="AIG339" s="42" t="s">
        <v>608</v>
      </c>
      <c r="AIH339" s="42" t="s">
        <v>608</v>
      </c>
      <c r="AII339" s="42" t="s">
        <v>608</v>
      </c>
      <c r="AIJ339" s="42" t="s">
        <v>608</v>
      </c>
      <c r="AIK339" s="42" t="s">
        <v>608</v>
      </c>
      <c r="AIL339" s="42" t="s">
        <v>608</v>
      </c>
      <c r="AIM339" s="42" t="s">
        <v>608</v>
      </c>
      <c r="AIN339" s="42" t="s">
        <v>608</v>
      </c>
      <c r="AIO339" s="42" t="s">
        <v>608</v>
      </c>
      <c r="AIP339" s="42" t="s">
        <v>608</v>
      </c>
      <c r="AIQ339" s="42" t="s">
        <v>608</v>
      </c>
      <c r="AIR339" s="42" t="s">
        <v>608</v>
      </c>
      <c r="AIS339" s="42" t="s">
        <v>608</v>
      </c>
      <c r="AIT339" s="42" t="s">
        <v>608</v>
      </c>
      <c r="AIU339" s="42" t="s">
        <v>608</v>
      </c>
      <c r="AIV339" s="42" t="s">
        <v>608</v>
      </c>
      <c r="AIW339" s="42" t="s">
        <v>608</v>
      </c>
      <c r="AIX339" s="42" t="s">
        <v>608</v>
      </c>
      <c r="AIY339" s="42" t="s">
        <v>608</v>
      </c>
      <c r="AIZ339" s="42" t="s">
        <v>608</v>
      </c>
      <c r="AJA339" s="42" t="s">
        <v>608</v>
      </c>
      <c r="AJB339" s="42" t="s">
        <v>608</v>
      </c>
      <c r="AJC339" s="42" t="s">
        <v>608</v>
      </c>
      <c r="AJD339" s="42" t="s">
        <v>608</v>
      </c>
      <c r="AJE339" s="42" t="s">
        <v>608</v>
      </c>
      <c r="AJF339" s="42" t="s">
        <v>608</v>
      </c>
      <c r="AJG339" s="42" t="s">
        <v>608</v>
      </c>
      <c r="AJH339" s="42" t="s">
        <v>608</v>
      </c>
      <c r="AJI339" s="42" t="s">
        <v>608</v>
      </c>
      <c r="AJJ339" s="42" t="s">
        <v>608</v>
      </c>
      <c r="AJK339" s="42" t="s">
        <v>608</v>
      </c>
      <c r="AJL339" s="42" t="s">
        <v>608</v>
      </c>
      <c r="AJM339" s="42" t="s">
        <v>608</v>
      </c>
      <c r="AJN339" s="42" t="s">
        <v>608</v>
      </c>
      <c r="AJO339" s="42" t="s">
        <v>608</v>
      </c>
      <c r="AJP339" s="42" t="s">
        <v>608</v>
      </c>
      <c r="AJQ339" s="42" t="s">
        <v>608</v>
      </c>
      <c r="AJR339" s="42" t="s">
        <v>608</v>
      </c>
      <c r="AJS339" s="42" t="s">
        <v>608</v>
      </c>
      <c r="AJT339" s="42" t="s">
        <v>608</v>
      </c>
      <c r="AJU339" s="42" t="s">
        <v>608</v>
      </c>
      <c r="AJV339" s="42" t="s">
        <v>608</v>
      </c>
      <c r="AJW339" s="42" t="s">
        <v>608</v>
      </c>
      <c r="AJX339" s="42" t="s">
        <v>608</v>
      </c>
      <c r="AJY339" s="42" t="s">
        <v>608</v>
      </c>
      <c r="AJZ339" s="42" t="s">
        <v>608</v>
      </c>
      <c r="AKA339" s="42" t="s">
        <v>608</v>
      </c>
      <c r="AKB339" s="42" t="s">
        <v>608</v>
      </c>
      <c r="AKC339" s="42" t="s">
        <v>608</v>
      </c>
      <c r="AKD339" s="42" t="s">
        <v>608</v>
      </c>
      <c r="AKE339" s="42" t="s">
        <v>608</v>
      </c>
      <c r="AKF339" s="42" t="s">
        <v>608</v>
      </c>
      <c r="AKG339" s="42" t="s">
        <v>608</v>
      </c>
      <c r="AKH339" s="42" t="s">
        <v>608</v>
      </c>
      <c r="AKI339" s="42" t="s">
        <v>608</v>
      </c>
      <c r="AKJ339" s="42" t="s">
        <v>608</v>
      </c>
      <c r="AKK339" s="42" t="s">
        <v>608</v>
      </c>
      <c r="AKL339" s="42" t="s">
        <v>608</v>
      </c>
      <c r="AKM339" s="42" t="s">
        <v>608</v>
      </c>
      <c r="AKN339" s="42" t="s">
        <v>608</v>
      </c>
      <c r="AKO339" s="42" t="s">
        <v>608</v>
      </c>
      <c r="AKP339" s="42" t="s">
        <v>608</v>
      </c>
      <c r="AKQ339" s="42" t="s">
        <v>608</v>
      </c>
      <c r="AKR339" s="42" t="s">
        <v>608</v>
      </c>
      <c r="AKS339" s="42" t="s">
        <v>608</v>
      </c>
      <c r="AKT339" s="42" t="s">
        <v>608</v>
      </c>
      <c r="AKU339" s="42" t="s">
        <v>608</v>
      </c>
      <c r="AKV339" s="42" t="s">
        <v>608</v>
      </c>
      <c r="AKW339" s="42" t="s">
        <v>608</v>
      </c>
      <c r="AKX339" s="42" t="s">
        <v>608</v>
      </c>
      <c r="AKY339" s="42" t="s">
        <v>608</v>
      </c>
      <c r="AKZ339" s="42" t="s">
        <v>608</v>
      </c>
      <c r="ALA339" s="42" t="s">
        <v>608</v>
      </c>
      <c r="ALB339" s="42" t="s">
        <v>608</v>
      </c>
      <c r="ALC339" s="42" t="s">
        <v>608</v>
      </c>
      <c r="ALD339" s="42" t="s">
        <v>608</v>
      </c>
      <c r="ALE339" s="42" t="s">
        <v>608</v>
      </c>
      <c r="ALF339" s="42" t="s">
        <v>608</v>
      </c>
      <c r="ALG339" s="42" t="s">
        <v>608</v>
      </c>
      <c r="ALH339" s="42" t="s">
        <v>608</v>
      </c>
      <c r="ALI339" s="42" t="s">
        <v>608</v>
      </c>
      <c r="ALJ339" s="42" t="s">
        <v>608</v>
      </c>
      <c r="ALK339" s="42" t="s">
        <v>608</v>
      </c>
      <c r="ALL339" s="42" t="s">
        <v>608</v>
      </c>
      <c r="ALM339" s="42" t="s">
        <v>608</v>
      </c>
      <c r="ALN339" s="42" t="s">
        <v>608</v>
      </c>
      <c r="ALO339" s="42" t="s">
        <v>608</v>
      </c>
      <c r="ALP339" s="42" t="s">
        <v>608</v>
      </c>
      <c r="ALQ339" s="42" t="s">
        <v>608</v>
      </c>
      <c r="ALR339" s="42" t="s">
        <v>608</v>
      </c>
      <c r="ALS339" s="42" t="s">
        <v>608</v>
      </c>
      <c r="ALT339" s="42" t="s">
        <v>608</v>
      </c>
      <c r="ALU339" s="42" t="s">
        <v>608</v>
      </c>
      <c r="ALV339" s="42" t="s">
        <v>608</v>
      </c>
      <c r="ALW339" s="42" t="s">
        <v>608</v>
      </c>
      <c r="ALX339" s="42" t="s">
        <v>608</v>
      </c>
      <c r="ALY339" s="42" t="s">
        <v>608</v>
      </c>
      <c r="ALZ339" s="42" t="s">
        <v>608</v>
      </c>
      <c r="AMA339" s="42" t="s">
        <v>608</v>
      </c>
      <c r="AMB339" s="42" t="s">
        <v>608</v>
      </c>
      <c r="AMC339" s="42" t="s">
        <v>608</v>
      </c>
      <c r="AMD339" s="42" t="s">
        <v>608</v>
      </c>
      <c r="AME339" s="42" t="s">
        <v>608</v>
      </c>
      <c r="AMF339" s="42" t="s">
        <v>608</v>
      </c>
      <c r="AMG339" s="42" t="s">
        <v>608</v>
      </c>
      <c r="AMH339" s="42" t="s">
        <v>608</v>
      </c>
      <c r="AMI339" s="42" t="s">
        <v>608</v>
      </c>
      <c r="AMJ339" s="42" t="s">
        <v>608</v>
      </c>
      <c r="AMK339" s="42" t="s">
        <v>608</v>
      </c>
      <c r="AML339" s="42" t="s">
        <v>608</v>
      </c>
      <c r="AMM339" s="42" t="s">
        <v>608</v>
      </c>
      <c r="AMN339" s="42" t="s">
        <v>608</v>
      </c>
      <c r="AMO339" s="42" t="s">
        <v>608</v>
      </c>
      <c r="AMP339" s="42" t="s">
        <v>608</v>
      </c>
      <c r="AMQ339" s="42" t="s">
        <v>608</v>
      </c>
      <c r="AMR339" s="42" t="s">
        <v>608</v>
      </c>
      <c r="AMS339" s="42" t="s">
        <v>608</v>
      </c>
      <c r="AMT339" s="42" t="s">
        <v>608</v>
      </c>
      <c r="AMU339" s="42" t="s">
        <v>608</v>
      </c>
      <c r="AMV339" s="42" t="s">
        <v>608</v>
      </c>
      <c r="AMW339" s="42" t="s">
        <v>608</v>
      </c>
      <c r="AMX339" s="42" t="s">
        <v>608</v>
      </c>
      <c r="AMY339" s="42" t="s">
        <v>608</v>
      </c>
      <c r="AMZ339" s="42" t="s">
        <v>608</v>
      </c>
      <c r="ANA339" s="42" t="s">
        <v>608</v>
      </c>
      <c r="ANB339" s="42" t="s">
        <v>608</v>
      </c>
      <c r="ANC339" s="42" t="s">
        <v>608</v>
      </c>
      <c r="AND339" s="42" t="s">
        <v>608</v>
      </c>
      <c r="ANE339" s="42" t="s">
        <v>608</v>
      </c>
      <c r="ANF339" s="42" t="s">
        <v>608</v>
      </c>
      <c r="ANG339" s="42" t="s">
        <v>608</v>
      </c>
      <c r="ANH339" s="42" t="s">
        <v>608</v>
      </c>
      <c r="ANI339" s="42" t="s">
        <v>608</v>
      </c>
      <c r="ANJ339" s="42" t="s">
        <v>608</v>
      </c>
      <c r="ANK339" s="42" t="s">
        <v>608</v>
      </c>
      <c r="ANL339" s="42" t="s">
        <v>608</v>
      </c>
      <c r="ANM339" s="42" t="s">
        <v>608</v>
      </c>
      <c r="ANN339" s="42" t="s">
        <v>608</v>
      </c>
      <c r="ANO339" s="42" t="s">
        <v>608</v>
      </c>
      <c r="ANP339" s="42" t="s">
        <v>608</v>
      </c>
      <c r="ANQ339" s="42" t="s">
        <v>608</v>
      </c>
      <c r="ANR339" s="42" t="s">
        <v>608</v>
      </c>
      <c r="ANS339" s="42" t="s">
        <v>608</v>
      </c>
      <c r="ANT339" s="42" t="s">
        <v>608</v>
      </c>
      <c r="ANU339" s="42" t="s">
        <v>608</v>
      </c>
      <c r="ANV339" s="42" t="s">
        <v>608</v>
      </c>
      <c r="ANW339" s="42" t="s">
        <v>608</v>
      </c>
      <c r="ANX339" s="42" t="s">
        <v>608</v>
      </c>
      <c r="ANY339" s="42" t="s">
        <v>608</v>
      </c>
      <c r="ANZ339" s="42" t="s">
        <v>608</v>
      </c>
      <c r="AOA339" s="42" t="s">
        <v>608</v>
      </c>
      <c r="AOB339" s="42" t="s">
        <v>608</v>
      </c>
      <c r="AOC339" s="42" t="s">
        <v>608</v>
      </c>
      <c r="AOD339" s="42" t="s">
        <v>608</v>
      </c>
      <c r="AOE339" s="42" t="s">
        <v>608</v>
      </c>
      <c r="AOF339" s="42" t="s">
        <v>608</v>
      </c>
      <c r="AOG339" s="42" t="s">
        <v>608</v>
      </c>
      <c r="AOH339" s="42" t="s">
        <v>608</v>
      </c>
      <c r="AOI339" s="42" t="s">
        <v>608</v>
      </c>
      <c r="AOJ339" s="42" t="s">
        <v>608</v>
      </c>
      <c r="AOK339" s="42" t="s">
        <v>608</v>
      </c>
      <c r="AOL339" s="42" t="s">
        <v>608</v>
      </c>
      <c r="AOM339" s="42" t="s">
        <v>608</v>
      </c>
      <c r="AON339" s="42" t="s">
        <v>608</v>
      </c>
      <c r="AOO339" s="42" t="s">
        <v>608</v>
      </c>
      <c r="AOP339" s="42" t="s">
        <v>608</v>
      </c>
      <c r="AOQ339" s="42" t="s">
        <v>608</v>
      </c>
      <c r="AOR339" s="42" t="s">
        <v>608</v>
      </c>
      <c r="AOS339" s="42" t="s">
        <v>608</v>
      </c>
      <c r="AOT339" s="42" t="s">
        <v>608</v>
      </c>
      <c r="AOU339" s="42" t="s">
        <v>608</v>
      </c>
      <c r="AOV339" s="42" t="s">
        <v>608</v>
      </c>
      <c r="AOW339" s="42" t="s">
        <v>608</v>
      </c>
      <c r="AOX339" s="42" t="s">
        <v>608</v>
      </c>
      <c r="AOY339" s="42" t="s">
        <v>608</v>
      </c>
      <c r="AOZ339" s="42" t="s">
        <v>608</v>
      </c>
      <c r="APA339" s="42" t="s">
        <v>608</v>
      </c>
      <c r="APB339" s="42" t="s">
        <v>608</v>
      </c>
      <c r="APC339" s="42" t="s">
        <v>608</v>
      </c>
      <c r="APD339" s="42" t="s">
        <v>608</v>
      </c>
      <c r="APE339" s="42" t="s">
        <v>608</v>
      </c>
      <c r="APF339" s="42" t="s">
        <v>608</v>
      </c>
      <c r="APG339" s="42" t="s">
        <v>608</v>
      </c>
      <c r="APH339" s="42" t="s">
        <v>608</v>
      </c>
      <c r="API339" s="42" t="s">
        <v>608</v>
      </c>
      <c r="APJ339" s="42" t="s">
        <v>608</v>
      </c>
      <c r="APK339" s="42" t="s">
        <v>608</v>
      </c>
      <c r="APL339" s="42" t="s">
        <v>608</v>
      </c>
      <c r="APM339" s="42" t="s">
        <v>608</v>
      </c>
      <c r="APN339" s="42" t="s">
        <v>608</v>
      </c>
      <c r="APO339" s="42" t="s">
        <v>608</v>
      </c>
      <c r="APP339" s="42" t="s">
        <v>608</v>
      </c>
      <c r="APQ339" s="42" t="s">
        <v>608</v>
      </c>
      <c r="APR339" s="42" t="s">
        <v>608</v>
      </c>
      <c r="APS339" s="42" t="s">
        <v>608</v>
      </c>
      <c r="APT339" s="42" t="s">
        <v>608</v>
      </c>
      <c r="APU339" s="42" t="s">
        <v>608</v>
      </c>
      <c r="APV339" s="42" t="s">
        <v>608</v>
      </c>
      <c r="APW339" s="42" t="s">
        <v>608</v>
      </c>
      <c r="APX339" s="42" t="s">
        <v>608</v>
      </c>
      <c r="APY339" s="42" t="s">
        <v>608</v>
      </c>
      <c r="APZ339" s="42" t="s">
        <v>608</v>
      </c>
      <c r="AQA339" s="42" t="s">
        <v>608</v>
      </c>
      <c r="AQB339" s="42" t="s">
        <v>608</v>
      </c>
      <c r="AQC339" s="42" t="s">
        <v>608</v>
      </c>
      <c r="AQD339" s="42" t="s">
        <v>608</v>
      </c>
      <c r="AQE339" s="42" t="s">
        <v>608</v>
      </c>
      <c r="AQF339" s="42" t="s">
        <v>608</v>
      </c>
      <c r="AQG339" s="42" t="s">
        <v>608</v>
      </c>
      <c r="AQH339" s="42" t="s">
        <v>608</v>
      </c>
      <c r="AQI339" s="42" t="s">
        <v>608</v>
      </c>
      <c r="AQJ339" s="42" t="s">
        <v>608</v>
      </c>
      <c r="AQK339" s="42" t="s">
        <v>608</v>
      </c>
      <c r="AQL339" s="42" t="s">
        <v>608</v>
      </c>
      <c r="AQM339" s="42" t="s">
        <v>608</v>
      </c>
      <c r="AQN339" s="42" t="s">
        <v>608</v>
      </c>
      <c r="AQO339" s="42" t="s">
        <v>608</v>
      </c>
      <c r="AQP339" s="42" t="s">
        <v>608</v>
      </c>
      <c r="AQQ339" s="42" t="s">
        <v>608</v>
      </c>
      <c r="AQR339" s="42" t="s">
        <v>608</v>
      </c>
      <c r="AQS339" s="42" t="s">
        <v>608</v>
      </c>
      <c r="AQT339" s="42" t="s">
        <v>608</v>
      </c>
      <c r="AQU339" s="42" t="s">
        <v>608</v>
      </c>
      <c r="AQV339" s="42" t="s">
        <v>608</v>
      </c>
      <c r="AQW339" s="42" t="s">
        <v>608</v>
      </c>
      <c r="AQX339" s="42" t="s">
        <v>608</v>
      </c>
      <c r="AQY339" s="42" t="s">
        <v>608</v>
      </c>
      <c r="AQZ339" s="42" t="s">
        <v>608</v>
      </c>
      <c r="ARA339" s="42" t="s">
        <v>608</v>
      </c>
      <c r="ARB339" s="42" t="s">
        <v>608</v>
      </c>
      <c r="ARC339" s="42" t="s">
        <v>608</v>
      </c>
      <c r="ARD339" s="42" t="s">
        <v>608</v>
      </c>
      <c r="ARE339" s="42" t="s">
        <v>608</v>
      </c>
      <c r="ARF339" s="42" t="s">
        <v>608</v>
      </c>
      <c r="ARG339" s="42" t="s">
        <v>608</v>
      </c>
      <c r="ARH339" s="42" t="s">
        <v>608</v>
      </c>
      <c r="ARI339" s="42" t="s">
        <v>608</v>
      </c>
      <c r="ARJ339" s="42" t="s">
        <v>608</v>
      </c>
      <c r="ARK339" s="42" t="s">
        <v>608</v>
      </c>
      <c r="ARL339" s="42" t="s">
        <v>608</v>
      </c>
      <c r="ARM339" s="42" t="s">
        <v>608</v>
      </c>
      <c r="ARN339" s="42" t="s">
        <v>608</v>
      </c>
      <c r="ARO339" s="42" t="s">
        <v>608</v>
      </c>
      <c r="ARP339" s="42" t="s">
        <v>608</v>
      </c>
      <c r="ARQ339" s="42" t="s">
        <v>608</v>
      </c>
      <c r="ARR339" s="42" t="s">
        <v>608</v>
      </c>
      <c r="ARS339" s="42" t="s">
        <v>608</v>
      </c>
      <c r="ART339" s="42" t="s">
        <v>608</v>
      </c>
      <c r="ARU339" s="42" t="s">
        <v>608</v>
      </c>
      <c r="ARV339" s="42" t="s">
        <v>608</v>
      </c>
      <c r="ARW339" s="42" t="s">
        <v>608</v>
      </c>
      <c r="ARX339" s="42" t="s">
        <v>608</v>
      </c>
      <c r="ARY339" s="42" t="s">
        <v>608</v>
      </c>
      <c r="ARZ339" s="42" t="s">
        <v>608</v>
      </c>
      <c r="ASA339" s="42" t="s">
        <v>608</v>
      </c>
      <c r="ASB339" s="42" t="s">
        <v>608</v>
      </c>
      <c r="ASC339" s="42" t="s">
        <v>608</v>
      </c>
      <c r="ASD339" s="42" t="s">
        <v>608</v>
      </c>
      <c r="ASE339" s="42" t="s">
        <v>608</v>
      </c>
      <c r="ASF339" s="42" t="s">
        <v>608</v>
      </c>
      <c r="ASG339" s="42" t="s">
        <v>608</v>
      </c>
      <c r="ASH339" s="42" t="s">
        <v>608</v>
      </c>
      <c r="ASI339" s="42" t="s">
        <v>608</v>
      </c>
      <c r="ASJ339" s="42" t="s">
        <v>608</v>
      </c>
      <c r="ASK339" s="42" t="s">
        <v>608</v>
      </c>
      <c r="ASL339" s="42" t="s">
        <v>608</v>
      </c>
      <c r="ASM339" s="42" t="s">
        <v>608</v>
      </c>
      <c r="ASN339" s="42" t="s">
        <v>608</v>
      </c>
      <c r="ASO339" s="42" t="s">
        <v>608</v>
      </c>
      <c r="ASP339" s="42" t="s">
        <v>608</v>
      </c>
      <c r="ASQ339" s="42" t="s">
        <v>608</v>
      </c>
      <c r="ASR339" s="42" t="s">
        <v>608</v>
      </c>
      <c r="ASS339" s="42" t="s">
        <v>608</v>
      </c>
      <c r="AST339" s="42" t="s">
        <v>608</v>
      </c>
      <c r="ASU339" s="42" t="s">
        <v>608</v>
      </c>
      <c r="ASV339" s="42" t="s">
        <v>608</v>
      </c>
      <c r="ASW339" s="42" t="s">
        <v>608</v>
      </c>
      <c r="ASX339" s="42" t="s">
        <v>608</v>
      </c>
      <c r="ASY339" s="42" t="s">
        <v>608</v>
      </c>
      <c r="ASZ339" s="42" t="s">
        <v>608</v>
      </c>
      <c r="ATA339" s="42" t="s">
        <v>608</v>
      </c>
      <c r="ATB339" s="42" t="s">
        <v>608</v>
      </c>
      <c r="ATC339" s="42" t="s">
        <v>608</v>
      </c>
      <c r="ATD339" s="42" t="s">
        <v>608</v>
      </c>
      <c r="ATE339" s="42" t="s">
        <v>608</v>
      </c>
      <c r="ATF339" s="42" t="s">
        <v>608</v>
      </c>
      <c r="ATG339" s="42" t="s">
        <v>608</v>
      </c>
      <c r="ATH339" s="42" t="s">
        <v>608</v>
      </c>
      <c r="ATI339" s="42" t="s">
        <v>608</v>
      </c>
      <c r="ATJ339" s="42" t="s">
        <v>608</v>
      </c>
      <c r="ATK339" s="42" t="s">
        <v>608</v>
      </c>
      <c r="ATL339" s="42" t="s">
        <v>608</v>
      </c>
      <c r="ATM339" s="42" t="s">
        <v>608</v>
      </c>
      <c r="ATN339" s="42" t="s">
        <v>608</v>
      </c>
      <c r="ATO339" s="42" t="s">
        <v>608</v>
      </c>
      <c r="ATP339" s="42" t="s">
        <v>608</v>
      </c>
      <c r="ATQ339" s="42" t="s">
        <v>608</v>
      </c>
      <c r="ATR339" s="42" t="s">
        <v>608</v>
      </c>
      <c r="ATS339" s="42" t="s">
        <v>608</v>
      </c>
      <c r="ATT339" s="42" t="s">
        <v>608</v>
      </c>
      <c r="ATU339" s="42" t="s">
        <v>608</v>
      </c>
      <c r="ATV339" s="42" t="s">
        <v>608</v>
      </c>
      <c r="ATW339" s="42" t="s">
        <v>608</v>
      </c>
      <c r="ATX339" s="42" t="s">
        <v>608</v>
      </c>
      <c r="ATY339" s="42" t="s">
        <v>608</v>
      </c>
      <c r="ATZ339" s="42" t="s">
        <v>608</v>
      </c>
      <c r="AUA339" s="42" t="s">
        <v>608</v>
      </c>
      <c r="AUB339" s="42" t="s">
        <v>608</v>
      </c>
      <c r="AUC339" s="42" t="s">
        <v>608</v>
      </c>
      <c r="AUD339" s="42" t="s">
        <v>608</v>
      </c>
      <c r="AUE339" s="42" t="s">
        <v>608</v>
      </c>
      <c r="AUF339" s="42" t="s">
        <v>608</v>
      </c>
      <c r="AUG339" s="42" t="s">
        <v>608</v>
      </c>
      <c r="AUH339" s="42" t="s">
        <v>608</v>
      </c>
      <c r="AUI339" s="42" t="s">
        <v>608</v>
      </c>
      <c r="AUJ339" s="42" t="s">
        <v>608</v>
      </c>
      <c r="AUK339" s="42" t="s">
        <v>608</v>
      </c>
      <c r="AUL339" s="42" t="s">
        <v>608</v>
      </c>
      <c r="AUM339" s="42" t="s">
        <v>608</v>
      </c>
      <c r="AUN339" s="42" t="s">
        <v>608</v>
      </c>
      <c r="AUO339" s="42" t="s">
        <v>608</v>
      </c>
      <c r="AUP339" s="42" t="s">
        <v>608</v>
      </c>
      <c r="AUQ339" s="42" t="s">
        <v>608</v>
      </c>
      <c r="AUR339" s="42" t="s">
        <v>608</v>
      </c>
      <c r="AUS339" s="42" t="s">
        <v>608</v>
      </c>
      <c r="AUT339" s="42" t="s">
        <v>608</v>
      </c>
      <c r="AUU339" s="42" t="s">
        <v>608</v>
      </c>
      <c r="AUV339" s="42" t="s">
        <v>608</v>
      </c>
      <c r="AUW339" s="42" t="s">
        <v>608</v>
      </c>
      <c r="AUX339" s="42" t="s">
        <v>608</v>
      </c>
      <c r="AUY339" s="42" t="s">
        <v>608</v>
      </c>
      <c r="AUZ339" s="42" t="s">
        <v>608</v>
      </c>
      <c r="AVA339" s="42" t="s">
        <v>608</v>
      </c>
      <c r="AVB339" s="42" t="s">
        <v>608</v>
      </c>
      <c r="AVC339" s="42" t="s">
        <v>608</v>
      </c>
      <c r="AVD339" s="42" t="s">
        <v>608</v>
      </c>
      <c r="AVE339" s="42" t="s">
        <v>608</v>
      </c>
      <c r="AVF339" s="42" t="s">
        <v>608</v>
      </c>
      <c r="AVG339" s="42" t="s">
        <v>608</v>
      </c>
      <c r="AVH339" s="42" t="s">
        <v>608</v>
      </c>
      <c r="AVI339" s="42" t="s">
        <v>608</v>
      </c>
      <c r="AVJ339" s="42" t="s">
        <v>608</v>
      </c>
      <c r="AVK339" s="42" t="s">
        <v>608</v>
      </c>
      <c r="AVL339" s="42" t="s">
        <v>608</v>
      </c>
      <c r="AVM339" s="42" t="s">
        <v>608</v>
      </c>
      <c r="AVN339" s="42" t="s">
        <v>608</v>
      </c>
      <c r="AVO339" s="42" t="s">
        <v>608</v>
      </c>
      <c r="AVP339" s="42" t="s">
        <v>608</v>
      </c>
      <c r="AVQ339" s="42" t="s">
        <v>608</v>
      </c>
      <c r="AVR339" s="42" t="s">
        <v>608</v>
      </c>
      <c r="AVS339" s="42" t="s">
        <v>608</v>
      </c>
      <c r="AVT339" s="42" t="s">
        <v>608</v>
      </c>
      <c r="AVU339" s="42" t="s">
        <v>608</v>
      </c>
      <c r="AVV339" s="42" t="s">
        <v>608</v>
      </c>
      <c r="AVW339" s="42" t="s">
        <v>608</v>
      </c>
      <c r="AVX339" s="42" t="s">
        <v>608</v>
      </c>
      <c r="AVY339" s="42" t="s">
        <v>608</v>
      </c>
      <c r="AVZ339" s="42" t="s">
        <v>608</v>
      </c>
      <c r="AWA339" s="42" t="s">
        <v>608</v>
      </c>
      <c r="AWB339" s="42" t="s">
        <v>608</v>
      </c>
      <c r="AWC339" s="42" t="s">
        <v>608</v>
      </c>
      <c r="AWD339" s="42" t="s">
        <v>608</v>
      </c>
      <c r="AWE339" s="42" t="s">
        <v>608</v>
      </c>
      <c r="AWF339" s="42" t="s">
        <v>608</v>
      </c>
      <c r="AWG339" s="42" t="s">
        <v>608</v>
      </c>
      <c r="AWH339" s="42" t="s">
        <v>608</v>
      </c>
      <c r="AWI339" s="42" t="s">
        <v>608</v>
      </c>
      <c r="AWJ339" s="42" t="s">
        <v>608</v>
      </c>
      <c r="AWK339" s="42" t="s">
        <v>608</v>
      </c>
      <c r="AWL339" s="42" t="s">
        <v>608</v>
      </c>
      <c r="AWM339" s="42" t="s">
        <v>608</v>
      </c>
      <c r="AWN339" s="42" t="s">
        <v>608</v>
      </c>
      <c r="AWO339" s="42" t="s">
        <v>608</v>
      </c>
      <c r="AWP339" s="42" t="s">
        <v>608</v>
      </c>
      <c r="AWQ339" s="42" t="s">
        <v>608</v>
      </c>
      <c r="AWR339" s="42" t="s">
        <v>608</v>
      </c>
      <c r="AWS339" s="42" t="s">
        <v>608</v>
      </c>
      <c r="AWT339" s="42" t="s">
        <v>608</v>
      </c>
      <c r="AWU339" s="42" t="s">
        <v>608</v>
      </c>
      <c r="AWV339" s="42" t="s">
        <v>608</v>
      </c>
      <c r="AWW339" s="42" t="s">
        <v>608</v>
      </c>
      <c r="AWX339" s="42" t="s">
        <v>608</v>
      </c>
      <c r="AWY339" s="42" t="s">
        <v>608</v>
      </c>
      <c r="AWZ339" s="42" t="s">
        <v>608</v>
      </c>
      <c r="AXA339" s="42" t="s">
        <v>608</v>
      </c>
      <c r="AXB339" s="42" t="s">
        <v>608</v>
      </c>
      <c r="AXC339" s="42" t="s">
        <v>608</v>
      </c>
      <c r="AXD339" s="42" t="s">
        <v>608</v>
      </c>
      <c r="AXE339" s="42" t="s">
        <v>608</v>
      </c>
      <c r="AXF339" s="42" t="s">
        <v>608</v>
      </c>
      <c r="AXG339" s="42" t="s">
        <v>608</v>
      </c>
      <c r="AXH339" s="42" t="s">
        <v>608</v>
      </c>
      <c r="AXI339" s="42" t="s">
        <v>608</v>
      </c>
      <c r="AXJ339" s="42" t="s">
        <v>608</v>
      </c>
      <c r="AXK339" s="42" t="s">
        <v>608</v>
      </c>
      <c r="AXL339" s="42" t="s">
        <v>608</v>
      </c>
      <c r="AXM339" s="42" t="s">
        <v>608</v>
      </c>
      <c r="AXN339" s="42" t="s">
        <v>608</v>
      </c>
      <c r="AXO339" s="42" t="s">
        <v>608</v>
      </c>
      <c r="AXP339" s="42" t="s">
        <v>608</v>
      </c>
      <c r="AXQ339" s="42" t="s">
        <v>608</v>
      </c>
      <c r="AXR339" s="42" t="s">
        <v>608</v>
      </c>
      <c r="AXS339" s="42" t="s">
        <v>608</v>
      </c>
      <c r="AXT339" s="42" t="s">
        <v>608</v>
      </c>
      <c r="AXU339" s="42" t="s">
        <v>608</v>
      </c>
      <c r="AXV339" s="42" t="s">
        <v>608</v>
      </c>
      <c r="AXW339" s="42" t="s">
        <v>608</v>
      </c>
      <c r="AXX339" s="42" t="s">
        <v>608</v>
      </c>
      <c r="AXY339" s="42" t="s">
        <v>608</v>
      </c>
      <c r="AXZ339" s="42" t="s">
        <v>608</v>
      </c>
      <c r="AYA339" s="42" t="s">
        <v>608</v>
      </c>
      <c r="AYB339" s="42" t="s">
        <v>608</v>
      </c>
      <c r="AYC339" s="42" t="s">
        <v>608</v>
      </c>
      <c r="AYD339" s="42" t="s">
        <v>608</v>
      </c>
      <c r="AYE339" s="42" t="s">
        <v>608</v>
      </c>
      <c r="AYF339" s="42" t="s">
        <v>608</v>
      </c>
      <c r="AYG339" s="42" t="s">
        <v>608</v>
      </c>
      <c r="AYH339" s="42" t="s">
        <v>608</v>
      </c>
      <c r="AYI339" s="42" t="s">
        <v>608</v>
      </c>
      <c r="AYJ339" s="42" t="s">
        <v>608</v>
      </c>
      <c r="AYK339" s="42" t="s">
        <v>608</v>
      </c>
      <c r="AYL339" s="42" t="s">
        <v>608</v>
      </c>
      <c r="AYM339" s="42" t="s">
        <v>608</v>
      </c>
      <c r="AYN339" s="42" t="s">
        <v>608</v>
      </c>
      <c r="AYO339" s="42" t="s">
        <v>608</v>
      </c>
      <c r="AYP339" s="42" t="s">
        <v>608</v>
      </c>
      <c r="AYQ339" s="42" t="s">
        <v>608</v>
      </c>
      <c r="AYR339" s="42" t="s">
        <v>608</v>
      </c>
      <c r="AYS339" s="42" t="s">
        <v>608</v>
      </c>
      <c r="AYT339" s="42" t="s">
        <v>608</v>
      </c>
      <c r="AYU339" s="42" t="s">
        <v>608</v>
      </c>
      <c r="AYV339" s="42" t="s">
        <v>608</v>
      </c>
      <c r="AYW339" s="42" t="s">
        <v>608</v>
      </c>
      <c r="AYX339" s="42" t="s">
        <v>608</v>
      </c>
      <c r="AYY339" s="42" t="s">
        <v>608</v>
      </c>
      <c r="AYZ339" s="42" t="s">
        <v>608</v>
      </c>
      <c r="AZA339" s="42" t="s">
        <v>608</v>
      </c>
      <c r="AZB339" s="42" t="s">
        <v>608</v>
      </c>
      <c r="AZC339" s="42" t="s">
        <v>608</v>
      </c>
      <c r="AZD339" s="42" t="s">
        <v>608</v>
      </c>
      <c r="AZE339" s="42" t="s">
        <v>608</v>
      </c>
      <c r="AZF339" s="42" t="s">
        <v>608</v>
      </c>
      <c r="AZG339" s="42" t="s">
        <v>608</v>
      </c>
      <c r="AZH339" s="42" t="s">
        <v>608</v>
      </c>
      <c r="AZI339" s="42" t="s">
        <v>608</v>
      </c>
      <c r="AZJ339" s="42" t="s">
        <v>608</v>
      </c>
      <c r="AZK339" s="42" t="s">
        <v>608</v>
      </c>
      <c r="AZL339" s="42" t="s">
        <v>608</v>
      </c>
      <c r="AZM339" s="42" t="s">
        <v>608</v>
      </c>
      <c r="AZN339" s="42" t="s">
        <v>608</v>
      </c>
      <c r="AZO339" s="42" t="s">
        <v>608</v>
      </c>
      <c r="AZP339" s="42" t="s">
        <v>608</v>
      </c>
      <c r="AZQ339" s="42" t="s">
        <v>608</v>
      </c>
      <c r="AZR339" s="42" t="s">
        <v>608</v>
      </c>
      <c r="AZS339" s="42" t="s">
        <v>608</v>
      </c>
      <c r="AZT339" s="42" t="s">
        <v>608</v>
      </c>
      <c r="AZU339" s="42" t="s">
        <v>608</v>
      </c>
      <c r="AZV339" s="42" t="s">
        <v>608</v>
      </c>
      <c r="AZW339" s="42" t="s">
        <v>608</v>
      </c>
      <c r="AZX339" s="42" t="s">
        <v>608</v>
      </c>
      <c r="AZY339" s="42" t="s">
        <v>608</v>
      </c>
      <c r="AZZ339" s="42" t="s">
        <v>608</v>
      </c>
      <c r="BAA339" s="42" t="s">
        <v>608</v>
      </c>
      <c r="BAB339" s="42" t="s">
        <v>608</v>
      </c>
      <c r="BAC339" s="42" t="s">
        <v>608</v>
      </c>
      <c r="BAD339" s="42" t="s">
        <v>608</v>
      </c>
      <c r="BAE339" s="42" t="s">
        <v>608</v>
      </c>
      <c r="BAF339" s="42" t="s">
        <v>608</v>
      </c>
      <c r="BAG339" s="42" t="s">
        <v>608</v>
      </c>
      <c r="BAH339" s="42" t="s">
        <v>608</v>
      </c>
      <c r="BAI339" s="42" t="s">
        <v>608</v>
      </c>
      <c r="BAJ339" s="42" t="s">
        <v>608</v>
      </c>
      <c r="BAK339" s="42" t="s">
        <v>608</v>
      </c>
      <c r="BAL339" s="42" t="s">
        <v>608</v>
      </c>
      <c r="BAM339" s="42" t="s">
        <v>608</v>
      </c>
      <c r="BAN339" s="42" t="s">
        <v>608</v>
      </c>
      <c r="BAO339" s="42" t="s">
        <v>608</v>
      </c>
      <c r="BAP339" s="42" t="s">
        <v>608</v>
      </c>
      <c r="BAQ339" s="42" t="s">
        <v>608</v>
      </c>
      <c r="BAR339" s="42" t="s">
        <v>608</v>
      </c>
      <c r="BAS339" s="42" t="s">
        <v>608</v>
      </c>
      <c r="BAT339" s="42" t="s">
        <v>608</v>
      </c>
      <c r="BAU339" s="42" t="s">
        <v>608</v>
      </c>
      <c r="BAV339" s="42" t="s">
        <v>608</v>
      </c>
      <c r="BAW339" s="42" t="s">
        <v>608</v>
      </c>
      <c r="BAX339" s="42" t="s">
        <v>608</v>
      </c>
      <c r="BAY339" s="42" t="s">
        <v>608</v>
      </c>
      <c r="BAZ339" s="42" t="s">
        <v>608</v>
      </c>
      <c r="BBA339" s="42" t="s">
        <v>608</v>
      </c>
      <c r="BBB339" s="42" t="s">
        <v>608</v>
      </c>
      <c r="BBC339" s="42" t="s">
        <v>608</v>
      </c>
      <c r="BBD339" s="42" t="s">
        <v>608</v>
      </c>
      <c r="BBE339" s="42" t="s">
        <v>608</v>
      </c>
      <c r="BBF339" s="42" t="s">
        <v>608</v>
      </c>
      <c r="BBG339" s="42" t="s">
        <v>608</v>
      </c>
      <c r="BBH339" s="42" t="s">
        <v>608</v>
      </c>
      <c r="BBI339" s="42" t="s">
        <v>608</v>
      </c>
      <c r="BBJ339" s="42" t="s">
        <v>608</v>
      </c>
      <c r="BBK339" s="42" t="s">
        <v>608</v>
      </c>
      <c r="BBL339" s="42" t="s">
        <v>608</v>
      </c>
      <c r="BBM339" s="42" t="s">
        <v>608</v>
      </c>
      <c r="BBN339" s="42" t="s">
        <v>608</v>
      </c>
      <c r="BBO339" s="42" t="s">
        <v>608</v>
      </c>
      <c r="BBP339" s="42" t="s">
        <v>608</v>
      </c>
      <c r="BBQ339" s="42" t="s">
        <v>608</v>
      </c>
      <c r="BBR339" s="42" t="s">
        <v>608</v>
      </c>
      <c r="BBS339" s="42" t="s">
        <v>608</v>
      </c>
      <c r="BBT339" s="42" t="s">
        <v>608</v>
      </c>
      <c r="BBU339" s="42" t="s">
        <v>608</v>
      </c>
      <c r="BBV339" s="42" t="s">
        <v>608</v>
      </c>
      <c r="BBW339" s="42" t="s">
        <v>608</v>
      </c>
      <c r="BBX339" s="42" t="s">
        <v>608</v>
      </c>
      <c r="BBY339" s="42" t="s">
        <v>608</v>
      </c>
      <c r="BBZ339" s="42" t="s">
        <v>608</v>
      </c>
      <c r="BCA339" s="42" t="s">
        <v>608</v>
      </c>
      <c r="BCB339" s="42" t="s">
        <v>608</v>
      </c>
      <c r="BCC339" s="42" t="s">
        <v>608</v>
      </c>
      <c r="BCD339" s="42" t="s">
        <v>608</v>
      </c>
      <c r="BCE339" s="42" t="s">
        <v>608</v>
      </c>
      <c r="BCF339" s="42" t="s">
        <v>608</v>
      </c>
      <c r="BCG339" s="42" t="s">
        <v>608</v>
      </c>
      <c r="BCH339" s="42" t="s">
        <v>608</v>
      </c>
      <c r="BCI339" s="42" t="s">
        <v>608</v>
      </c>
      <c r="BCJ339" s="42" t="s">
        <v>608</v>
      </c>
      <c r="BCK339" s="42" t="s">
        <v>608</v>
      </c>
      <c r="BCL339" s="42" t="s">
        <v>608</v>
      </c>
      <c r="BCM339" s="42" t="s">
        <v>608</v>
      </c>
      <c r="BCN339" s="42" t="s">
        <v>608</v>
      </c>
      <c r="BCO339" s="42" t="s">
        <v>608</v>
      </c>
      <c r="BCP339" s="42" t="s">
        <v>608</v>
      </c>
      <c r="BCQ339" s="42" t="s">
        <v>608</v>
      </c>
      <c r="BCR339" s="42" t="s">
        <v>608</v>
      </c>
      <c r="BCS339" s="42" t="s">
        <v>608</v>
      </c>
      <c r="BCT339" s="42" t="s">
        <v>608</v>
      </c>
      <c r="BCU339" s="42" t="s">
        <v>608</v>
      </c>
      <c r="BCV339" s="42" t="s">
        <v>608</v>
      </c>
      <c r="BCW339" s="42" t="s">
        <v>608</v>
      </c>
      <c r="BCX339" s="42" t="s">
        <v>608</v>
      </c>
      <c r="BCY339" s="42" t="s">
        <v>608</v>
      </c>
      <c r="BCZ339" s="42" t="s">
        <v>608</v>
      </c>
      <c r="BDA339" s="42" t="s">
        <v>608</v>
      </c>
      <c r="BDB339" s="42" t="s">
        <v>608</v>
      </c>
      <c r="BDC339" s="42" t="s">
        <v>608</v>
      </c>
      <c r="BDD339" s="42" t="s">
        <v>608</v>
      </c>
      <c r="BDE339" s="42" t="s">
        <v>608</v>
      </c>
      <c r="BDF339" s="42" t="s">
        <v>608</v>
      </c>
      <c r="BDG339" s="42" t="s">
        <v>608</v>
      </c>
      <c r="BDH339" s="42" t="s">
        <v>608</v>
      </c>
      <c r="BDI339" s="42" t="s">
        <v>608</v>
      </c>
      <c r="BDJ339" s="42" t="s">
        <v>608</v>
      </c>
      <c r="BDK339" s="42" t="s">
        <v>608</v>
      </c>
      <c r="BDL339" s="42" t="s">
        <v>608</v>
      </c>
      <c r="BDM339" s="42" t="s">
        <v>608</v>
      </c>
      <c r="BDN339" s="42" t="s">
        <v>608</v>
      </c>
      <c r="BDO339" s="42" t="s">
        <v>608</v>
      </c>
      <c r="BDP339" s="42" t="s">
        <v>608</v>
      </c>
      <c r="BDQ339" s="42" t="s">
        <v>608</v>
      </c>
      <c r="BDR339" s="42" t="s">
        <v>608</v>
      </c>
      <c r="BDS339" s="42" t="s">
        <v>608</v>
      </c>
      <c r="BDT339" s="42" t="s">
        <v>608</v>
      </c>
      <c r="BDU339" s="42" t="s">
        <v>608</v>
      </c>
      <c r="BDV339" s="42" t="s">
        <v>608</v>
      </c>
      <c r="BDW339" s="42" t="s">
        <v>608</v>
      </c>
      <c r="BDX339" s="42" t="s">
        <v>608</v>
      </c>
      <c r="BDY339" s="42" t="s">
        <v>608</v>
      </c>
      <c r="BDZ339" s="42" t="s">
        <v>608</v>
      </c>
      <c r="BEA339" s="42" t="s">
        <v>608</v>
      </c>
      <c r="BEB339" s="42" t="s">
        <v>608</v>
      </c>
      <c r="BEC339" s="42" t="s">
        <v>608</v>
      </c>
      <c r="BED339" s="42" t="s">
        <v>608</v>
      </c>
      <c r="BEE339" s="42" t="s">
        <v>608</v>
      </c>
      <c r="BEF339" s="42" t="s">
        <v>608</v>
      </c>
      <c r="BEG339" s="42" t="s">
        <v>608</v>
      </c>
      <c r="BEH339" s="42" t="s">
        <v>608</v>
      </c>
      <c r="BEI339" s="42" t="s">
        <v>608</v>
      </c>
      <c r="BEJ339" s="42" t="s">
        <v>608</v>
      </c>
      <c r="BEK339" s="42" t="s">
        <v>608</v>
      </c>
      <c r="BEL339" s="42" t="s">
        <v>608</v>
      </c>
      <c r="BEM339" s="42" t="s">
        <v>608</v>
      </c>
      <c r="BEN339" s="42" t="s">
        <v>608</v>
      </c>
      <c r="BEO339" s="42" t="s">
        <v>608</v>
      </c>
      <c r="BEP339" s="42" t="s">
        <v>608</v>
      </c>
      <c r="BEQ339" s="42" t="s">
        <v>608</v>
      </c>
      <c r="BER339" s="42" t="s">
        <v>608</v>
      </c>
      <c r="BES339" s="42" t="s">
        <v>608</v>
      </c>
      <c r="BET339" s="42" t="s">
        <v>608</v>
      </c>
      <c r="BEU339" s="42" t="s">
        <v>608</v>
      </c>
      <c r="BEV339" s="42" t="s">
        <v>608</v>
      </c>
      <c r="BEW339" s="42" t="s">
        <v>608</v>
      </c>
      <c r="BEX339" s="42" t="s">
        <v>608</v>
      </c>
      <c r="BEY339" s="42" t="s">
        <v>608</v>
      </c>
      <c r="BEZ339" s="42" t="s">
        <v>608</v>
      </c>
      <c r="BFA339" s="42" t="s">
        <v>608</v>
      </c>
      <c r="BFB339" s="42" t="s">
        <v>608</v>
      </c>
      <c r="BFC339" s="42" t="s">
        <v>608</v>
      </c>
      <c r="BFD339" s="42" t="s">
        <v>608</v>
      </c>
      <c r="BFE339" s="42" t="s">
        <v>608</v>
      </c>
      <c r="BFF339" s="42" t="s">
        <v>608</v>
      </c>
      <c r="BFG339" s="42" t="s">
        <v>608</v>
      </c>
      <c r="BFH339" s="42" t="s">
        <v>608</v>
      </c>
      <c r="BFI339" s="42" t="s">
        <v>608</v>
      </c>
      <c r="BFJ339" s="42" t="s">
        <v>608</v>
      </c>
      <c r="BFK339" s="42" t="s">
        <v>608</v>
      </c>
      <c r="BFL339" s="42" t="s">
        <v>608</v>
      </c>
      <c r="BFM339" s="42" t="s">
        <v>608</v>
      </c>
      <c r="BFN339" s="42" t="s">
        <v>608</v>
      </c>
      <c r="BFO339" s="42" t="s">
        <v>608</v>
      </c>
      <c r="BFP339" s="42" t="s">
        <v>608</v>
      </c>
      <c r="BFQ339" s="42" t="s">
        <v>608</v>
      </c>
      <c r="BFR339" s="42" t="s">
        <v>608</v>
      </c>
      <c r="BFS339" s="42" t="s">
        <v>608</v>
      </c>
      <c r="BFT339" s="42" t="s">
        <v>608</v>
      </c>
      <c r="BFU339" s="42" t="s">
        <v>608</v>
      </c>
      <c r="BFV339" s="42" t="s">
        <v>608</v>
      </c>
      <c r="BFW339" s="42" t="s">
        <v>608</v>
      </c>
      <c r="BFX339" s="42" t="s">
        <v>608</v>
      </c>
      <c r="BFY339" s="42" t="s">
        <v>608</v>
      </c>
      <c r="BFZ339" s="42" t="s">
        <v>608</v>
      </c>
      <c r="BGA339" s="42" t="s">
        <v>608</v>
      </c>
      <c r="BGB339" s="42" t="s">
        <v>608</v>
      </c>
      <c r="BGC339" s="42" t="s">
        <v>608</v>
      </c>
      <c r="BGD339" s="42" t="s">
        <v>608</v>
      </c>
      <c r="BGE339" s="42" t="s">
        <v>608</v>
      </c>
      <c r="BGF339" s="42" t="s">
        <v>608</v>
      </c>
      <c r="BGG339" s="42" t="s">
        <v>608</v>
      </c>
      <c r="BGH339" s="42" t="s">
        <v>608</v>
      </c>
      <c r="BGI339" s="42" t="s">
        <v>608</v>
      </c>
      <c r="BGJ339" s="42" t="s">
        <v>608</v>
      </c>
      <c r="BGK339" s="42" t="s">
        <v>608</v>
      </c>
      <c r="BGL339" s="42" t="s">
        <v>608</v>
      </c>
      <c r="BGM339" s="42" t="s">
        <v>608</v>
      </c>
      <c r="BGN339" s="42" t="s">
        <v>608</v>
      </c>
      <c r="BGO339" s="42" t="s">
        <v>608</v>
      </c>
      <c r="BGP339" s="42" t="s">
        <v>608</v>
      </c>
      <c r="BGQ339" s="42" t="s">
        <v>608</v>
      </c>
      <c r="BGR339" s="42" t="s">
        <v>608</v>
      </c>
      <c r="BGS339" s="42" t="s">
        <v>608</v>
      </c>
      <c r="BGT339" s="42" t="s">
        <v>608</v>
      </c>
      <c r="BGU339" s="42" t="s">
        <v>608</v>
      </c>
      <c r="BGV339" s="42" t="s">
        <v>608</v>
      </c>
      <c r="BGW339" s="42" t="s">
        <v>608</v>
      </c>
      <c r="BGX339" s="42" t="s">
        <v>608</v>
      </c>
      <c r="BGY339" s="42" t="s">
        <v>608</v>
      </c>
      <c r="BGZ339" s="42" t="s">
        <v>608</v>
      </c>
      <c r="BHA339" s="42" t="s">
        <v>608</v>
      </c>
      <c r="BHB339" s="42" t="s">
        <v>608</v>
      </c>
      <c r="BHC339" s="42" t="s">
        <v>608</v>
      </c>
      <c r="BHD339" s="42" t="s">
        <v>608</v>
      </c>
      <c r="BHE339" s="42" t="s">
        <v>608</v>
      </c>
      <c r="BHF339" s="42" t="s">
        <v>608</v>
      </c>
      <c r="BHG339" s="42" t="s">
        <v>608</v>
      </c>
      <c r="BHH339" s="42" t="s">
        <v>608</v>
      </c>
      <c r="BHI339" s="42" t="s">
        <v>608</v>
      </c>
      <c r="BHJ339" s="42" t="s">
        <v>608</v>
      </c>
      <c r="BHK339" s="42" t="s">
        <v>608</v>
      </c>
      <c r="BHL339" s="42" t="s">
        <v>608</v>
      </c>
      <c r="BHM339" s="42" t="s">
        <v>608</v>
      </c>
      <c r="BHN339" s="42" t="s">
        <v>608</v>
      </c>
      <c r="BHO339" s="42" t="s">
        <v>608</v>
      </c>
      <c r="BHP339" s="42" t="s">
        <v>608</v>
      </c>
      <c r="BHQ339" s="42" t="s">
        <v>608</v>
      </c>
      <c r="BHR339" s="42" t="s">
        <v>608</v>
      </c>
      <c r="BHS339" s="42" t="s">
        <v>608</v>
      </c>
      <c r="BHT339" s="42" t="s">
        <v>608</v>
      </c>
      <c r="BHU339" s="42" t="s">
        <v>608</v>
      </c>
      <c r="BHV339" s="42" t="s">
        <v>608</v>
      </c>
      <c r="BHW339" s="42" t="s">
        <v>608</v>
      </c>
      <c r="BHX339" s="42" t="s">
        <v>608</v>
      </c>
      <c r="BHY339" s="42" t="s">
        <v>608</v>
      </c>
      <c r="BHZ339" s="42" t="s">
        <v>608</v>
      </c>
      <c r="BIA339" s="42" t="s">
        <v>608</v>
      </c>
      <c r="BIB339" s="42" t="s">
        <v>608</v>
      </c>
      <c r="BIC339" s="42" t="s">
        <v>608</v>
      </c>
      <c r="BID339" s="42" t="s">
        <v>608</v>
      </c>
      <c r="BIE339" s="42" t="s">
        <v>608</v>
      </c>
      <c r="BIF339" s="42" t="s">
        <v>608</v>
      </c>
      <c r="BIG339" s="42" t="s">
        <v>608</v>
      </c>
      <c r="BIH339" s="42" t="s">
        <v>608</v>
      </c>
      <c r="BII339" s="42" t="s">
        <v>608</v>
      </c>
      <c r="BIJ339" s="42" t="s">
        <v>608</v>
      </c>
      <c r="BIK339" s="42" t="s">
        <v>608</v>
      </c>
      <c r="BIL339" s="42" t="s">
        <v>608</v>
      </c>
      <c r="BIM339" s="42" t="s">
        <v>608</v>
      </c>
      <c r="BIN339" s="42" t="s">
        <v>608</v>
      </c>
      <c r="BIO339" s="42" t="s">
        <v>608</v>
      </c>
      <c r="BIP339" s="42" t="s">
        <v>608</v>
      </c>
      <c r="BIQ339" s="42" t="s">
        <v>608</v>
      </c>
      <c r="BIR339" s="42" t="s">
        <v>608</v>
      </c>
      <c r="BIS339" s="42" t="s">
        <v>608</v>
      </c>
      <c r="BIT339" s="42" t="s">
        <v>608</v>
      </c>
      <c r="BIU339" s="42" t="s">
        <v>608</v>
      </c>
      <c r="BIV339" s="42" t="s">
        <v>608</v>
      </c>
      <c r="BIW339" s="42" t="s">
        <v>608</v>
      </c>
      <c r="BIX339" s="42" t="s">
        <v>608</v>
      </c>
      <c r="BIY339" s="42" t="s">
        <v>608</v>
      </c>
      <c r="BIZ339" s="42" t="s">
        <v>608</v>
      </c>
      <c r="BJA339" s="42" t="s">
        <v>608</v>
      </c>
      <c r="BJB339" s="42" t="s">
        <v>608</v>
      </c>
      <c r="BJC339" s="42" t="s">
        <v>608</v>
      </c>
      <c r="BJD339" s="42" t="s">
        <v>608</v>
      </c>
      <c r="BJE339" s="42" t="s">
        <v>608</v>
      </c>
      <c r="BJF339" s="42" t="s">
        <v>608</v>
      </c>
      <c r="BJG339" s="42" t="s">
        <v>608</v>
      </c>
      <c r="BJH339" s="42" t="s">
        <v>608</v>
      </c>
      <c r="BJI339" s="42" t="s">
        <v>608</v>
      </c>
      <c r="BJJ339" s="42" t="s">
        <v>608</v>
      </c>
      <c r="BJK339" s="42" t="s">
        <v>608</v>
      </c>
      <c r="BJL339" s="42" t="s">
        <v>608</v>
      </c>
      <c r="BJM339" s="42" t="s">
        <v>608</v>
      </c>
      <c r="BJN339" s="42" t="s">
        <v>608</v>
      </c>
      <c r="BJO339" s="42" t="s">
        <v>608</v>
      </c>
      <c r="BJP339" s="42" t="s">
        <v>608</v>
      </c>
      <c r="BJQ339" s="42" t="s">
        <v>608</v>
      </c>
      <c r="BJR339" s="42" t="s">
        <v>608</v>
      </c>
      <c r="BJS339" s="42" t="s">
        <v>608</v>
      </c>
      <c r="BJT339" s="42" t="s">
        <v>608</v>
      </c>
      <c r="BJU339" s="42" t="s">
        <v>608</v>
      </c>
      <c r="BJV339" s="42" t="s">
        <v>608</v>
      </c>
      <c r="BJW339" s="42" t="s">
        <v>608</v>
      </c>
      <c r="BJX339" s="42" t="s">
        <v>608</v>
      </c>
      <c r="BJY339" s="42" t="s">
        <v>608</v>
      </c>
      <c r="BJZ339" s="42" t="s">
        <v>608</v>
      </c>
      <c r="BKA339" s="42" t="s">
        <v>608</v>
      </c>
      <c r="BKB339" s="42" t="s">
        <v>608</v>
      </c>
      <c r="BKC339" s="42" t="s">
        <v>608</v>
      </c>
      <c r="BKD339" s="42" t="s">
        <v>608</v>
      </c>
      <c r="BKE339" s="42" t="s">
        <v>608</v>
      </c>
      <c r="BKF339" s="42" t="s">
        <v>608</v>
      </c>
      <c r="BKG339" s="42" t="s">
        <v>608</v>
      </c>
      <c r="BKH339" s="42" t="s">
        <v>608</v>
      </c>
      <c r="BKI339" s="42" t="s">
        <v>608</v>
      </c>
      <c r="BKJ339" s="42" t="s">
        <v>608</v>
      </c>
      <c r="BKK339" s="42" t="s">
        <v>608</v>
      </c>
      <c r="BKL339" s="42" t="s">
        <v>608</v>
      </c>
      <c r="BKM339" s="42" t="s">
        <v>608</v>
      </c>
      <c r="BKN339" s="42" t="s">
        <v>608</v>
      </c>
      <c r="BKO339" s="42" t="s">
        <v>608</v>
      </c>
      <c r="BKP339" s="42" t="s">
        <v>608</v>
      </c>
      <c r="BKQ339" s="42" t="s">
        <v>608</v>
      </c>
      <c r="BKR339" s="42" t="s">
        <v>608</v>
      </c>
      <c r="BKS339" s="42" t="s">
        <v>608</v>
      </c>
      <c r="BKT339" s="42" t="s">
        <v>608</v>
      </c>
      <c r="BKU339" s="42" t="s">
        <v>608</v>
      </c>
      <c r="BKV339" s="42" t="s">
        <v>608</v>
      </c>
      <c r="BKW339" s="42" t="s">
        <v>608</v>
      </c>
      <c r="BKX339" s="42" t="s">
        <v>608</v>
      </c>
      <c r="BKY339" s="42" t="s">
        <v>608</v>
      </c>
      <c r="BKZ339" s="42" t="s">
        <v>608</v>
      </c>
      <c r="BLA339" s="42" t="s">
        <v>608</v>
      </c>
      <c r="BLB339" s="42" t="s">
        <v>608</v>
      </c>
      <c r="BLC339" s="42" t="s">
        <v>608</v>
      </c>
      <c r="BLD339" s="42" t="s">
        <v>608</v>
      </c>
      <c r="BLE339" s="42" t="s">
        <v>608</v>
      </c>
      <c r="BLF339" s="42" t="s">
        <v>608</v>
      </c>
      <c r="BLG339" s="42" t="s">
        <v>608</v>
      </c>
      <c r="BLH339" s="42" t="s">
        <v>608</v>
      </c>
      <c r="BLI339" s="42" t="s">
        <v>608</v>
      </c>
      <c r="BLJ339" s="42" t="s">
        <v>608</v>
      </c>
      <c r="BLK339" s="42" t="s">
        <v>608</v>
      </c>
      <c r="BLL339" s="42" t="s">
        <v>608</v>
      </c>
      <c r="BLM339" s="42" t="s">
        <v>608</v>
      </c>
      <c r="BLN339" s="42" t="s">
        <v>608</v>
      </c>
      <c r="BLO339" s="42" t="s">
        <v>608</v>
      </c>
      <c r="BLP339" s="42" t="s">
        <v>608</v>
      </c>
      <c r="BLQ339" s="42" t="s">
        <v>608</v>
      </c>
      <c r="BLR339" s="42" t="s">
        <v>608</v>
      </c>
      <c r="BLS339" s="42" t="s">
        <v>608</v>
      </c>
      <c r="BLT339" s="42" t="s">
        <v>608</v>
      </c>
      <c r="BLU339" s="42" t="s">
        <v>608</v>
      </c>
      <c r="BLV339" s="42" t="s">
        <v>608</v>
      </c>
      <c r="BLW339" s="42" t="s">
        <v>608</v>
      </c>
      <c r="BLX339" s="42" t="s">
        <v>608</v>
      </c>
      <c r="BLY339" s="42" t="s">
        <v>608</v>
      </c>
      <c r="BLZ339" s="42" t="s">
        <v>608</v>
      </c>
      <c r="BMA339" s="42" t="s">
        <v>608</v>
      </c>
      <c r="BMB339" s="42" t="s">
        <v>608</v>
      </c>
      <c r="BMC339" s="42" t="s">
        <v>608</v>
      </c>
      <c r="BMD339" s="42" t="s">
        <v>608</v>
      </c>
      <c r="BME339" s="42" t="s">
        <v>608</v>
      </c>
      <c r="BMF339" s="42" t="s">
        <v>608</v>
      </c>
      <c r="BMG339" s="42" t="s">
        <v>608</v>
      </c>
      <c r="BMH339" s="42" t="s">
        <v>608</v>
      </c>
      <c r="BMI339" s="42" t="s">
        <v>608</v>
      </c>
      <c r="BMJ339" s="42" t="s">
        <v>608</v>
      </c>
      <c r="BMK339" s="42" t="s">
        <v>608</v>
      </c>
      <c r="BML339" s="42" t="s">
        <v>608</v>
      </c>
      <c r="BMM339" s="42" t="s">
        <v>608</v>
      </c>
      <c r="BMN339" s="42" t="s">
        <v>608</v>
      </c>
      <c r="BMO339" s="42" t="s">
        <v>608</v>
      </c>
      <c r="BMP339" s="42" t="s">
        <v>608</v>
      </c>
      <c r="BMQ339" s="42" t="s">
        <v>608</v>
      </c>
      <c r="BMR339" s="42" t="s">
        <v>608</v>
      </c>
      <c r="BMS339" s="42" t="s">
        <v>608</v>
      </c>
      <c r="BMT339" s="42" t="s">
        <v>608</v>
      </c>
      <c r="BMU339" s="42" t="s">
        <v>608</v>
      </c>
      <c r="BMV339" s="42" t="s">
        <v>608</v>
      </c>
      <c r="BMW339" s="42" t="s">
        <v>608</v>
      </c>
      <c r="BMX339" s="42" t="s">
        <v>608</v>
      </c>
      <c r="BMY339" s="42" t="s">
        <v>608</v>
      </c>
      <c r="BMZ339" s="42" t="s">
        <v>608</v>
      </c>
      <c r="BNA339" s="42" t="s">
        <v>608</v>
      </c>
      <c r="BNB339" s="42" t="s">
        <v>608</v>
      </c>
      <c r="BNC339" s="42" t="s">
        <v>608</v>
      </c>
      <c r="BND339" s="42" t="s">
        <v>608</v>
      </c>
      <c r="BNE339" s="42" t="s">
        <v>608</v>
      </c>
      <c r="BNF339" s="42" t="s">
        <v>608</v>
      </c>
      <c r="BNG339" s="42" t="s">
        <v>608</v>
      </c>
      <c r="BNH339" s="42" t="s">
        <v>608</v>
      </c>
      <c r="BNI339" s="42" t="s">
        <v>608</v>
      </c>
      <c r="BNJ339" s="42" t="s">
        <v>608</v>
      </c>
      <c r="BNK339" s="42" t="s">
        <v>608</v>
      </c>
      <c r="BNL339" s="42" t="s">
        <v>608</v>
      </c>
      <c r="BNM339" s="42" t="s">
        <v>608</v>
      </c>
      <c r="BNN339" s="42" t="s">
        <v>608</v>
      </c>
      <c r="BNO339" s="42" t="s">
        <v>608</v>
      </c>
      <c r="BNP339" s="42" t="s">
        <v>608</v>
      </c>
      <c r="BNQ339" s="42" t="s">
        <v>608</v>
      </c>
      <c r="BNR339" s="42" t="s">
        <v>608</v>
      </c>
      <c r="BNS339" s="42" t="s">
        <v>608</v>
      </c>
      <c r="BNT339" s="42" t="s">
        <v>608</v>
      </c>
      <c r="BNU339" s="42" t="s">
        <v>608</v>
      </c>
      <c r="BNV339" s="42" t="s">
        <v>608</v>
      </c>
      <c r="BNW339" s="42" t="s">
        <v>608</v>
      </c>
      <c r="BNX339" s="42" t="s">
        <v>608</v>
      </c>
      <c r="BNY339" s="42" t="s">
        <v>608</v>
      </c>
      <c r="BNZ339" s="42" t="s">
        <v>608</v>
      </c>
      <c r="BOA339" s="42" t="s">
        <v>608</v>
      </c>
      <c r="BOB339" s="42" t="s">
        <v>608</v>
      </c>
      <c r="BOC339" s="42" t="s">
        <v>608</v>
      </c>
      <c r="BOD339" s="42" t="s">
        <v>608</v>
      </c>
      <c r="BOE339" s="42" t="s">
        <v>608</v>
      </c>
      <c r="BOF339" s="42" t="s">
        <v>608</v>
      </c>
      <c r="BOG339" s="42" t="s">
        <v>608</v>
      </c>
      <c r="BOH339" s="42" t="s">
        <v>608</v>
      </c>
      <c r="BOI339" s="42" t="s">
        <v>608</v>
      </c>
      <c r="BOJ339" s="42" t="s">
        <v>608</v>
      </c>
      <c r="BOK339" s="42" t="s">
        <v>608</v>
      </c>
      <c r="BOL339" s="42" t="s">
        <v>608</v>
      </c>
      <c r="BOM339" s="42" t="s">
        <v>608</v>
      </c>
      <c r="BON339" s="42" t="s">
        <v>608</v>
      </c>
      <c r="BOO339" s="42" t="s">
        <v>608</v>
      </c>
      <c r="BOP339" s="42" t="s">
        <v>608</v>
      </c>
      <c r="BOQ339" s="42" t="s">
        <v>608</v>
      </c>
      <c r="BOR339" s="42" t="s">
        <v>608</v>
      </c>
      <c r="BOS339" s="42" t="s">
        <v>608</v>
      </c>
      <c r="BOT339" s="42" t="s">
        <v>608</v>
      </c>
      <c r="BOU339" s="42" t="s">
        <v>608</v>
      </c>
      <c r="BOV339" s="42" t="s">
        <v>608</v>
      </c>
      <c r="BOW339" s="42" t="s">
        <v>608</v>
      </c>
      <c r="BOX339" s="42" t="s">
        <v>608</v>
      </c>
      <c r="BOY339" s="42" t="s">
        <v>608</v>
      </c>
      <c r="BOZ339" s="42" t="s">
        <v>608</v>
      </c>
      <c r="BPA339" s="42" t="s">
        <v>608</v>
      </c>
      <c r="BPB339" s="42" t="s">
        <v>608</v>
      </c>
      <c r="BPC339" s="42" t="s">
        <v>608</v>
      </c>
      <c r="BPD339" s="42" t="s">
        <v>608</v>
      </c>
      <c r="BPE339" s="42" t="s">
        <v>608</v>
      </c>
      <c r="BPF339" s="42" t="s">
        <v>608</v>
      </c>
      <c r="BPG339" s="42" t="s">
        <v>608</v>
      </c>
      <c r="BPH339" s="42" t="s">
        <v>608</v>
      </c>
      <c r="BPI339" s="42" t="s">
        <v>608</v>
      </c>
      <c r="BPJ339" s="42" t="s">
        <v>608</v>
      </c>
      <c r="BPK339" s="42" t="s">
        <v>608</v>
      </c>
      <c r="BPL339" s="42" t="s">
        <v>608</v>
      </c>
      <c r="BPM339" s="42" t="s">
        <v>608</v>
      </c>
      <c r="BPN339" s="42" t="s">
        <v>608</v>
      </c>
      <c r="BPO339" s="42" t="s">
        <v>608</v>
      </c>
      <c r="BPP339" s="42" t="s">
        <v>608</v>
      </c>
      <c r="BPQ339" s="42" t="s">
        <v>608</v>
      </c>
      <c r="BPR339" s="42" t="s">
        <v>608</v>
      </c>
      <c r="BPS339" s="42" t="s">
        <v>608</v>
      </c>
      <c r="BPT339" s="42" t="s">
        <v>608</v>
      </c>
      <c r="BPU339" s="42" t="s">
        <v>608</v>
      </c>
      <c r="BPV339" s="42" t="s">
        <v>608</v>
      </c>
      <c r="BPW339" s="42" t="s">
        <v>608</v>
      </c>
      <c r="BPX339" s="42" t="s">
        <v>608</v>
      </c>
      <c r="BPY339" s="42" t="s">
        <v>608</v>
      </c>
      <c r="BPZ339" s="42" t="s">
        <v>608</v>
      </c>
      <c r="BQA339" s="42" t="s">
        <v>608</v>
      </c>
      <c r="BQB339" s="42" t="s">
        <v>608</v>
      </c>
      <c r="BQC339" s="42" t="s">
        <v>608</v>
      </c>
      <c r="BQD339" s="42" t="s">
        <v>608</v>
      </c>
      <c r="BQE339" s="42" t="s">
        <v>608</v>
      </c>
      <c r="BQF339" s="42" t="s">
        <v>608</v>
      </c>
      <c r="BQG339" s="42" t="s">
        <v>608</v>
      </c>
      <c r="BQH339" s="42" t="s">
        <v>608</v>
      </c>
      <c r="BQI339" s="42" t="s">
        <v>608</v>
      </c>
      <c r="BQJ339" s="42" t="s">
        <v>608</v>
      </c>
      <c r="BQK339" s="42" t="s">
        <v>608</v>
      </c>
      <c r="BQL339" s="42" t="s">
        <v>608</v>
      </c>
      <c r="BQM339" s="42" t="s">
        <v>608</v>
      </c>
      <c r="BQN339" s="42" t="s">
        <v>608</v>
      </c>
      <c r="BQO339" s="42" t="s">
        <v>608</v>
      </c>
      <c r="BQP339" s="42" t="s">
        <v>608</v>
      </c>
      <c r="BQQ339" s="42" t="s">
        <v>608</v>
      </c>
      <c r="BQR339" s="42" t="s">
        <v>608</v>
      </c>
      <c r="BQS339" s="42" t="s">
        <v>608</v>
      </c>
      <c r="BQT339" s="42" t="s">
        <v>608</v>
      </c>
      <c r="BQU339" s="42" t="s">
        <v>608</v>
      </c>
      <c r="BQV339" s="42" t="s">
        <v>608</v>
      </c>
      <c r="BQW339" s="42" t="s">
        <v>608</v>
      </c>
      <c r="BQX339" s="42" t="s">
        <v>608</v>
      </c>
      <c r="BQY339" s="42" t="s">
        <v>608</v>
      </c>
      <c r="BQZ339" s="42" t="s">
        <v>608</v>
      </c>
      <c r="BRA339" s="42" t="s">
        <v>608</v>
      </c>
      <c r="BRB339" s="42" t="s">
        <v>608</v>
      </c>
      <c r="BRC339" s="42" t="s">
        <v>608</v>
      </c>
      <c r="BRD339" s="42" t="s">
        <v>608</v>
      </c>
      <c r="BRE339" s="42" t="s">
        <v>608</v>
      </c>
      <c r="BRF339" s="42" t="s">
        <v>608</v>
      </c>
      <c r="BRG339" s="42" t="s">
        <v>608</v>
      </c>
      <c r="BRH339" s="42" t="s">
        <v>608</v>
      </c>
      <c r="BRI339" s="42" t="s">
        <v>608</v>
      </c>
      <c r="BRJ339" s="42" t="s">
        <v>608</v>
      </c>
      <c r="BRK339" s="42" t="s">
        <v>608</v>
      </c>
      <c r="BRL339" s="42" t="s">
        <v>608</v>
      </c>
      <c r="BRM339" s="42" t="s">
        <v>608</v>
      </c>
      <c r="BRN339" s="42" t="s">
        <v>608</v>
      </c>
      <c r="BRO339" s="42" t="s">
        <v>608</v>
      </c>
      <c r="BRP339" s="42" t="s">
        <v>608</v>
      </c>
      <c r="BRQ339" s="42" t="s">
        <v>608</v>
      </c>
      <c r="BRR339" s="42" t="s">
        <v>608</v>
      </c>
      <c r="BRS339" s="42" t="s">
        <v>608</v>
      </c>
      <c r="BRT339" s="42" t="s">
        <v>608</v>
      </c>
      <c r="BRU339" s="42" t="s">
        <v>608</v>
      </c>
      <c r="BRV339" s="42" t="s">
        <v>608</v>
      </c>
      <c r="BRW339" s="42" t="s">
        <v>608</v>
      </c>
      <c r="BRX339" s="42" t="s">
        <v>608</v>
      </c>
      <c r="BRY339" s="42" t="s">
        <v>608</v>
      </c>
      <c r="BRZ339" s="42" t="s">
        <v>608</v>
      </c>
      <c r="BSA339" s="42" t="s">
        <v>608</v>
      </c>
      <c r="BSB339" s="42" t="s">
        <v>608</v>
      </c>
      <c r="BSC339" s="42" t="s">
        <v>608</v>
      </c>
      <c r="BSD339" s="42" t="s">
        <v>608</v>
      </c>
      <c r="BSE339" s="42" t="s">
        <v>608</v>
      </c>
      <c r="BSF339" s="42" t="s">
        <v>608</v>
      </c>
      <c r="BSG339" s="42" t="s">
        <v>608</v>
      </c>
      <c r="BSH339" s="42" t="s">
        <v>608</v>
      </c>
      <c r="BSI339" s="42" t="s">
        <v>608</v>
      </c>
      <c r="BSJ339" s="42" t="s">
        <v>608</v>
      </c>
      <c r="BSK339" s="42" t="s">
        <v>608</v>
      </c>
      <c r="BSL339" s="42" t="s">
        <v>608</v>
      </c>
      <c r="BSM339" s="42" t="s">
        <v>608</v>
      </c>
      <c r="BSN339" s="42" t="s">
        <v>608</v>
      </c>
      <c r="BSO339" s="42" t="s">
        <v>608</v>
      </c>
      <c r="BSP339" s="42" t="s">
        <v>608</v>
      </c>
      <c r="BSQ339" s="42" t="s">
        <v>608</v>
      </c>
      <c r="BSR339" s="42" t="s">
        <v>608</v>
      </c>
      <c r="BSS339" s="42" t="s">
        <v>608</v>
      </c>
      <c r="BST339" s="42" t="s">
        <v>608</v>
      </c>
      <c r="BSU339" s="42" t="s">
        <v>608</v>
      </c>
      <c r="BSV339" s="42" t="s">
        <v>608</v>
      </c>
      <c r="BSW339" s="42" t="s">
        <v>608</v>
      </c>
      <c r="BSX339" s="42" t="s">
        <v>608</v>
      </c>
      <c r="BSY339" s="42" t="s">
        <v>608</v>
      </c>
      <c r="BSZ339" s="42" t="s">
        <v>608</v>
      </c>
      <c r="BTA339" s="42" t="s">
        <v>608</v>
      </c>
      <c r="BTB339" s="42" t="s">
        <v>608</v>
      </c>
      <c r="BTC339" s="42" t="s">
        <v>608</v>
      </c>
      <c r="BTD339" s="42" t="s">
        <v>608</v>
      </c>
      <c r="BTE339" s="42" t="s">
        <v>608</v>
      </c>
      <c r="BTF339" s="42" t="s">
        <v>608</v>
      </c>
      <c r="BTG339" s="42" t="s">
        <v>608</v>
      </c>
      <c r="BTH339" s="42" t="s">
        <v>608</v>
      </c>
      <c r="BTI339" s="42" t="s">
        <v>608</v>
      </c>
      <c r="BTJ339" s="42" t="s">
        <v>608</v>
      </c>
      <c r="BTK339" s="42" t="s">
        <v>608</v>
      </c>
      <c r="BTL339" s="42" t="s">
        <v>608</v>
      </c>
      <c r="BTM339" s="42" t="s">
        <v>608</v>
      </c>
      <c r="BTN339" s="42" t="s">
        <v>608</v>
      </c>
      <c r="BTO339" s="42" t="s">
        <v>608</v>
      </c>
      <c r="BTP339" s="42" t="s">
        <v>608</v>
      </c>
      <c r="BTQ339" s="42" t="s">
        <v>608</v>
      </c>
      <c r="BTR339" s="42" t="s">
        <v>608</v>
      </c>
      <c r="BTS339" s="42" t="s">
        <v>608</v>
      </c>
      <c r="BTT339" s="42" t="s">
        <v>608</v>
      </c>
      <c r="BTU339" s="42" t="s">
        <v>608</v>
      </c>
      <c r="BTV339" s="42" t="s">
        <v>608</v>
      </c>
      <c r="BTW339" s="42" t="s">
        <v>608</v>
      </c>
      <c r="BTX339" s="42" t="s">
        <v>608</v>
      </c>
      <c r="BTY339" s="42" t="s">
        <v>608</v>
      </c>
      <c r="BTZ339" s="42" t="s">
        <v>608</v>
      </c>
      <c r="BUA339" s="42" t="s">
        <v>608</v>
      </c>
      <c r="BUB339" s="42" t="s">
        <v>608</v>
      </c>
      <c r="BUC339" s="42" t="s">
        <v>608</v>
      </c>
      <c r="BUD339" s="42" t="s">
        <v>608</v>
      </c>
      <c r="BUE339" s="42" t="s">
        <v>608</v>
      </c>
      <c r="BUF339" s="42" t="s">
        <v>608</v>
      </c>
      <c r="BUG339" s="42" t="s">
        <v>608</v>
      </c>
      <c r="BUH339" s="42" t="s">
        <v>608</v>
      </c>
      <c r="BUI339" s="42" t="s">
        <v>608</v>
      </c>
      <c r="BUJ339" s="42" t="s">
        <v>608</v>
      </c>
      <c r="BUK339" s="42" t="s">
        <v>608</v>
      </c>
      <c r="BUL339" s="42" t="s">
        <v>608</v>
      </c>
      <c r="BUM339" s="42" t="s">
        <v>608</v>
      </c>
      <c r="BUN339" s="42" t="s">
        <v>608</v>
      </c>
      <c r="BUO339" s="42" t="s">
        <v>608</v>
      </c>
      <c r="BUP339" s="42" t="s">
        <v>608</v>
      </c>
      <c r="BUQ339" s="42" t="s">
        <v>608</v>
      </c>
      <c r="BUR339" s="42" t="s">
        <v>608</v>
      </c>
      <c r="BUS339" s="42" t="s">
        <v>608</v>
      </c>
      <c r="BUT339" s="42" t="s">
        <v>608</v>
      </c>
      <c r="BUU339" s="42" t="s">
        <v>608</v>
      </c>
      <c r="BUV339" s="42" t="s">
        <v>608</v>
      </c>
      <c r="BUW339" s="42" t="s">
        <v>608</v>
      </c>
      <c r="BUX339" s="42" t="s">
        <v>608</v>
      </c>
      <c r="BUY339" s="42" t="s">
        <v>608</v>
      </c>
      <c r="BUZ339" s="42" t="s">
        <v>608</v>
      </c>
      <c r="BVA339" s="42" t="s">
        <v>608</v>
      </c>
      <c r="BVB339" s="42" t="s">
        <v>608</v>
      </c>
      <c r="BVC339" s="42" t="s">
        <v>608</v>
      </c>
      <c r="BVD339" s="42" t="s">
        <v>608</v>
      </c>
      <c r="BVE339" s="42" t="s">
        <v>608</v>
      </c>
      <c r="BVF339" s="42" t="s">
        <v>608</v>
      </c>
      <c r="BVG339" s="42" t="s">
        <v>608</v>
      </c>
      <c r="BVH339" s="42" t="s">
        <v>608</v>
      </c>
      <c r="BVI339" s="42" t="s">
        <v>608</v>
      </c>
      <c r="BVJ339" s="42" t="s">
        <v>608</v>
      </c>
      <c r="BVK339" s="42" t="s">
        <v>608</v>
      </c>
      <c r="BVL339" s="42" t="s">
        <v>608</v>
      </c>
      <c r="BVM339" s="42" t="s">
        <v>608</v>
      </c>
      <c r="BVN339" s="42" t="s">
        <v>608</v>
      </c>
      <c r="BVO339" s="42" t="s">
        <v>608</v>
      </c>
      <c r="BVP339" s="42" t="s">
        <v>608</v>
      </c>
      <c r="BVQ339" s="42" t="s">
        <v>608</v>
      </c>
      <c r="BVR339" s="42" t="s">
        <v>608</v>
      </c>
      <c r="BVS339" s="42" t="s">
        <v>608</v>
      </c>
      <c r="BVT339" s="42" t="s">
        <v>608</v>
      </c>
      <c r="BVU339" s="42" t="s">
        <v>608</v>
      </c>
      <c r="BVV339" s="42" t="s">
        <v>608</v>
      </c>
      <c r="BVW339" s="42" t="s">
        <v>608</v>
      </c>
      <c r="BVX339" s="42" t="s">
        <v>608</v>
      </c>
      <c r="BVY339" s="42" t="s">
        <v>608</v>
      </c>
      <c r="BVZ339" s="42" t="s">
        <v>608</v>
      </c>
      <c r="BWA339" s="42" t="s">
        <v>608</v>
      </c>
      <c r="BWB339" s="42" t="s">
        <v>608</v>
      </c>
      <c r="BWC339" s="42" t="s">
        <v>608</v>
      </c>
      <c r="BWD339" s="42" t="s">
        <v>608</v>
      </c>
      <c r="BWE339" s="42" t="s">
        <v>608</v>
      </c>
      <c r="BWF339" s="42" t="s">
        <v>608</v>
      </c>
      <c r="BWG339" s="42" t="s">
        <v>608</v>
      </c>
      <c r="BWH339" s="42" t="s">
        <v>608</v>
      </c>
      <c r="BWI339" s="42" t="s">
        <v>608</v>
      </c>
      <c r="BWJ339" s="42" t="s">
        <v>608</v>
      </c>
      <c r="BWK339" s="42" t="s">
        <v>608</v>
      </c>
      <c r="BWL339" s="42" t="s">
        <v>608</v>
      </c>
      <c r="BWM339" s="42" t="s">
        <v>608</v>
      </c>
      <c r="BWN339" s="42" t="s">
        <v>608</v>
      </c>
      <c r="BWO339" s="42" t="s">
        <v>608</v>
      </c>
      <c r="BWP339" s="42" t="s">
        <v>608</v>
      </c>
      <c r="BWQ339" s="42" t="s">
        <v>608</v>
      </c>
      <c r="BWR339" s="42" t="s">
        <v>608</v>
      </c>
      <c r="BWS339" s="42" t="s">
        <v>608</v>
      </c>
      <c r="BWT339" s="42" t="s">
        <v>608</v>
      </c>
      <c r="BWU339" s="42" t="s">
        <v>608</v>
      </c>
      <c r="BWV339" s="42" t="s">
        <v>608</v>
      </c>
      <c r="BWW339" s="42" t="s">
        <v>608</v>
      </c>
      <c r="BWX339" s="42" t="s">
        <v>608</v>
      </c>
      <c r="BWY339" s="42" t="s">
        <v>608</v>
      </c>
      <c r="BWZ339" s="42" t="s">
        <v>608</v>
      </c>
      <c r="BXA339" s="42" t="s">
        <v>608</v>
      </c>
      <c r="BXB339" s="42" t="s">
        <v>608</v>
      </c>
      <c r="BXC339" s="42" t="s">
        <v>608</v>
      </c>
      <c r="BXD339" s="42" t="s">
        <v>608</v>
      </c>
      <c r="BXE339" s="42" t="s">
        <v>608</v>
      </c>
      <c r="BXF339" s="42" t="s">
        <v>608</v>
      </c>
      <c r="BXG339" s="42" t="s">
        <v>608</v>
      </c>
      <c r="BXH339" s="42" t="s">
        <v>608</v>
      </c>
      <c r="BXI339" s="42" t="s">
        <v>608</v>
      </c>
      <c r="BXJ339" s="42" t="s">
        <v>608</v>
      </c>
      <c r="BXK339" s="42" t="s">
        <v>608</v>
      </c>
      <c r="BXL339" s="42" t="s">
        <v>608</v>
      </c>
      <c r="BXM339" s="42" t="s">
        <v>608</v>
      </c>
      <c r="BXN339" s="42" t="s">
        <v>608</v>
      </c>
      <c r="BXO339" s="42" t="s">
        <v>608</v>
      </c>
      <c r="BXP339" s="42" t="s">
        <v>608</v>
      </c>
      <c r="BXQ339" s="42" t="s">
        <v>608</v>
      </c>
      <c r="BXR339" s="42" t="s">
        <v>608</v>
      </c>
      <c r="BXS339" s="42" t="s">
        <v>608</v>
      </c>
      <c r="BXT339" s="42" t="s">
        <v>608</v>
      </c>
      <c r="BXU339" s="42" t="s">
        <v>608</v>
      </c>
      <c r="BXV339" s="42" t="s">
        <v>608</v>
      </c>
      <c r="BXW339" s="42" t="s">
        <v>608</v>
      </c>
      <c r="BXX339" s="42" t="s">
        <v>608</v>
      </c>
      <c r="BXY339" s="42" t="s">
        <v>608</v>
      </c>
      <c r="BXZ339" s="42" t="s">
        <v>608</v>
      </c>
      <c r="BYA339" s="42" t="s">
        <v>608</v>
      </c>
      <c r="BYB339" s="42" t="s">
        <v>608</v>
      </c>
      <c r="BYC339" s="42" t="s">
        <v>608</v>
      </c>
      <c r="BYD339" s="42" t="s">
        <v>608</v>
      </c>
      <c r="BYE339" s="42" t="s">
        <v>608</v>
      </c>
      <c r="BYF339" s="42" t="s">
        <v>608</v>
      </c>
      <c r="BYG339" s="42" t="s">
        <v>608</v>
      </c>
      <c r="BYH339" s="42" t="s">
        <v>608</v>
      </c>
      <c r="BYI339" s="42" t="s">
        <v>608</v>
      </c>
      <c r="BYJ339" s="42" t="s">
        <v>608</v>
      </c>
      <c r="BYK339" s="42" t="s">
        <v>608</v>
      </c>
      <c r="BYL339" s="42" t="s">
        <v>608</v>
      </c>
      <c r="BYM339" s="42" t="s">
        <v>608</v>
      </c>
      <c r="BYN339" s="42" t="s">
        <v>608</v>
      </c>
      <c r="BYO339" s="42" t="s">
        <v>608</v>
      </c>
      <c r="BYP339" s="42" t="s">
        <v>608</v>
      </c>
      <c r="BYQ339" s="42" t="s">
        <v>608</v>
      </c>
      <c r="BYR339" s="42" t="s">
        <v>608</v>
      </c>
      <c r="BYS339" s="42" t="s">
        <v>608</v>
      </c>
      <c r="BYT339" s="42" t="s">
        <v>608</v>
      </c>
      <c r="BYU339" s="42" t="s">
        <v>608</v>
      </c>
      <c r="BYV339" s="42" t="s">
        <v>608</v>
      </c>
      <c r="BYW339" s="42" t="s">
        <v>608</v>
      </c>
      <c r="BYX339" s="42" t="s">
        <v>608</v>
      </c>
      <c r="BYY339" s="42" t="s">
        <v>608</v>
      </c>
      <c r="BYZ339" s="42" t="s">
        <v>608</v>
      </c>
      <c r="BZA339" s="42" t="s">
        <v>608</v>
      </c>
      <c r="BZB339" s="42" t="s">
        <v>608</v>
      </c>
      <c r="BZC339" s="42" t="s">
        <v>608</v>
      </c>
      <c r="BZD339" s="42" t="s">
        <v>608</v>
      </c>
      <c r="BZE339" s="42" t="s">
        <v>608</v>
      </c>
      <c r="BZF339" s="42" t="s">
        <v>608</v>
      </c>
      <c r="BZG339" s="42" t="s">
        <v>608</v>
      </c>
      <c r="BZH339" s="42" t="s">
        <v>608</v>
      </c>
      <c r="BZI339" s="42" t="s">
        <v>608</v>
      </c>
      <c r="BZJ339" s="42" t="s">
        <v>608</v>
      </c>
      <c r="BZK339" s="42" t="s">
        <v>608</v>
      </c>
      <c r="BZL339" s="42" t="s">
        <v>608</v>
      </c>
      <c r="BZM339" s="42" t="s">
        <v>608</v>
      </c>
      <c r="BZN339" s="42" t="s">
        <v>608</v>
      </c>
      <c r="BZO339" s="42" t="s">
        <v>608</v>
      </c>
      <c r="BZP339" s="42" t="s">
        <v>608</v>
      </c>
      <c r="BZQ339" s="42" t="s">
        <v>608</v>
      </c>
      <c r="BZR339" s="42" t="s">
        <v>608</v>
      </c>
      <c r="BZS339" s="42" t="s">
        <v>608</v>
      </c>
      <c r="BZT339" s="42" t="s">
        <v>608</v>
      </c>
      <c r="BZU339" s="42" t="s">
        <v>608</v>
      </c>
      <c r="BZV339" s="42" t="s">
        <v>608</v>
      </c>
      <c r="BZW339" s="42" t="s">
        <v>608</v>
      </c>
      <c r="BZX339" s="42" t="s">
        <v>608</v>
      </c>
      <c r="BZY339" s="42" t="s">
        <v>608</v>
      </c>
      <c r="BZZ339" s="42" t="s">
        <v>608</v>
      </c>
      <c r="CAA339" s="42" t="s">
        <v>608</v>
      </c>
      <c r="CAB339" s="42" t="s">
        <v>608</v>
      </c>
      <c r="CAC339" s="42" t="s">
        <v>608</v>
      </c>
      <c r="CAD339" s="42" t="s">
        <v>608</v>
      </c>
      <c r="CAE339" s="42" t="s">
        <v>608</v>
      </c>
      <c r="CAF339" s="42" t="s">
        <v>608</v>
      </c>
      <c r="CAG339" s="42" t="s">
        <v>608</v>
      </c>
      <c r="CAH339" s="42" t="s">
        <v>608</v>
      </c>
      <c r="CAI339" s="42" t="s">
        <v>608</v>
      </c>
      <c r="CAJ339" s="42" t="s">
        <v>608</v>
      </c>
      <c r="CAK339" s="42" t="s">
        <v>608</v>
      </c>
      <c r="CAL339" s="42" t="s">
        <v>608</v>
      </c>
      <c r="CAM339" s="42" t="s">
        <v>608</v>
      </c>
      <c r="CAN339" s="42" t="s">
        <v>608</v>
      </c>
      <c r="CAO339" s="42" t="s">
        <v>608</v>
      </c>
      <c r="CAP339" s="42" t="s">
        <v>608</v>
      </c>
      <c r="CAQ339" s="42" t="s">
        <v>608</v>
      </c>
      <c r="CAR339" s="42" t="s">
        <v>608</v>
      </c>
      <c r="CAS339" s="42" t="s">
        <v>608</v>
      </c>
      <c r="CAT339" s="42" t="s">
        <v>608</v>
      </c>
      <c r="CAU339" s="42" t="s">
        <v>608</v>
      </c>
      <c r="CAV339" s="42" t="s">
        <v>608</v>
      </c>
      <c r="CAW339" s="42" t="s">
        <v>608</v>
      </c>
      <c r="CAX339" s="42" t="s">
        <v>608</v>
      </c>
      <c r="CAY339" s="42" t="s">
        <v>608</v>
      </c>
      <c r="CAZ339" s="42" t="s">
        <v>608</v>
      </c>
      <c r="CBA339" s="42" t="s">
        <v>608</v>
      </c>
      <c r="CBB339" s="42" t="s">
        <v>608</v>
      </c>
      <c r="CBC339" s="42" t="s">
        <v>608</v>
      </c>
      <c r="CBD339" s="42" t="s">
        <v>608</v>
      </c>
      <c r="CBE339" s="42" t="s">
        <v>608</v>
      </c>
      <c r="CBF339" s="42" t="s">
        <v>608</v>
      </c>
      <c r="CBG339" s="42" t="s">
        <v>608</v>
      </c>
      <c r="CBH339" s="42" t="s">
        <v>608</v>
      </c>
      <c r="CBI339" s="42" t="s">
        <v>608</v>
      </c>
      <c r="CBJ339" s="42" t="s">
        <v>608</v>
      </c>
      <c r="CBK339" s="42" t="s">
        <v>608</v>
      </c>
      <c r="CBL339" s="42" t="s">
        <v>608</v>
      </c>
      <c r="CBM339" s="42" t="s">
        <v>608</v>
      </c>
      <c r="CBN339" s="42" t="s">
        <v>608</v>
      </c>
      <c r="CBO339" s="42" t="s">
        <v>608</v>
      </c>
      <c r="CBP339" s="42" t="s">
        <v>608</v>
      </c>
      <c r="CBQ339" s="42" t="s">
        <v>608</v>
      </c>
      <c r="CBR339" s="42" t="s">
        <v>608</v>
      </c>
      <c r="CBS339" s="42" t="s">
        <v>608</v>
      </c>
      <c r="CBT339" s="42" t="s">
        <v>608</v>
      </c>
      <c r="CBU339" s="42" t="s">
        <v>608</v>
      </c>
      <c r="CBV339" s="42" t="s">
        <v>608</v>
      </c>
      <c r="CBW339" s="42" t="s">
        <v>608</v>
      </c>
      <c r="CBX339" s="42" t="s">
        <v>608</v>
      </c>
      <c r="CBY339" s="42" t="s">
        <v>608</v>
      </c>
      <c r="CBZ339" s="42" t="s">
        <v>608</v>
      </c>
      <c r="CCA339" s="42" t="s">
        <v>608</v>
      </c>
      <c r="CCB339" s="42" t="s">
        <v>608</v>
      </c>
      <c r="CCC339" s="42" t="s">
        <v>608</v>
      </c>
      <c r="CCD339" s="42" t="s">
        <v>608</v>
      </c>
      <c r="CCE339" s="42" t="s">
        <v>608</v>
      </c>
      <c r="CCF339" s="42" t="s">
        <v>608</v>
      </c>
      <c r="CCG339" s="42" t="s">
        <v>608</v>
      </c>
      <c r="CCH339" s="42" t="s">
        <v>608</v>
      </c>
      <c r="CCI339" s="42" t="s">
        <v>608</v>
      </c>
      <c r="CCJ339" s="42" t="s">
        <v>608</v>
      </c>
      <c r="CCK339" s="42" t="s">
        <v>608</v>
      </c>
      <c r="CCL339" s="42" t="s">
        <v>608</v>
      </c>
      <c r="CCM339" s="42" t="s">
        <v>608</v>
      </c>
      <c r="CCN339" s="42" t="s">
        <v>608</v>
      </c>
      <c r="CCO339" s="42" t="s">
        <v>608</v>
      </c>
      <c r="CCP339" s="42" t="s">
        <v>608</v>
      </c>
      <c r="CCQ339" s="42" t="s">
        <v>608</v>
      </c>
      <c r="CCR339" s="42" t="s">
        <v>608</v>
      </c>
      <c r="CCS339" s="42" t="s">
        <v>608</v>
      </c>
      <c r="CCT339" s="42" t="s">
        <v>608</v>
      </c>
      <c r="CCU339" s="42" t="s">
        <v>608</v>
      </c>
      <c r="CCV339" s="42" t="s">
        <v>608</v>
      </c>
      <c r="CCW339" s="42" t="s">
        <v>608</v>
      </c>
      <c r="CCX339" s="42" t="s">
        <v>608</v>
      </c>
      <c r="CCY339" s="42" t="s">
        <v>608</v>
      </c>
      <c r="CCZ339" s="42" t="s">
        <v>608</v>
      </c>
      <c r="CDA339" s="42" t="s">
        <v>608</v>
      </c>
      <c r="CDB339" s="42" t="s">
        <v>608</v>
      </c>
      <c r="CDC339" s="42" t="s">
        <v>608</v>
      </c>
      <c r="CDD339" s="42" t="s">
        <v>608</v>
      </c>
      <c r="CDE339" s="42" t="s">
        <v>608</v>
      </c>
      <c r="CDF339" s="42" t="s">
        <v>608</v>
      </c>
      <c r="CDG339" s="42" t="s">
        <v>608</v>
      </c>
      <c r="CDH339" s="42" t="s">
        <v>608</v>
      </c>
      <c r="CDI339" s="42" t="s">
        <v>608</v>
      </c>
      <c r="CDJ339" s="42" t="s">
        <v>608</v>
      </c>
      <c r="CDK339" s="42" t="s">
        <v>608</v>
      </c>
      <c r="CDL339" s="42" t="s">
        <v>608</v>
      </c>
      <c r="CDM339" s="42" t="s">
        <v>608</v>
      </c>
      <c r="CDN339" s="42" t="s">
        <v>608</v>
      </c>
      <c r="CDO339" s="42" t="s">
        <v>608</v>
      </c>
      <c r="CDP339" s="42" t="s">
        <v>608</v>
      </c>
      <c r="CDQ339" s="42" t="s">
        <v>608</v>
      </c>
      <c r="CDR339" s="42" t="s">
        <v>608</v>
      </c>
      <c r="CDS339" s="42" t="s">
        <v>608</v>
      </c>
      <c r="CDT339" s="42" t="s">
        <v>608</v>
      </c>
      <c r="CDU339" s="42" t="s">
        <v>608</v>
      </c>
      <c r="CDV339" s="42" t="s">
        <v>608</v>
      </c>
      <c r="CDW339" s="42" t="s">
        <v>608</v>
      </c>
      <c r="CDX339" s="42" t="s">
        <v>608</v>
      </c>
      <c r="CDY339" s="42" t="s">
        <v>608</v>
      </c>
      <c r="CDZ339" s="42" t="s">
        <v>608</v>
      </c>
      <c r="CEA339" s="42" t="s">
        <v>608</v>
      </c>
      <c r="CEB339" s="42" t="s">
        <v>608</v>
      </c>
      <c r="CEC339" s="42" t="s">
        <v>608</v>
      </c>
      <c r="CED339" s="42" t="s">
        <v>608</v>
      </c>
      <c r="CEE339" s="42" t="s">
        <v>608</v>
      </c>
      <c r="CEF339" s="42" t="s">
        <v>608</v>
      </c>
      <c r="CEG339" s="42" t="s">
        <v>608</v>
      </c>
      <c r="CEH339" s="42" t="s">
        <v>608</v>
      </c>
      <c r="CEI339" s="42" t="s">
        <v>608</v>
      </c>
      <c r="CEJ339" s="42" t="s">
        <v>608</v>
      </c>
      <c r="CEK339" s="42" t="s">
        <v>608</v>
      </c>
      <c r="CEL339" s="42" t="s">
        <v>608</v>
      </c>
      <c r="CEM339" s="42" t="s">
        <v>608</v>
      </c>
      <c r="CEN339" s="42" t="s">
        <v>608</v>
      </c>
      <c r="CEO339" s="42" t="s">
        <v>608</v>
      </c>
      <c r="CEP339" s="42" t="s">
        <v>608</v>
      </c>
      <c r="CEQ339" s="42" t="s">
        <v>608</v>
      </c>
      <c r="CER339" s="42" t="s">
        <v>608</v>
      </c>
      <c r="CES339" s="42" t="s">
        <v>608</v>
      </c>
      <c r="CET339" s="42" t="s">
        <v>608</v>
      </c>
      <c r="CEU339" s="42" t="s">
        <v>608</v>
      </c>
      <c r="CEV339" s="42" t="s">
        <v>608</v>
      </c>
      <c r="CEW339" s="42" t="s">
        <v>608</v>
      </c>
      <c r="CEX339" s="42" t="s">
        <v>608</v>
      </c>
      <c r="CEY339" s="42" t="s">
        <v>608</v>
      </c>
      <c r="CEZ339" s="42" t="s">
        <v>608</v>
      </c>
      <c r="CFA339" s="42" t="s">
        <v>608</v>
      </c>
      <c r="CFB339" s="42" t="s">
        <v>608</v>
      </c>
      <c r="CFC339" s="42" t="s">
        <v>608</v>
      </c>
      <c r="CFD339" s="42" t="s">
        <v>608</v>
      </c>
      <c r="CFE339" s="42" t="s">
        <v>608</v>
      </c>
      <c r="CFF339" s="42" t="s">
        <v>608</v>
      </c>
      <c r="CFG339" s="42" t="s">
        <v>608</v>
      </c>
      <c r="CFH339" s="42" t="s">
        <v>608</v>
      </c>
      <c r="CFI339" s="42" t="s">
        <v>608</v>
      </c>
      <c r="CFJ339" s="42" t="s">
        <v>608</v>
      </c>
      <c r="CFK339" s="42" t="s">
        <v>608</v>
      </c>
      <c r="CFL339" s="42" t="s">
        <v>608</v>
      </c>
      <c r="CFM339" s="42" t="s">
        <v>608</v>
      </c>
      <c r="CFN339" s="42" t="s">
        <v>608</v>
      </c>
      <c r="CFO339" s="42" t="s">
        <v>608</v>
      </c>
      <c r="CFP339" s="42" t="s">
        <v>608</v>
      </c>
      <c r="CFQ339" s="42" t="s">
        <v>608</v>
      </c>
      <c r="CFR339" s="42" t="s">
        <v>608</v>
      </c>
      <c r="CFS339" s="42" t="s">
        <v>608</v>
      </c>
      <c r="CFT339" s="42" t="s">
        <v>608</v>
      </c>
      <c r="CFU339" s="42" t="s">
        <v>608</v>
      </c>
      <c r="CFV339" s="42" t="s">
        <v>608</v>
      </c>
      <c r="CFW339" s="42" t="s">
        <v>608</v>
      </c>
      <c r="CFX339" s="42" t="s">
        <v>608</v>
      </c>
      <c r="CFY339" s="42" t="s">
        <v>608</v>
      </c>
      <c r="CFZ339" s="42" t="s">
        <v>608</v>
      </c>
      <c r="CGA339" s="42" t="s">
        <v>608</v>
      </c>
      <c r="CGB339" s="42" t="s">
        <v>608</v>
      </c>
      <c r="CGC339" s="42" t="s">
        <v>608</v>
      </c>
      <c r="CGD339" s="42" t="s">
        <v>608</v>
      </c>
      <c r="CGE339" s="42" t="s">
        <v>608</v>
      </c>
      <c r="CGF339" s="42" t="s">
        <v>608</v>
      </c>
      <c r="CGG339" s="42" t="s">
        <v>608</v>
      </c>
      <c r="CGH339" s="42" t="s">
        <v>608</v>
      </c>
      <c r="CGI339" s="42" t="s">
        <v>608</v>
      </c>
      <c r="CGJ339" s="42" t="s">
        <v>608</v>
      </c>
      <c r="CGK339" s="42" t="s">
        <v>608</v>
      </c>
      <c r="CGL339" s="42" t="s">
        <v>608</v>
      </c>
      <c r="CGM339" s="42" t="s">
        <v>608</v>
      </c>
      <c r="CGN339" s="42" t="s">
        <v>608</v>
      </c>
      <c r="CGO339" s="42" t="s">
        <v>608</v>
      </c>
      <c r="CGP339" s="42" t="s">
        <v>608</v>
      </c>
      <c r="CGQ339" s="42" t="s">
        <v>608</v>
      </c>
      <c r="CGR339" s="42" t="s">
        <v>608</v>
      </c>
      <c r="CGS339" s="42" t="s">
        <v>608</v>
      </c>
      <c r="CGT339" s="42" t="s">
        <v>608</v>
      </c>
      <c r="CGU339" s="42" t="s">
        <v>608</v>
      </c>
      <c r="CGV339" s="42" t="s">
        <v>608</v>
      </c>
      <c r="CGW339" s="42" t="s">
        <v>608</v>
      </c>
      <c r="CGX339" s="42" t="s">
        <v>608</v>
      </c>
      <c r="CGY339" s="42" t="s">
        <v>608</v>
      </c>
      <c r="CGZ339" s="42" t="s">
        <v>608</v>
      </c>
      <c r="CHA339" s="42" t="s">
        <v>608</v>
      </c>
      <c r="CHB339" s="42" t="s">
        <v>608</v>
      </c>
      <c r="CHC339" s="42" t="s">
        <v>608</v>
      </c>
      <c r="CHD339" s="42" t="s">
        <v>608</v>
      </c>
      <c r="CHE339" s="42" t="s">
        <v>608</v>
      </c>
      <c r="CHF339" s="42" t="s">
        <v>608</v>
      </c>
      <c r="CHG339" s="42" t="s">
        <v>608</v>
      </c>
      <c r="CHH339" s="42" t="s">
        <v>608</v>
      </c>
      <c r="CHI339" s="42" t="s">
        <v>608</v>
      </c>
      <c r="CHJ339" s="42" t="s">
        <v>608</v>
      </c>
      <c r="CHK339" s="42" t="s">
        <v>608</v>
      </c>
      <c r="CHL339" s="42" t="s">
        <v>608</v>
      </c>
      <c r="CHM339" s="42" t="s">
        <v>608</v>
      </c>
      <c r="CHN339" s="42" t="s">
        <v>608</v>
      </c>
      <c r="CHO339" s="42" t="s">
        <v>608</v>
      </c>
      <c r="CHP339" s="42" t="s">
        <v>608</v>
      </c>
      <c r="CHQ339" s="42" t="s">
        <v>608</v>
      </c>
      <c r="CHR339" s="42" t="s">
        <v>608</v>
      </c>
      <c r="CHS339" s="42" t="s">
        <v>608</v>
      </c>
      <c r="CHT339" s="42" t="s">
        <v>608</v>
      </c>
      <c r="CHU339" s="42" t="s">
        <v>608</v>
      </c>
      <c r="CHV339" s="42" t="s">
        <v>608</v>
      </c>
      <c r="CHW339" s="42" t="s">
        <v>608</v>
      </c>
      <c r="CHX339" s="42" t="s">
        <v>608</v>
      </c>
      <c r="CHY339" s="42" t="s">
        <v>608</v>
      </c>
      <c r="CHZ339" s="42" t="s">
        <v>608</v>
      </c>
      <c r="CIA339" s="42" t="s">
        <v>608</v>
      </c>
      <c r="CIB339" s="42" t="s">
        <v>608</v>
      </c>
      <c r="CIC339" s="42" t="s">
        <v>608</v>
      </c>
      <c r="CID339" s="42" t="s">
        <v>608</v>
      </c>
      <c r="CIE339" s="42" t="s">
        <v>608</v>
      </c>
      <c r="CIF339" s="42" t="s">
        <v>608</v>
      </c>
      <c r="CIG339" s="42" t="s">
        <v>608</v>
      </c>
      <c r="CIH339" s="42" t="s">
        <v>608</v>
      </c>
      <c r="CII339" s="42" t="s">
        <v>608</v>
      </c>
      <c r="CIJ339" s="42" t="s">
        <v>608</v>
      </c>
      <c r="CIK339" s="42" t="s">
        <v>608</v>
      </c>
      <c r="CIL339" s="42" t="s">
        <v>608</v>
      </c>
      <c r="CIM339" s="42" t="s">
        <v>608</v>
      </c>
      <c r="CIN339" s="42" t="s">
        <v>608</v>
      </c>
      <c r="CIO339" s="42" t="s">
        <v>608</v>
      </c>
      <c r="CIP339" s="42" t="s">
        <v>608</v>
      </c>
      <c r="CIQ339" s="42" t="s">
        <v>608</v>
      </c>
      <c r="CIR339" s="42" t="s">
        <v>608</v>
      </c>
      <c r="CIS339" s="42" t="s">
        <v>608</v>
      </c>
      <c r="CIT339" s="42" t="s">
        <v>608</v>
      </c>
      <c r="CIU339" s="42" t="s">
        <v>608</v>
      </c>
      <c r="CIV339" s="42" t="s">
        <v>608</v>
      </c>
      <c r="CIW339" s="42" t="s">
        <v>608</v>
      </c>
      <c r="CIX339" s="42" t="s">
        <v>608</v>
      </c>
      <c r="CIY339" s="42" t="s">
        <v>608</v>
      </c>
      <c r="CIZ339" s="42" t="s">
        <v>608</v>
      </c>
      <c r="CJA339" s="42" t="s">
        <v>608</v>
      </c>
      <c r="CJB339" s="42" t="s">
        <v>608</v>
      </c>
      <c r="CJC339" s="42" t="s">
        <v>608</v>
      </c>
      <c r="CJD339" s="42" t="s">
        <v>608</v>
      </c>
      <c r="CJE339" s="42" t="s">
        <v>608</v>
      </c>
      <c r="CJF339" s="42" t="s">
        <v>608</v>
      </c>
      <c r="CJG339" s="42" t="s">
        <v>608</v>
      </c>
      <c r="CJH339" s="42" t="s">
        <v>608</v>
      </c>
      <c r="CJI339" s="42" t="s">
        <v>608</v>
      </c>
      <c r="CJJ339" s="42" t="s">
        <v>608</v>
      </c>
      <c r="CJK339" s="42" t="s">
        <v>608</v>
      </c>
      <c r="CJL339" s="42" t="s">
        <v>608</v>
      </c>
      <c r="CJM339" s="42" t="s">
        <v>608</v>
      </c>
      <c r="CJN339" s="42" t="s">
        <v>608</v>
      </c>
      <c r="CJO339" s="42" t="s">
        <v>608</v>
      </c>
      <c r="CJP339" s="42" t="s">
        <v>608</v>
      </c>
      <c r="CJQ339" s="42" t="s">
        <v>608</v>
      </c>
      <c r="CJR339" s="42" t="s">
        <v>608</v>
      </c>
      <c r="CJS339" s="42" t="s">
        <v>608</v>
      </c>
      <c r="CJT339" s="42" t="s">
        <v>608</v>
      </c>
      <c r="CJU339" s="42" t="s">
        <v>608</v>
      </c>
      <c r="CJV339" s="42" t="s">
        <v>608</v>
      </c>
      <c r="CJW339" s="42" t="s">
        <v>608</v>
      </c>
      <c r="CJX339" s="42" t="s">
        <v>608</v>
      </c>
      <c r="CJY339" s="42" t="s">
        <v>608</v>
      </c>
      <c r="CJZ339" s="42" t="s">
        <v>608</v>
      </c>
      <c r="CKA339" s="42" t="s">
        <v>608</v>
      </c>
      <c r="CKB339" s="42" t="s">
        <v>608</v>
      </c>
      <c r="CKC339" s="42" t="s">
        <v>608</v>
      </c>
      <c r="CKD339" s="42" t="s">
        <v>608</v>
      </c>
      <c r="CKE339" s="42" t="s">
        <v>608</v>
      </c>
      <c r="CKF339" s="42" t="s">
        <v>608</v>
      </c>
      <c r="CKG339" s="42" t="s">
        <v>608</v>
      </c>
      <c r="CKH339" s="42" t="s">
        <v>608</v>
      </c>
      <c r="CKI339" s="42" t="s">
        <v>608</v>
      </c>
      <c r="CKJ339" s="42" t="s">
        <v>608</v>
      </c>
      <c r="CKK339" s="42" t="s">
        <v>608</v>
      </c>
      <c r="CKL339" s="42" t="s">
        <v>608</v>
      </c>
      <c r="CKM339" s="42" t="s">
        <v>608</v>
      </c>
      <c r="CKN339" s="42" t="s">
        <v>608</v>
      </c>
      <c r="CKO339" s="42" t="s">
        <v>608</v>
      </c>
      <c r="CKP339" s="42" t="s">
        <v>608</v>
      </c>
      <c r="CKQ339" s="42" t="s">
        <v>608</v>
      </c>
      <c r="CKR339" s="42" t="s">
        <v>608</v>
      </c>
      <c r="CKS339" s="42" t="s">
        <v>608</v>
      </c>
      <c r="CKT339" s="42" t="s">
        <v>608</v>
      </c>
      <c r="CKU339" s="42" t="s">
        <v>608</v>
      </c>
      <c r="CKV339" s="42" t="s">
        <v>608</v>
      </c>
      <c r="CKW339" s="42" t="s">
        <v>608</v>
      </c>
      <c r="CKX339" s="42" t="s">
        <v>608</v>
      </c>
      <c r="CKY339" s="42" t="s">
        <v>608</v>
      </c>
      <c r="CKZ339" s="42" t="s">
        <v>608</v>
      </c>
      <c r="CLA339" s="42" t="s">
        <v>608</v>
      </c>
      <c r="CLB339" s="42" t="s">
        <v>608</v>
      </c>
      <c r="CLC339" s="42" t="s">
        <v>608</v>
      </c>
      <c r="CLD339" s="42" t="s">
        <v>608</v>
      </c>
      <c r="CLE339" s="42" t="s">
        <v>608</v>
      </c>
      <c r="CLF339" s="42" t="s">
        <v>608</v>
      </c>
      <c r="CLG339" s="42" t="s">
        <v>608</v>
      </c>
      <c r="CLH339" s="42" t="s">
        <v>608</v>
      </c>
      <c r="CLI339" s="42" t="s">
        <v>608</v>
      </c>
      <c r="CLJ339" s="42" t="s">
        <v>608</v>
      </c>
      <c r="CLK339" s="42" t="s">
        <v>608</v>
      </c>
      <c r="CLL339" s="42" t="s">
        <v>608</v>
      </c>
      <c r="CLM339" s="42" t="s">
        <v>608</v>
      </c>
      <c r="CLN339" s="42" t="s">
        <v>608</v>
      </c>
      <c r="CLO339" s="42" t="s">
        <v>608</v>
      </c>
      <c r="CLP339" s="42" t="s">
        <v>608</v>
      </c>
      <c r="CLQ339" s="42" t="s">
        <v>608</v>
      </c>
      <c r="CLR339" s="42" t="s">
        <v>608</v>
      </c>
      <c r="CLS339" s="42" t="s">
        <v>608</v>
      </c>
      <c r="CLT339" s="42" t="s">
        <v>608</v>
      </c>
      <c r="CLU339" s="42" t="s">
        <v>608</v>
      </c>
      <c r="CLV339" s="42" t="s">
        <v>608</v>
      </c>
      <c r="CLW339" s="42" t="s">
        <v>608</v>
      </c>
      <c r="CLX339" s="42" t="s">
        <v>608</v>
      </c>
      <c r="CLY339" s="42" t="s">
        <v>608</v>
      </c>
      <c r="CLZ339" s="42" t="s">
        <v>608</v>
      </c>
      <c r="CMA339" s="42" t="s">
        <v>608</v>
      </c>
      <c r="CMB339" s="42" t="s">
        <v>608</v>
      </c>
      <c r="CMC339" s="42" t="s">
        <v>608</v>
      </c>
      <c r="CMD339" s="42" t="s">
        <v>608</v>
      </c>
      <c r="CME339" s="42" t="s">
        <v>608</v>
      </c>
      <c r="CMF339" s="42" t="s">
        <v>608</v>
      </c>
      <c r="CMG339" s="42" t="s">
        <v>608</v>
      </c>
      <c r="CMH339" s="42" t="s">
        <v>608</v>
      </c>
      <c r="CMI339" s="42" t="s">
        <v>608</v>
      </c>
      <c r="CMJ339" s="42" t="s">
        <v>608</v>
      </c>
      <c r="CMK339" s="42" t="s">
        <v>608</v>
      </c>
      <c r="CML339" s="42" t="s">
        <v>608</v>
      </c>
      <c r="CMM339" s="42" t="s">
        <v>608</v>
      </c>
      <c r="CMN339" s="42" t="s">
        <v>608</v>
      </c>
      <c r="CMO339" s="42" t="s">
        <v>608</v>
      </c>
      <c r="CMP339" s="42" t="s">
        <v>608</v>
      </c>
      <c r="CMQ339" s="42" t="s">
        <v>608</v>
      </c>
      <c r="CMR339" s="42" t="s">
        <v>608</v>
      </c>
      <c r="CMS339" s="42" t="s">
        <v>608</v>
      </c>
      <c r="CMT339" s="42" t="s">
        <v>608</v>
      </c>
      <c r="CMU339" s="42" t="s">
        <v>608</v>
      </c>
      <c r="CMV339" s="42" t="s">
        <v>608</v>
      </c>
      <c r="CMW339" s="42" t="s">
        <v>608</v>
      </c>
      <c r="CMX339" s="42" t="s">
        <v>608</v>
      </c>
      <c r="CMY339" s="42" t="s">
        <v>608</v>
      </c>
      <c r="CMZ339" s="42" t="s">
        <v>608</v>
      </c>
      <c r="CNA339" s="42" t="s">
        <v>608</v>
      </c>
      <c r="CNB339" s="42" t="s">
        <v>608</v>
      </c>
      <c r="CNC339" s="42" t="s">
        <v>608</v>
      </c>
      <c r="CND339" s="42" t="s">
        <v>608</v>
      </c>
      <c r="CNE339" s="42" t="s">
        <v>608</v>
      </c>
      <c r="CNF339" s="42" t="s">
        <v>608</v>
      </c>
      <c r="CNG339" s="42" t="s">
        <v>608</v>
      </c>
      <c r="CNH339" s="42" t="s">
        <v>608</v>
      </c>
      <c r="CNI339" s="42" t="s">
        <v>608</v>
      </c>
      <c r="CNJ339" s="42" t="s">
        <v>608</v>
      </c>
      <c r="CNK339" s="42" t="s">
        <v>608</v>
      </c>
      <c r="CNL339" s="42" t="s">
        <v>608</v>
      </c>
      <c r="CNM339" s="42" t="s">
        <v>608</v>
      </c>
      <c r="CNN339" s="42" t="s">
        <v>608</v>
      </c>
      <c r="CNO339" s="42" t="s">
        <v>608</v>
      </c>
      <c r="CNP339" s="42" t="s">
        <v>608</v>
      </c>
      <c r="CNQ339" s="42" t="s">
        <v>608</v>
      </c>
      <c r="CNR339" s="42" t="s">
        <v>608</v>
      </c>
      <c r="CNS339" s="42" t="s">
        <v>608</v>
      </c>
      <c r="CNT339" s="42" t="s">
        <v>608</v>
      </c>
      <c r="CNU339" s="42" t="s">
        <v>608</v>
      </c>
      <c r="CNV339" s="42" t="s">
        <v>608</v>
      </c>
      <c r="CNW339" s="42" t="s">
        <v>608</v>
      </c>
      <c r="CNX339" s="42" t="s">
        <v>608</v>
      </c>
      <c r="CNY339" s="42" t="s">
        <v>608</v>
      </c>
      <c r="CNZ339" s="42" t="s">
        <v>608</v>
      </c>
      <c r="COA339" s="42" t="s">
        <v>608</v>
      </c>
      <c r="COB339" s="42" t="s">
        <v>608</v>
      </c>
      <c r="COC339" s="42" t="s">
        <v>608</v>
      </c>
      <c r="COD339" s="42" t="s">
        <v>608</v>
      </c>
      <c r="COE339" s="42" t="s">
        <v>608</v>
      </c>
      <c r="COF339" s="42" t="s">
        <v>608</v>
      </c>
      <c r="COG339" s="42" t="s">
        <v>608</v>
      </c>
      <c r="COH339" s="42" t="s">
        <v>608</v>
      </c>
      <c r="COI339" s="42" t="s">
        <v>608</v>
      </c>
      <c r="COJ339" s="42" t="s">
        <v>608</v>
      </c>
      <c r="COK339" s="42" t="s">
        <v>608</v>
      </c>
      <c r="COL339" s="42" t="s">
        <v>608</v>
      </c>
      <c r="COM339" s="42" t="s">
        <v>608</v>
      </c>
      <c r="CON339" s="42" t="s">
        <v>608</v>
      </c>
      <c r="COO339" s="42" t="s">
        <v>608</v>
      </c>
      <c r="COP339" s="42" t="s">
        <v>608</v>
      </c>
      <c r="COQ339" s="42" t="s">
        <v>608</v>
      </c>
      <c r="COR339" s="42" t="s">
        <v>608</v>
      </c>
      <c r="COS339" s="42" t="s">
        <v>608</v>
      </c>
      <c r="COT339" s="42" t="s">
        <v>608</v>
      </c>
      <c r="COU339" s="42" t="s">
        <v>608</v>
      </c>
      <c r="COV339" s="42" t="s">
        <v>608</v>
      </c>
      <c r="COW339" s="42" t="s">
        <v>608</v>
      </c>
      <c r="COX339" s="42" t="s">
        <v>608</v>
      </c>
      <c r="COY339" s="42" t="s">
        <v>608</v>
      </c>
      <c r="COZ339" s="42" t="s">
        <v>608</v>
      </c>
      <c r="CPA339" s="42" t="s">
        <v>608</v>
      </c>
      <c r="CPB339" s="42" t="s">
        <v>608</v>
      </c>
      <c r="CPC339" s="42" t="s">
        <v>608</v>
      </c>
      <c r="CPD339" s="42" t="s">
        <v>608</v>
      </c>
      <c r="CPE339" s="42" t="s">
        <v>608</v>
      </c>
      <c r="CPF339" s="42" t="s">
        <v>608</v>
      </c>
      <c r="CPG339" s="42" t="s">
        <v>608</v>
      </c>
      <c r="CPH339" s="42" t="s">
        <v>608</v>
      </c>
      <c r="CPI339" s="42" t="s">
        <v>608</v>
      </c>
      <c r="CPJ339" s="42" t="s">
        <v>608</v>
      </c>
      <c r="CPK339" s="42" t="s">
        <v>608</v>
      </c>
      <c r="CPL339" s="42" t="s">
        <v>608</v>
      </c>
      <c r="CPM339" s="42" t="s">
        <v>608</v>
      </c>
      <c r="CPN339" s="42" t="s">
        <v>608</v>
      </c>
      <c r="CPO339" s="42" t="s">
        <v>608</v>
      </c>
      <c r="CPP339" s="42" t="s">
        <v>608</v>
      </c>
      <c r="CPQ339" s="42" t="s">
        <v>608</v>
      </c>
      <c r="CPR339" s="42" t="s">
        <v>608</v>
      </c>
      <c r="CPS339" s="42" t="s">
        <v>608</v>
      </c>
      <c r="CPT339" s="42" t="s">
        <v>608</v>
      </c>
      <c r="CPU339" s="42" t="s">
        <v>608</v>
      </c>
      <c r="CPV339" s="42" t="s">
        <v>608</v>
      </c>
      <c r="CPW339" s="42" t="s">
        <v>608</v>
      </c>
      <c r="CPX339" s="42" t="s">
        <v>608</v>
      </c>
      <c r="CPY339" s="42" t="s">
        <v>608</v>
      </c>
      <c r="CPZ339" s="42" t="s">
        <v>608</v>
      </c>
      <c r="CQA339" s="42" t="s">
        <v>608</v>
      </c>
      <c r="CQB339" s="42" t="s">
        <v>608</v>
      </c>
      <c r="CQC339" s="42" t="s">
        <v>608</v>
      </c>
      <c r="CQD339" s="42" t="s">
        <v>608</v>
      </c>
      <c r="CQE339" s="42" t="s">
        <v>608</v>
      </c>
      <c r="CQF339" s="42" t="s">
        <v>608</v>
      </c>
      <c r="CQG339" s="42" t="s">
        <v>608</v>
      </c>
      <c r="CQH339" s="42" t="s">
        <v>608</v>
      </c>
      <c r="CQI339" s="42" t="s">
        <v>608</v>
      </c>
      <c r="CQJ339" s="42" t="s">
        <v>608</v>
      </c>
      <c r="CQK339" s="42" t="s">
        <v>608</v>
      </c>
      <c r="CQL339" s="42" t="s">
        <v>608</v>
      </c>
      <c r="CQM339" s="42" t="s">
        <v>608</v>
      </c>
      <c r="CQN339" s="42" t="s">
        <v>608</v>
      </c>
      <c r="CQO339" s="42" t="s">
        <v>608</v>
      </c>
      <c r="CQP339" s="42" t="s">
        <v>608</v>
      </c>
      <c r="CQQ339" s="42" t="s">
        <v>608</v>
      </c>
      <c r="CQR339" s="42" t="s">
        <v>608</v>
      </c>
      <c r="CQS339" s="42" t="s">
        <v>608</v>
      </c>
      <c r="CQT339" s="42" t="s">
        <v>608</v>
      </c>
      <c r="CQU339" s="42" t="s">
        <v>608</v>
      </c>
      <c r="CQV339" s="42" t="s">
        <v>608</v>
      </c>
      <c r="CQW339" s="42" t="s">
        <v>608</v>
      </c>
      <c r="CQX339" s="42" t="s">
        <v>608</v>
      </c>
      <c r="CQY339" s="42" t="s">
        <v>608</v>
      </c>
      <c r="CQZ339" s="42" t="s">
        <v>608</v>
      </c>
      <c r="CRA339" s="42" t="s">
        <v>608</v>
      </c>
      <c r="CRB339" s="42" t="s">
        <v>608</v>
      </c>
      <c r="CRC339" s="42" t="s">
        <v>608</v>
      </c>
      <c r="CRD339" s="42" t="s">
        <v>608</v>
      </c>
      <c r="CRE339" s="42" t="s">
        <v>608</v>
      </c>
      <c r="CRF339" s="42" t="s">
        <v>608</v>
      </c>
      <c r="CRG339" s="42" t="s">
        <v>608</v>
      </c>
      <c r="CRH339" s="42" t="s">
        <v>608</v>
      </c>
      <c r="CRI339" s="42" t="s">
        <v>608</v>
      </c>
      <c r="CRJ339" s="42" t="s">
        <v>608</v>
      </c>
      <c r="CRK339" s="42" t="s">
        <v>608</v>
      </c>
      <c r="CRL339" s="42" t="s">
        <v>608</v>
      </c>
      <c r="CRM339" s="42" t="s">
        <v>608</v>
      </c>
      <c r="CRN339" s="42" t="s">
        <v>608</v>
      </c>
      <c r="CRO339" s="42" t="s">
        <v>608</v>
      </c>
      <c r="CRP339" s="42" t="s">
        <v>608</v>
      </c>
      <c r="CRQ339" s="42" t="s">
        <v>608</v>
      </c>
      <c r="CRR339" s="42" t="s">
        <v>608</v>
      </c>
      <c r="CRS339" s="42" t="s">
        <v>608</v>
      </c>
      <c r="CRT339" s="42" t="s">
        <v>608</v>
      </c>
      <c r="CRU339" s="42" t="s">
        <v>608</v>
      </c>
      <c r="CRV339" s="42" t="s">
        <v>608</v>
      </c>
      <c r="CRW339" s="42" t="s">
        <v>608</v>
      </c>
      <c r="CRX339" s="42" t="s">
        <v>608</v>
      </c>
      <c r="CRY339" s="42" t="s">
        <v>608</v>
      </c>
      <c r="CRZ339" s="42" t="s">
        <v>608</v>
      </c>
      <c r="CSA339" s="42" t="s">
        <v>608</v>
      </c>
      <c r="CSB339" s="42" t="s">
        <v>608</v>
      </c>
      <c r="CSC339" s="42" t="s">
        <v>608</v>
      </c>
      <c r="CSD339" s="42" t="s">
        <v>608</v>
      </c>
      <c r="CSE339" s="42" t="s">
        <v>608</v>
      </c>
      <c r="CSF339" s="42" t="s">
        <v>608</v>
      </c>
      <c r="CSG339" s="42" t="s">
        <v>608</v>
      </c>
      <c r="CSH339" s="42" t="s">
        <v>608</v>
      </c>
      <c r="CSI339" s="42" t="s">
        <v>608</v>
      </c>
      <c r="CSJ339" s="42" t="s">
        <v>608</v>
      </c>
      <c r="CSK339" s="42" t="s">
        <v>608</v>
      </c>
      <c r="CSL339" s="42" t="s">
        <v>608</v>
      </c>
      <c r="CSM339" s="42" t="s">
        <v>608</v>
      </c>
      <c r="CSN339" s="42" t="s">
        <v>608</v>
      </c>
      <c r="CSO339" s="42" t="s">
        <v>608</v>
      </c>
      <c r="CSP339" s="42" t="s">
        <v>608</v>
      </c>
      <c r="CSQ339" s="42" t="s">
        <v>608</v>
      </c>
      <c r="CSR339" s="42" t="s">
        <v>608</v>
      </c>
      <c r="CSS339" s="42" t="s">
        <v>608</v>
      </c>
      <c r="CST339" s="42" t="s">
        <v>608</v>
      </c>
      <c r="CSU339" s="42" t="s">
        <v>608</v>
      </c>
      <c r="CSV339" s="42" t="s">
        <v>608</v>
      </c>
      <c r="CSW339" s="42" t="s">
        <v>608</v>
      </c>
      <c r="CSX339" s="42" t="s">
        <v>608</v>
      </c>
      <c r="CSY339" s="42" t="s">
        <v>608</v>
      </c>
      <c r="CSZ339" s="42" t="s">
        <v>608</v>
      </c>
      <c r="CTA339" s="42" t="s">
        <v>608</v>
      </c>
      <c r="CTB339" s="42" t="s">
        <v>608</v>
      </c>
      <c r="CTC339" s="42" t="s">
        <v>608</v>
      </c>
      <c r="CTD339" s="42" t="s">
        <v>608</v>
      </c>
      <c r="CTE339" s="42" t="s">
        <v>608</v>
      </c>
      <c r="CTF339" s="42" t="s">
        <v>608</v>
      </c>
      <c r="CTG339" s="42" t="s">
        <v>608</v>
      </c>
      <c r="CTH339" s="42" t="s">
        <v>608</v>
      </c>
      <c r="CTI339" s="42" t="s">
        <v>608</v>
      </c>
      <c r="CTJ339" s="42" t="s">
        <v>608</v>
      </c>
      <c r="CTK339" s="42" t="s">
        <v>608</v>
      </c>
      <c r="CTL339" s="42" t="s">
        <v>608</v>
      </c>
      <c r="CTM339" s="42" t="s">
        <v>608</v>
      </c>
      <c r="CTN339" s="42" t="s">
        <v>608</v>
      </c>
      <c r="CTO339" s="42" t="s">
        <v>608</v>
      </c>
      <c r="CTP339" s="42" t="s">
        <v>608</v>
      </c>
      <c r="CTQ339" s="42" t="s">
        <v>608</v>
      </c>
      <c r="CTR339" s="42" t="s">
        <v>608</v>
      </c>
      <c r="CTS339" s="42" t="s">
        <v>608</v>
      </c>
      <c r="CTT339" s="42" t="s">
        <v>608</v>
      </c>
      <c r="CTU339" s="42" t="s">
        <v>608</v>
      </c>
      <c r="CTV339" s="42" t="s">
        <v>608</v>
      </c>
      <c r="CTW339" s="42" t="s">
        <v>608</v>
      </c>
      <c r="CTX339" s="42" t="s">
        <v>608</v>
      </c>
      <c r="CTY339" s="42" t="s">
        <v>608</v>
      </c>
      <c r="CTZ339" s="42" t="s">
        <v>608</v>
      </c>
      <c r="CUA339" s="42" t="s">
        <v>608</v>
      </c>
      <c r="CUB339" s="42" t="s">
        <v>608</v>
      </c>
      <c r="CUC339" s="42" t="s">
        <v>608</v>
      </c>
      <c r="CUD339" s="42" t="s">
        <v>608</v>
      </c>
      <c r="CUE339" s="42" t="s">
        <v>608</v>
      </c>
      <c r="CUF339" s="42" t="s">
        <v>608</v>
      </c>
      <c r="CUG339" s="42" t="s">
        <v>608</v>
      </c>
      <c r="CUH339" s="42" t="s">
        <v>608</v>
      </c>
      <c r="CUI339" s="42" t="s">
        <v>608</v>
      </c>
      <c r="CUJ339" s="42" t="s">
        <v>608</v>
      </c>
      <c r="CUK339" s="42" t="s">
        <v>608</v>
      </c>
      <c r="CUL339" s="42" t="s">
        <v>608</v>
      </c>
      <c r="CUM339" s="42" t="s">
        <v>608</v>
      </c>
      <c r="CUN339" s="42" t="s">
        <v>608</v>
      </c>
      <c r="CUO339" s="42" t="s">
        <v>608</v>
      </c>
      <c r="CUP339" s="42" t="s">
        <v>608</v>
      </c>
      <c r="CUQ339" s="42" t="s">
        <v>608</v>
      </c>
      <c r="CUR339" s="42" t="s">
        <v>608</v>
      </c>
      <c r="CUS339" s="42" t="s">
        <v>608</v>
      </c>
      <c r="CUT339" s="42" t="s">
        <v>608</v>
      </c>
      <c r="CUU339" s="42" t="s">
        <v>608</v>
      </c>
      <c r="CUV339" s="42" t="s">
        <v>608</v>
      </c>
      <c r="CUW339" s="42" t="s">
        <v>608</v>
      </c>
      <c r="CUX339" s="42" t="s">
        <v>608</v>
      </c>
      <c r="CUY339" s="42" t="s">
        <v>608</v>
      </c>
      <c r="CUZ339" s="42" t="s">
        <v>608</v>
      </c>
      <c r="CVA339" s="42" t="s">
        <v>608</v>
      </c>
      <c r="CVB339" s="42" t="s">
        <v>608</v>
      </c>
      <c r="CVC339" s="42" t="s">
        <v>608</v>
      </c>
      <c r="CVD339" s="42" t="s">
        <v>608</v>
      </c>
      <c r="CVE339" s="42" t="s">
        <v>608</v>
      </c>
      <c r="CVF339" s="42" t="s">
        <v>608</v>
      </c>
      <c r="CVG339" s="42" t="s">
        <v>608</v>
      </c>
      <c r="CVH339" s="42" t="s">
        <v>608</v>
      </c>
      <c r="CVI339" s="42" t="s">
        <v>608</v>
      </c>
      <c r="CVJ339" s="42" t="s">
        <v>608</v>
      </c>
      <c r="CVK339" s="42" t="s">
        <v>608</v>
      </c>
      <c r="CVL339" s="42" t="s">
        <v>608</v>
      </c>
      <c r="CVM339" s="42" t="s">
        <v>608</v>
      </c>
      <c r="CVN339" s="42" t="s">
        <v>608</v>
      </c>
      <c r="CVO339" s="42" t="s">
        <v>608</v>
      </c>
      <c r="CVP339" s="42" t="s">
        <v>608</v>
      </c>
      <c r="CVQ339" s="42" t="s">
        <v>608</v>
      </c>
      <c r="CVR339" s="42" t="s">
        <v>608</v>
      </c>
      <c r="CVS339" s="42" t="s">
        <v>608</v>
      </c>
      <c r="CVT339" s="42" t="s">
        <v>608</v>
      </c>
      <c r="CVU339" s="42" t="s">
        <v>608</v>
      </c>
      <c r="CVV339" s="42" t="s">
        <v>608</v>
      </c>
      <c r="CVW339" s="42" t="s">
        <v>608</v>
      </c>
      <c r="CVX339" s="42" t="s">
        <v>608</v>
      </c>
      <c r="CVY339" s="42" t="s">
        <v>608</v>
      </c>
      <c r="CVZ339" s="42" t="s">
        <v>608</v>
      </c>
      <c r="CWA339" s="42" t="s">
        <v>608</v>
      </c>
      <c r="CWB339" s="42" t="s">
        <v>608</v>
      </c>
      <c r="CWC339" s="42" t="s">
        <v>608</v>
      </c>
      <c r="CWD339" s="42" t="s">
        <v>608</v>
      </c>
      <c r="CWE339" s="42" t="s">
        <v>608</v>
      </c>
      <c r="CWF339" s="42" t="s">
        <v>608</v>
      </c>
      <c r="CWG339" s="42" t="s">
        <v>608</v>
      </c>
      <c r="CWH339" s="42" t="s">
        <v>608</v>
      </c>
      <c r="CWI339" s="42" t="s">
        <v>608</v>
      </c>
      <c r="CWJ339" s="42" t="s">
        <v>608</v>
      </c>
      <c r="CWK339" s="42" t="s">
        <v>608</v>
      </c>
      <c r="CWL339" s="42" t="s">
        <v>608</v>
      </c>
      <c r="CWM339" s="42" t="s">
        <v>608</v>
      </c>
      <c r="CWN339" s="42" t="s">
        <v>608</v>
      </c>
      <c r="CWO339" s="42" t="s">
        <v>608</v>
      </c>
      <c r="CWP339" s="42" t="s">
        <v>608</v>
      </c>
      <c r="CWQ339" s="42" t="s">
        <v>608</v>
      </c>
      <c r="CWR339" s="42" t="s">
        <v>608</v>
      </c>
      <c r="CWS339" s="42" t="s">
        <v>608</v>
      </c>
      <c r="CWT339" s="42" t="s">
        <v>608</v>
      </c>
      <c r="CWU339" s="42" t="s">
        <v>608</v>
      </c>
      <c r="CWV339" s="42" t="s">
        <v>608</v>
      </c>
      <c r="CWW339" s="42" t="s">
        <v>608</v>
      </c>
      <c r="CWX339" s="42" t="s">
        <v>608</v>
      </c>
      <c r="CWY339" s="42" t="s">
        <v>608</v>
      </c>
      <c r="CWZ339" s="42" t="s">
        <v>608</v>
      </c>
      <c r="CXA339" s="42" t="s">
        <v>608</v>
      </c>
      <c r="CXB339" s="42" t="s">
        <v>608</v>
      </c>
      <c r="CXC339" s="42" t="s">
        <v>608</v>
      </c>
      <c r="CXD339" s="42" t="s">
        <v>608</v>
      </c>
      <c r="CXE339" s="42" t="s">
        <v>608</v>
      </c>
      <c r="CXF339" s="42" t="s">
        <v>608</v>
      </c>
      <c r="CXG339" s="42" t="s">
        <v>608</v>
      </c>
      <c r="CXH339" s="42" t="s">
        <v>608</v>
      </c>
      <c r="CXI339" s="42" t="s">
        <v>608</v>
      </c>
      <c r="CXJ339" s="42" t="s">
        <v>608</v>
      </c>
      <c r="CXK339" s="42" t="s">
        <v>608</v>
      </c>
      <c r="CXL339" s="42" t="s">
        <v>608</v>
      </c>
      <c r="CXM339" s="42" t="s">
        <v>608</v>
      </c>
      <c r="CXN339" s="42" t="s">
        <v>608</v>
      </c>
      <c r="CXO339" s="42" t="s">
        <v>608</v>
      </c>
      <c r="CXP339" s="42" t="s">
        <v>608</v>
      </c>
      <c r="CXQ339" s="42" t="s">
        <v>608</v>
      </c>
      <c r="CXR339" s="42" t="s">
        <v>608</v>
      </c>
      <c r="CXS339" s="42" t="s">
        <v>608</v>
      </c>
      <c r="CXT339" s="42" t="s">
        <v>608</v>
      </c>
      <c r="CXU339" s="42" t="s">
        <v>608</v>
      </c>
      <c r="CXV339" s="42" t="s">
        <v>608</v>
      </c>
      <c r="CXW339" s="42" t="s">
        <v>608</v>
      </c>
      <c r="CXX339" s="42" t="s">
        <v>608</v>
      </c>
      <c r="CXY339" s="42" t="s">
        <v>608</v>
      </c>
      <c r="CXZ339" s="42" t="s">
        <v>608</v>
      </c>
      <c r="CYA339" s="42" t="s">
        <v>608</v>
      </c>
      <c r="CYB339" s="42" t="s">
        <v>608</v>
      </c>
      <c r="CYC339" s="42" t="s">
        <v>608</v>
      </c>
      <c r="CYD339" s="42" t="s">
        <v>608</v>
      </c>
      <c r="CYE339" s="42" t="s">
        <v>608</v>
      </c>
      <c r="CYF339" s="42" t="s">
        <v>608</v>
      </c>
      <c r="CYG339" s="42" t="s">
        <v>608</v>
      </c>
      <c r="CYH339" s="42" t="s">
        <v>608</v>
      </c>
      <c r="CYI339" s="42" t="s">
        <v>608</v>
      </c>
      <c r="CYJ339" s="42" t="s">
        <v>608</v>
      </c>
      <c r="CYK339" s="42" t="s">
        <v>608</v>
      </c>
      <c r="CYL339" s="42" t="s">
        <v>608</v>
      </c>
      <c r="CYM339" s="42" t="s">
        <v>608</v>
      </c>
      <c r="CYN339" s="42" t="s">
        <v>608</v>
      </c>
      <c r="CYO339" s="42" t="s">
        <v>608</v>
      </c>
      <c r="CYP339" s="42" t="s">
        <v>608</v>
      </c>
      <c r="CYQ339" s="42" t="s">
        <v>608</v>
      </c>
      <c r="CYR339" s="42" t="s">
        <v>608</v>
      </c>
      <c r="CYS339" s="42" t="s">
        <v>608</v>
      </c>
      <c r="CYT339" s="42" t="s">
        <v>608</v>
      </c>
      <c r="CYU339" s="42" t="s">
        <v>608</v>
      </c>
      <c r="CYV339" s="42" t="s">
        <v>608</v>
      </c>
      <c r="CYW339" s="42" t="s">
        <v>608</v>
      </c>
      <c r="CYX339" s="42" t="s">
        <v>608</v>
      </c>
      <c r="CYY339" s="42" t="s">
        <v>608</v>
      </c>
      <c r="CYZ339" s="42" t="s">
        <v>608</v>
      </c>
      <c r="CZA339" s="42" t="s">
        <v>608</v>
      </c>
      <c r="CZB339" s="42" t="s">
        <v>608</v>
      </c>
      <c r="CZC339" s="42" t="s">
        <v>608</v>
      </c>
      <c r="CZD339" s="42" t="s">
        <v>608</v>
      </c>
      <c r="CZE339" s="42" t="s">
        <v>608</v>
      </c>
      <c r="CZF339" s="42" t="s">
        <v>608</v>
      </c>
      <c r="CZG339" s="42" t="s">
        <v>608</v>
      </c>
      <c r="CZH339" s="42" t="s">
        <v>608</v>
      </c>
      <c r="CZI339" s="42" t="s">
        <v>608</v>
      </c>
      <c r="CZJ339" s="42" t="s">
        <v>608</v>
      </c>
      <c r="CZK339" s="42" t="s">
        <v>608</v>
      </c>
      <c r="CZL339" s="42" t="s">
        <v>608</v>
      </c>
      <c r="CZM339" s="42" t="s">
        <v>608</v>
      </c>
      <c r="CZN339" s="42" t="s">
        <v>608</v>
      </c>
      <c r="CZO339" s="42" t="s">
        <v>608</v>
      </c>
      <c r="CZP339" s="42" t="s">
        <v>608</v>
      </c>
      <c r="CZQ339" s="42" t="s">
        <v>608</v>
      </c>
      <c r="CZR339" s="42" t="s">
        <v>608</v>
      </c>
      <c r="CZS339" s="42" t="s">
        <v>608</v>
      </c>
      <c r="CZT339" s="42" t="s">
        <v>608</v>
      </c>
      <c r="CZU339" s="42" t="s">
        <v>608</v>
      </c>
      <c r="CZV339" s="42" t="s">
        <v>608</v>
      </c>
      <c r="CZW339" s="42" t="s">
        <v>608</v>
      </c>
      <c r="CZX339" s="42" t="s">
        <v>608</v>
      </c>
      <c r="CZY339" s="42" t="s">
        <v>608</v>
      </c>
      <c r="CZZ339" s="42" t="s">
        <v>608</v>
      </c>
      <c r="DAA339" s="42" t="s">
        <v>608</v>
      </c>
      <c r="DAB339" s="42" t="s">
        <v>608</v>
      </c>
      <c r="DAC339" s="42" t="s">
        <v>608</v>
      </c>
      <c r="DAD339" s="42" t="s">
        <v>608</v>
      </c>
      <c r="DAE339" s="42" t="s">
        <v>608</v>
      </c>
      <c r="DAF339" s="42" t="s">
        <v>608</v>
      </c>
      <c r="DAG339" s="42" t="s">
        <v>608</v>
      </c>
      <c r="DAH339" s="42" t="s">
        <v>608</v>
      </c>
      <c r="DAI339" s="42" t="s">
        <v>608</v>
      </c>
      <c r="DAJ339" s="42" t="s">
        <v>608</v>
      </c>
      <c r="DAK339" s="42" t="s">
        <v>608</v>
      </c>
      <c r="DAL339" s="42" t="s">
        <v>608</v>
      </c>
      <c r="DAM339" s="42" t="s">
        <v>608</v>
      </c>
      <c r="DAN339" s="42" t="s">
        <v>608</v>
      </c>
      <c r="DAO339" s="42" t="s">
        <v>608</v>
      </c>
      <c r="DAP339" s="42" t="s">
        <v>608</v>
      </c>
      <c r="DAQ339" s="42" t="s">
        <v>608</v>
      </c>
      <c r="DAR339" s="42" t="s">
        <v>608</v>
      </c>
      <c r="DAS339" s="42" t="s">
        <v>608</v>
      </c>
      <c r="DAT339" s="42" t="s">
        <v>608</v>
      </c>
      <c r="DAU339" s="42" t="s">
        <v>608</v>
      </c>
      <c r="DAV339" s="42" t="s">
        <v>608</v>
      </c>
      <c r="DAW339" s="42" t="s">
        <v>608</v>
      </c>
      <c r="DAX339" s="42" t="s">
        <v>608</v>
      </c>
      <c r="DAY339" s="42" t="s">
        <v>608</v>
      </c>
      <c r="DAZ339" s="42" t="s">
        <v>608</v>
      </c>
      <c r="DBA339" s="42" t="s">
        <v>608</v>
      </c>
      <c r="DBB339" s="42" t="s">
        <v>608</v>
      </c>
      <c r="DBC339" s="42" t="s">
        <v>608</v>
      </c>
      <c r="DBD339" s="42" t="s">
        <v>608</v>
      </c>
      <c r="DBE339" s="42" t="s">
        <v>608</v>
      </c>
      <c r="DBF339" s="42" t="s">
        <v>608</v>
      </c>
      <c r="DBG339" s="42" t="s">
        <v>608</v>
      </c>
      <c r="DBH339" s="42" t="s">
        <v>608</v>
      </c>
      <c r="DBI339" s="42" t="s">
        <v>608</v>
      </c>
      <c r="DBJ339" s="42" t="s">
        <v>608</v>
      </c>
      <c r="DBK339" s="42" t="s">
        <v>608</v>
      </c>
      <c r="DBL339" s="42" t="s">
        <v>608</v>
      </c>
      <c r="DBM339" s="42" t="s">
        <v>608</v>
      </c>
      <c r="DBN339" s="42" t="s">
        <v>608</v>
      </c>
      <c r="DBO339" s="42" t="s">
        <v>608</v>
      </c>
      <c r="DBP339" s="42" t="s">
        <v>608</v>
      </c>
      <c r="DBQ339" s="42" t="s">
        <v>608</v>
      </c>
      <c r="DBR339" s="42" t="s">
        <v>608</v>
      </c>
      <c r="DBS339" s="42" t="s">
        <v>608</v>
      </c>
      <c r="DBT339" s="42" t="s">
        <v>608</v>
      </c>
      <c r="DBU339" s="42" t="s">
        <v>608</v>
      </c>
      <c r="DBV339" s="42" t="s">
        <v>608</v>
      </c>
      <c r="DBW339" s="42" t="s">
        <v>608</v>
      </c>
      <c r="DBX339" s="42" t="s">
        <v>608</v>
      </c>
      <c r="DBY339" s="42" t="s">
        <v>608</v>
      </c>
      <c r="DBZ339" s="42" t="s">
        <v>608</v>
      </c>
      <c r="DCA339" s="42" t="s">
        <v>608</v>
      </c>
      <c r="DCB339" s="42" t="s">
        <v>608</v>
      </c>
      <c r="DCC339" s="42" t="s">
        <v>608</v>
      </c>
      <c r="DCD339" s="42" t="s">
        <v>608</v>
      </c>
      <c r="DCE339" s="42" t="s">
        <v>608</v>
      </c>
      <c r="DCF339" s="42" t="s">
        <v>608</v>
      </c>
      <c r="DCG339" s="42" t="s">
        <v>608</v>
      </c>
      <c r="DCH339" s="42" t="s">
        <v>608</v>
      </c>
      <c r="DCI339" s="42" t="s">
        <v>608</v>
      </c>
      <c r="DCJ339" s="42" t="s">
        <v>608</v>
      </c>
      <c r="DCK339" s="42" t="s">
        <v>608</v>
      </c>
      <c r="DCL339" s="42" t="s">
        <v>608</v>
      </c>
      <c r="DCM339" s="42" t="s">
        <v>608</v>
      </c>
      <c r="DCN339" s="42" t="s">
        <v>608</v>
      </c>
      <c r="DCO339" s="42" t="s">
        <v>608</v>
      </c>
      <c r="DCP339" s="42" t="s">
        <v>608</v>
      </c>
      <c r="DCQ339" s="42" t="s">
        <v>608</v>
      </c>
      <c r="DCR339" s="42" t="s">
        <v>608</v>
      </c>
      <c r="DCS339" s="42" t="s">
        <v>608</v>
      </c>
      <c r="DCT339" s="42" t="s">
        <v>608</v>
      </c>
      <c r="DCU339" s="42" t="s">
        <v>608</v>
      </c>
      <c r="DCV339" s="42" t="s">
        <v>608</v>
      </c>
      <c r="DCW339" s="42" t="s">
        <v>608</v>
      </c>
      <c r="DCX339" s="42" t="s">
        <v>608</v>
      </c>
      <c r="DCY339" s="42" t="s">
        <v>608</v>
      </c>
      <c r="DCZ339" s="42" t="s">
        <v>608</v>
      </c>
      <c r="DDA339" s="42" t="s">
        <v>608</v>
      </c>
      <c r="DDB339" s="42" t="s">
        <v>608</v>
      </c>
      <c r="DDC339" s="42" t="s">
        <v>608</v>
      </c>
      <c r="DDD339" s="42" t="s">
        <v>608</v>
      </c>
      <c r="DDE339" s="42" t="s">
        <v>608</v>
      </c>
      <c r="DDF339" s="42" t="s">
        <v>608</v>
      </c>
      <c r="DDG339" s="42" t="s">
        <v>608</v>
      </c>
      <c r="DDH339" s="42" t="s">
        <v>608</v>
      </c>
      <c r="DDI339" s="42" t="s">
        <v>608</v>
      </c>
      <c r="DDJ339" s="42" t="s">
        <v>608</v>
      </c>
      <c r="DDK339" s="42" t="s">
        <v>608</v>
      </c>
      <c r="DDL339" s="42" t="s">
        <v>608</v>
      </c>
      <c r="DDM339" s="42" t="s">
        <v>608</v>
      </c>
      <c r="DDN339" s="42" t="s">
        <v>608</v>
      </c>
      <c r="DDO339" s="42" t="s">
        <v>608</v>
      </c>
      <c r="DDP339" s="42" t="s">
        <v>608</v>
      </c>
      <c r="DDQ339" s="42" t="s">
        <v>608</v>
      </c>
      <c r="DDR339" s="42" t="s">
        <v>608</v>
      </c>
      <c r="DDS339" s="42" t="s">
        <v>608</v>
      </c>
      <c r="DDT339" s="42" t="s">
        <v>608</v>
      </c>
      <c r="DDU339" s="42" t="s">
        <v>608</v>
      </c>
      <c r="DDV339" s="42" t="s">
        <v>608</v>
      </c>
      <c r="DDW339" s="42" t="s">
        <v>608</v>
      </c>
      <c r="DDX339" s="42" t="s">
        <v>608</v>
      </c>
      <c r="DDY339" s="42" t="s">
        <v>608</v>
      </c>
      <c r="DDZ339" s="42" t="s">
        <v>608</v>
      </c>
      <c r="DEA339" s="42" t="s">
        <v>608</v>
      </c>
      <c r="DEB339" s="42" t="s">
        <v>608</v>
      </c>
      <c r="DEC339" s="42" t="s">
        <v>608</v>
      </c>
      <c r="DED339" s="42" t="s">
        <v>608</v>
      </c>
      <c r="DEE339" s="42" t="s">
        <v>608</v>
      </c>
      <c r="DEF339" s="42" t="s">
        <v>608</v>
      </c>
      <c r="DEG339" s="42" t="s">
        <v>608</v>
      </c>
      <c r="DEH339" s="42" t="s">
        <v>608</v>
      </c>
      <c r="DEI339" s="42" t="s">
        <v>608</v>
      </c>
      <c r="DEJ339" s="42" t="s">
        <v>608</v>
      </c>
      <c r="DEK339" s="42" t="s">
        <v>608</v>
      </c>
      <c r="DEL339" s="42" t="s">
        <v>608</v>
      </c>
      <c r="DEM339" s="42" t="s">
        <v>608</v>
      </c>
      <c r="DEN339" s="42" t="s">
        <v>608</v>
      </c>
      <c r="DEO339" s="42" t="s">
        <v>608</v>
      </c>
      <c r="DEP339" s="42" t="s">
        <v>608</v>
      </c>
      <c r="DEQ339" s="42" t="s">
        <v>608</v>
      </c>
      <c r="DER339" s="42" t="s">
        <v>608</v>
      </c>
      <c r="DES339" s="42" t="s">
        <v>608</v>
      </c>
      <c r="DET339" s="42" t="s">
        <v>608</v>
      </c>
      <c r="DEU339" s="42" t="s">
        <v>608</v>
      </c>
      <c r="DEV339" s="42" t="s">
        <v>608</v>
      </c>
      <c r="DEW339" s="42" t="s">
        <v>608</v>
      </c>
      <c r="DEX339" s="42" t="s">
        <v>608</v>
      </c>
      <c r="DEY339" s="42" t="s">
        <v>608</v>
      </c>
      <c r="DEZ339" s="42" t="s">
        <v>608</v>
      </c>
      <c r="DFA339" s="42" t="s">
        <v>608</v>
      </c>
      <c r="DFB339" s="42" t="s">
        <v>608</v>
      </c>
      <c r="DFC339" s="42" t="s">
        <v>608</v>
      </c>
      <c r="DFD339" s="42" t="s">
        <v>608</v>
      </c>
      <c r="DFE339" s="42" t="s">
        <v>608</v>
      </c>
      <c r="DFF339" s="42" t="s">
        <v>608</v>
      </c>
      <c r="DFG339" s="42" t="s">
        <v>608</v>
      </c>
      <c r="DFH339" s="42" t="s">
        <v>608</v>
      </c>
      <c r="DFI339" s="42" t="s">
        <v>608</v>
      </c>
      <c r="DFJ339" s="42" t="s">
        <v>608</v>
      </c>
      <c r="DFK339" s="42" t="s">
        <v>608</v>
      </c>
      <c r="DFL339" s="42" t="s">
        <v>608</v>
      </c>
      <c r="DFM339" s="42" t="s">
        <v>608</v>
      </c>
      <c r="DFN339" s="42" t="s">
        <v>608</v>
      </c>
      <c r="DFO339" s="42" t="s">
        <v>608</v>
      </c>
      <c r="DFP339" s="42" t="s">
        <v>608</v>
      </c>
      <c r="DFQ339" s="42" t="s">
        <v>608</v>
      </c>
      <c r="DFR339" s="42" t="s">
        <v>608</v>
      </c>
      <c r="DFS339" s="42" t="s">
        <v>608</v>
      </c>
      <c r="DFT339" s="42" t="s">
        <v>608</v>
      </c>
      <c r="DFU339" s="42" t="s">
        <v>608</v>
      </c>
      <c r="DFV339" s="42" t="s">
        <v>608</v>
      </c>
      <c r="DFW339" s="42" t="s">
        <v>608</v>
      </c>
      <c r="DFX339" s="42" t="s">
        <v>608</v>
      </c>
      <c r="DFY339" s="42" t="s">
        <v>608</v>
      </c>
      <c r="DFZ339" s="42" t="s">
        <v>608</v>
      </c>
      <c r="DGA339" s="42" t="s">
        <v>608</v>
      </c>
      <c r="DGB339" s="42" t="s">
        <v>608</v>
      </c>
      <c r="DGC339" s="42" t="s">
        <v>608</v>
      </c>
      <c r="DGD339" s="42" t="s">
        <v>608</v>
      </c>
      <c r="DGE339" s="42" t="s">
        <v>608</v>
      </c>
      <c r="DGF339" s="42" t="s">
        <v>608</v>
      </c>
      <c r="DGG339" s="42" t="s">
        <v>608</v>
      </c>
      <c r="DGH339" s="42" t="s">
        <v>608</v>
      </c>
      <c r="DGI339" s="42" t="s">
        <v>608</v>
      </c>
      <c r="DGJ339" s="42" t="s">
        <v>608</v>
      </c>
      <c r="DGK339" s="42" t="s">
        <v>608</v>
      </c>
      <c r="DGL339" s="42" t="s">
        <v>608</v>
      </c>
      <c r="DGM339" s="42" t="s">
        <v>608</v>
      </c>
      <c r="DGN339" s="42" t="s">
        <v>608</v>
      </c>
      <c r="DGO339" s="42" t="s">
        <v>608</v>
      </c>
      <c r="DGP339" s="42" t="s">
        <v>608</v>
      </c>
      <c r="DGQ339" s="42" t="s">
        <v>608</v>
      </c>
      <c r="DGR339" s="42" t="s">
        <v>608</v>
      </c>
      <c r="DGS339" s="42" t="s">
        <v>608</v>
      </c>
      <c r="DGT339" s="42" t="s">
        <v>608</v>
      </c>
      <c r="DGU339" s="42" t="s">
        <v>608</v>
      </c>
      <c r="DGV339" s="42" t="s">
        <v>608</v>
      </c>
      <c r="DGW339" s="42" t="s">
        <v>608</v>
      </c>
      <c r="DGX339" s="42" t="s">
        <v>608</v>
      </c>
      <c r="DGY339" s="42" t="s">
        <v>608</v>
      </c>
      <c r="DGZ339" s="42" t="s">
        <v>608</v>
      </c>
      <c r="DHA339" s="42" t="s">
        <v>608</v>
      </c>
      <c r="DHB339" s="42" t="s">
        <v>608</v>
      </c>
      <c r="DHC339" s="42" t="s">
        <v>608</v>
      </c>
      <c r="DHD339" s="42" t="s">
        <v>608</v>
      </c>
      <c r="DHE339" s="42" t="s">
        <v>608</v>
      </c>
      <c r="DHF339" s="42" t="s">
        <v>608</v>
      </c>
      <c r="DHG339" s="42" t="s">
        <v>608</v>
      </c>
      <c r="DHH339" s="42" t="s">
        <v>608</v>
      </c>
      <c r="DHI339" s="42" t="s">
        <v>608</v>
      </c>
      <c r="DHJ339" s="42" t="s">
        <v>608</v>
      </c>
      <c r="DHK339" s="42" t="s">
        <v>608</v>
      </c>
      <c r="DHL339" s="42" t="s">
        <v>608</v>
      </c>
      <c r="DHM339" s="42" t="s">
        <v>608</v>
      </c>
      <c r="DHN339" s="42" t="s">
        <v>608</v>
      </c>
      <c r="DHO339" s="42" t="s">
        <v>608</v>
      </c>
      <c r="DHP339" s="42" t="s">
        <v>608</v>
      </c>
      <c r="DHQ339" s="42" t="s">
        <v>608</v>
      </c>
      <c r="DHR339" s="42" t="s">
        <v>608</v>
      </c>
      <c r="DHS339" s="42" t="s">
        <v>608</v>
      </c>
      <c r="DHT339" s="42" t="s">
        <v>608</v>
      </c>
      <c r="DHU339" s="42" t="s">
        <v>608</v>
      </c>
      <c r="DHV339" s="42" t="s">
        <v>608</v>
      </c>
      <c r="DHW339" s="42" t="s">
        <v>608</v>
      </c>
      <c r="DHX339" s="42" t="s">
        <v>608</v>
      </c>
      <c r="DHY339" s="42" t="s">
        <v>608</v>
      </c>
      <c r="DHZ339" s="42" t="s">
        <v>608</v>
      </c>
      <c r="DIA339" s="42" t="s">
        <v>608</v>
      </c>
      <c r="DIB339" s="42" t="s">
        <v>608</v>
      </c>
      <c r="DIC339" s="42" t="s">
        <v>608</v>
      </c>
      <c r="DID339" s="42" t="s">
        <v>608</v>
      </c>
      <c r="DIE339" s="42" t="s">
        <v>608</v>
      </c>
      <c r="DIF339" s="42" t="s">
        <v>608</v>
      </c>
      <c r="DIG339" s="42" t="s">
        <v>608</v>
      </c>
      <c r="DIH339" s="42" t="s">
        <v>608</v>
      </c>
      <c r="DII339" s="42" t="s">
        <v>608</v>
      </c>
      <c r="DIJ339" s="42" t="s">
        <v>608</v>
      </c>
      <c r="DIK339" s="42" t="s">
        <v>608</v>
      </c>
      <c r="DIL339" s="42" t="s">
        <v>608</v>
      </c>
      <c r="DIM339" s="42" t="s">
        <v>608</v>
      </c>
      <c r="DIN339" s="42" t="s">
        <v>608</v>
      </c>
      <c r="DIO339" s="42" t="s">
        <v>608</v>
      </c>
      <c r="DIP339" s="42" t="s">
        <v>608</v>
      </c>
      <c r="DIQ339" s="42" t="s">
        <v>608</v>
      </c>
      <c r="DIR339" s="42" t="s">
        <v>608</v>
      </c>
      <c r="DIS339" s="42" t="s">
        <v>608</v>
      </c>
      <c r="DIT339" s="42" t="s">
        <v>608</v>
      </c>
      <c r="DIU339" s="42" t="s">
        <v>608</v>
      </c>
      <c r="DIV339" s="42" t="s">
        <v>608</v>
      </c>
      <c r="DIW339" s="42" t="s">
        <v>608</v>
      </c>
      <c r="DIX339" s="42" t="s">
        <v>608</v>
      </c>
      <c r="DIY339" s="42" t="s">
        <v>608</v>
      </c>
      <c r="DIZ339" s="42" t="s">
        <v>608</v>
      </c>
      <c r="DJA339" s="42" t="s">
        <v>608</v>
      </c>
      <c r="DJB339" s="42" t="s">
        <v>608</v>
      </c>
      <c r="DJC339" s="42" t="s">
        <v>608</v>
      </c>
      <c r="DJD339" s="42" t="s">
        <v>608</v>
      </c>
      <c r="DJE339" s="42" t="s">
        <v>608</v>
      </c>
      <c r="DJF339" s="42" t="s">
        <v>608</v>
      </c>
      <c r="DJG339" s="42" t="s">
        <v>608</v>
      </c>
      <c r="DJH339" s="42" t="s">
        <v>608</v>
      </c>
      <c r="DJI339" s="42" t="s">
        <v>608</v>
      </c>
      <c r="DJJ339" s="42" t="s">
        <v>608</v>
      </c>
      <c r="DJK339" s="42" t="s">
        <v>608</v>
      </c>
      <c r="DJL339" s="42" t="s">
        <v>608</v>
      </c>
      <c r="DJM339" s="42" t="s">
        <v>608</v>
      </c>
      <c r="DJN339" s="42" t="s">
        <v>608</v>
      </c>
      <c r="DJO339" s="42" t="s">
        <v>608</v>
      </c>
      <c r="DJP339" s="42" t="s">
        <v>608</v>
      </c>
      <c r="DJQ339" s="42" t="s">
        <v>608</v>
      </c>
      <c r="DJR339" s="42" t="s">
        <v>608</v>
      </c>
      <c r="DJS339" s="42" t="s">
        <v>608</v>
      </c>
      <c r="DJT339" s="42" t="s">
        <v>608</v>
      </c>
      <c r="DJU339" s="42" t="s">
        <v>608</v>
      </c>
      <c r="DJV339" s="42" t="s">
        <v>608</v>
      </c>
      <c r="DJW339" s="42" t="s">
        <v>608</v>
      </c>
      <c r="DJX339" s="42" t="s">
        <v>608</v>
      </c>
      <c r="DJY339" s="42" t="s">
        <v>608</v>
      </c>
      <c r="DJZ339" s="42" t="s">
        <v>608</v>
      </c>
      <c r="DKA339" s="42" t="s">
        <v>608</v>
      </c>
      <c r="DKB339" s="42" t="s">
        <v>608</v>
      </c>
      <c r="DKC339" s="42" t="s">
        <v>608</v>
      </c>
      <c r="DKD339" s="42" t="s">
        <v>608</v>
      </c>
      <c r="DKE339" s="42" t="s">
        <v>608</v>
      </c>
      <c r="DKF339" s="42" t="s">
        <v>608</v>
      </c>
      <c r="DKG339" s="42" t="s">
        <v>608</v>
      </c>
      <c r="DKH339" s="42" t="s">
        <v>608</v>
      </c>
      <c r="DKI339" s="42" t="s">
        <v>608</v>
      </c>
      <c r="DKJ339" s="42" t="s">
        <v>608</v>
      </c>
      <c r="DKK339" s="42" t="s">
        <v>608</v>
      </c>
      <c r="DKL339" s="42" t="s">
        <v>608</v>
      </c>
      <c r="DKM339" s="42" t="s">
        <v>608</v>
      </c>
      <c r="DKN339" s="42" t="s">
        <v>608</v>
      </c>
      <c r="DKO339" s="42" t="s">
        <v>608</v>
      </c>
      <c r="DKP339" s="42" t="s">
        <v>608</v>
      </c>
      <c r="DKQ339" s="42" t="s">
        <v>608</v>
      </c>
      <c r="DKR339" s="42" t="s">
        <v>608</v>
      </c>
      <c r="DKS339" s="42" t="s">
        <v>608</v>
      </c>
      <c r="DKT339" s="42" t="s">
        <v>608</v>
      </c>
      <c r="DKU339" s="42" t="s">
        <v>608</v>
      </c>
      <c r="DKV339" s="42" t="s">
        <v>608</v>
      </c>
      <c r="DKW339" s="42" t="s">
        <v>608</v>
      </c>
      <c r="DKX339" s="42" t="s">
        <v>608</v>
      </c>
      <c r="DKY339" s="42" t="s">
        <v>608</v>
      </c>
      <c r="DKZ339" s="42" t="s">
        <v>608</v>
      </c>
      <c r="DLA339" s="42" t="s">
        <v>608</v>
      </c>
      <c r="DLB339" s="42" t="s">
        <v>608</v>
      </c>
      <c r="DLC339" s="42" t="s">
        <v>608</v>
      </c>
      <c r="DLD339" s="42" t="s">
        <v>608</v>
      </c>
      <c r="DLE339" s="42" t="s">
        <v>608</v>
      </c>
      <c r="DLF339" s="42" t="s">
        <v>608</v>
      </c>
      <c r="DLG339" s="42" t="s">
        <v>608</v>
      </c>
      <c r="DLH339" s="42" t="s">
        <v>608</v>
      </c>
      <c r="DLI339" s="42" t="s">
        <v>608</v>
      </c>
      <c r="DLJ339" s="42" t="s">
        <v>608</v>
      </c>
      <c r="DLK339" s="42" t="s">
        <v>608</v>
      </c>
      <c r="DLL339" s="42" t="s">
        <v>608</v>
      </c>
      <c r="DLM339" s="42" t="s">
        <v>608</v>
      </c>
      <c r="DLN339" s="42" t="s">
        <v>608</v>
      </c>
      <c r="DLO339" s="42" t="s">
        <v>608</v>
      </c>
      <c r="DLP339" s="42" t="s">
        <v>608</v>
      </c>
      <c r="DLQ339" s="42" t="s">
        <v>608</v>
      </c>
      <c r="DLR339" s="42" t="s">
        <v>608</v>
      </c>
      <c r="DLS339" s="42" t="s">
        <v>608</v>
      </c>
      <c r="DLT339" s="42" t="s">
        <v>608</v>
      </c>
      <c r="DLU339" s="42" t="s">
        <v>608</v>
      </c>
      <c r="DLV339" s="42" t="s">
        <v>608</v>
      </c>
      <c r="DLW339" s="42" t="s">
        <v>608</v>
      </c>
      <c r="DLX339" s="42" t="s">
        <v>608</v>
      </c>
      <c r="DLY339" s="42" t="s">
        <v>608</v>
      </c>
      <c r="DLZ339" s="42" t="s">
        <v>608</v>
      </c>
      <c r="DMA339" s="42" t="s">
        <v>608</v>
      </c>
      <c r="DMB339" s="42" t="s">
        <v>608</v>
      </c>
      <c r="DMC339" s="42" t="s">
        <v>608</v>
      </c>
      <c r="DMD339" s="42" t="s">
        <v>608</v>
      </c>
      <c r="DME339" s="42" t="s">
        <v>608</v>
      </c>
      <c r="DMF339" s="42" t="s">
        <v>608</v>
      </c>
      <c r="DMG339" s="42" t="s">
        <v>608</v>
      </c>
      <c r="DMH339" s="42" t="s">
        <v>608</v>
      </c>
      <c r="DMI339" s="42" t="s">
        <v>608</v>
      </c>
      <c r="DMJ339" s="42" t="s">
        <v>608</v>
      </c>
      <c r="DMK339" s="42" t="s">
        <v>608</v>
      </c>
      <c r="DML339" s="42" t="s">
        <v>608</v>
      </c>
      <c r="DMM339" s="42" t="s">
        <v>608</v>
      </c>
      <c r="DMN339" s="42" t="s">
        <v>608</v>
      </c>
      <c r="DMO339" s="42" t="s">
        <v>608</v>
      </c>
      <c r="DMP339" s="42" t="s">
        <v>608</v>
      </c>
      <c r="DMQ339" s="42" t="s">
        <v>608</v>
      </c>
      <c r="DMR339" s="42" t="s">
        <v>608</v>
      </c>
      <c r="DMS339" s="42" t="s">
        <v>608</v>
      </c>
      <c r="DMT339" s="42" t="s">
        <v>608</v>
      </c>
      <c r="DMU339" s="42" t="s">
        <v>608</v>
      </c>
      <c r="DMV339" s="42" t="s">
        <v>608</v>
      </c>
      <c r="DMW339" s="42" t="s">
        <v>608</v>
      </c>
      <c r="DMX339" s="42" t="s">
        <v>608</v>
      </c>
      <c r="DMY339" s="42" t="s">
        <v>608</v>
      </c>
      <c r="DMZ339" s="42" t="s">
        <v>608</v>
      </c>
      <c r="DNA339" s="42" t="s">
        <v>608</v>
      </c>
      <c r="DNB339" s="42" t="s">
        <v>608</v>
      </c>
      <c r="DNC339" s="42" t="s">
        <v>608</v>
      </c>
      <c r="DND339" s="42" t="s">
        <v>608</v>
      </c>
      <c r="DNE339" s="42" t="s">
        <v>608</v>
      </c>
      <c r="DNF339" s="42" t="s">
        <v>608</v>
      </c>
      <c r="DNG339" s="42" t="s">
        <v>608</v>
      </c>
      <c r="DNH339" s="42" t="s">
        <v>608</v>
      </c>
      <c r="DNI339" s="42" t="s">
        <v>608</v>
      </c>
      <c r="DNJ339" s="42" t="s">
        <v>608</v>
      </c>
      <c r="DNK339" s="42" t="s">
        <v>608</v>
      </c>
      <c r="DNL339" s="42" t="s">
        <v>608</v>
      </c>
      <c r="DNM339" s="42" t="s">
        <v>608</v>
      </c>
      <c r="DNN339" s="42" t="s">
        <v>608</v>
      </c>
      <c r="DNO339" s="42" t="s">
        <v>608</v>
      </c>
      <c r="DNP339" s="42" t="s">
        <v>608</v>
      </c>
      <c r="DNQ339" s="42" t="s">
        <v>608</v>
      </c>
      <c r="DNR339" s="42" t="s">
        <v>608</v>
      </c>
      <c r="DNS339" s="42" t="s">
        <v>608</v>
      </c>
      <c r="DNT339" s="42" t="s">
        <v>608</v>
      </c>
      <c r="DNU339" s="42" t="s">
        <v>608</v>
      </c>
      <c r="DNV339" s="42" t="s">
        <v>608</v>
      </c>
      <c r="DNW339" s="42" t="s">
        <v>608</v>
      </c>
      <c r="DNX339" s="42" t="s">
        <v>608</v>
      </c>
      <c r="DNY339" s="42" t="s">
        <v>608</v>
      </c>
      <c r="DNZ339" s="42" t="s">
        <v>608</v>
      </c>
      <c r="DOA339" s="42" t="s">
        <v>608</v>
      </c>
      <c r="DOB339" s="42" t="s">
        <v>608</v>
      </c>
      <c r="DOC339" s="42" t="s">
        <v>608</v>
      </c>
      <c r="DOD339" s="42" t="s">
        <v>608</v>
      </c>
      <c r="DOE339" s="42" t="s">
        <v>608</v>
      </c>
      <c r="DOF339" s="42" t="s">
        <v>608</v>
      </c>
      <c r="DOG339" s="42" t="s">
        <v>608</v>
      </c>
      <c r="DOH339" s="42" t="s">
        <v>608</v>
      </c>
      <c r="DOI339" s="42" t="s">
        <v>608</v>
      </c>
      <c r="DOJ339" s="42" t="s">
        <v>608</v>
      </c>
      <c r="DOK339" s="42" t="s">
        <v>608</v>
      </c>
      <c r="DOL339" s="42" t="s">
        <v>608</v>
      </c>
      <c r="DOM339" s="42" t="s">
        <v>608</v>
      </c>
      <c r="DON339" s="42" t="s">
        <v>608</v>
      </c>
      <c r="DOO339" s="42" t="s">
        <v>608</v>
      </c>
      <c r="DOP339" s="42" t="s">
        <v>608</v>
      </c>
      <c r="DOQ339" s="42" t="s">
        <v>608</v>
      </c>
      <c r="DOR339" s="42" t="s">
        <v>608</v>
      </c>
      <c r="DOS339" s="42" t="s">
        <v>608</v>
      </c>
      <c r="DOT339" s="42" t="s">
        <v>608</v>
      </c>
      <c r="DOU339" s="42" t="s">
        <v>608</v>
      </c>
      <c r="DOV339" s="42" t="s">
        <v>608</v>
      </c>
      <c r="DOW339" s="42" t="s">
        <v>608</v>
      </c>
      <c r="DOX339" s="42" t="s">
        <v>608</v>
      </c>
      <c r="DOY339" s="42" t="s">
        <v>608</v>
      </c>
      <c r="DOZ339" s="42" t="s">
        <v>608</v>
      </c>
      <c r="DPA339" s="42" t="s">
        <v>608</v>
      </c>
      <c r="DPB339" s="42" t="s">
        <v>608</v>
      </c>
      <c r="DPC339" s="42" t="s">
        <v>608</v>
      </c>
      <c r="DPD339" s="42" t="s">
        <v>608</v>
      </c>
      <c r="DPE339" s="42" t="s">
        <v>608</v>
      </c>
      <c r="DPF339" s="42" t="s">
        <v>608</v>
      </c>
      <c r="DPG339" s="42" t="s">
        <v>608</v>
      </c>
      <c r="DPH339" s="42" t="s">
        <v>608</v>
      </c>
      <c r="DPI339" s="42" t="s">
        <v>608</v>
      </c>
      <c r="DPJ339" s="42" t="s">
        <v>608</v>
      </c>
      <c r="DPK339" s="42" t="s">
        <v>608</v>
      </c>
      <c r="DPL339" s="42" t="s">
        <v>608</v>
      </c>
      <c r="DPM339" s="42" t="s">
        <v>608</v>
      </c>
      <c r="DPN339" s="42" t="s">
        <v>608</v>
      </c>
      <c r="DPO339" s="42" t="s">
        <v>608</v>
      </c>
      <c r="DPP339" s="42" t="s">
        <v>608</v>
      </c>
      <c r="DPQ339" s="42" t="s">
        <v>608</v>
      </c>
      <c r="DPR339" s="42" t="s">
        <v>608</v>
      </c>
      <c r="DPS339" s="42" t="s">
        <v>608</v>
      </c>
      <c r="DPT339" s="42" t="s">
        <v>608</v>
      </c>
      <c r="DPU339" s="42" t="s">
        <v>608</v>
      </c>
      <c r="DPV339" s="42" t="s">
        <v>608</v>
      </c>
      <c r="DPW339" s="42" t="s">
        <v>608</v>
      </c>
      <c r="DPX339" s="42" t="s">
        <v>608</v>
      </c>
      <c r="DPY339" s="42" t="s">
        <v>608</v>
      </c>
      <c r="DPZ339" s="42" t="s">
        <v>608</v>
      </c>
      <c r="DQA339" s="42" t="s">
        <v>608</v>
      </c>
      <c r="DQB339" s="42" t="s">
        <v>608</v>
      </c>
      <c r="DQC339" s="42" t="s">
        <v>608</v>
      </c>
      <c r="DQD339" s="42" t="s">
        <v>608</v>
      </c>
      <c r="DQE339" s="42" t="s">
        <v>608</v>
      </c>
      <c r="DQF339" s="42" t="s">
        <v>608</v>
      </c>
      <c r="DQG339" s="42" t="s">
        <v>608</v>
      </c>
      <c r="DQH339" s="42" t="s">
        <v>608</v>
      </c>
      <c r="DQI339" s="42" t="s">
        <v>608</v>
      </c>
      <c r="DQJ339" s="42" t="s">
        <v>608</v>
      </c>
      <c r="DQK339" s="42" t="s">
        <v>608</v>
      </c>
      <c r="DQL339" s="42" t="s">
        <v>608</v>
      </c>
      <c r="DQM339" s="42" t="s">
        <v>608</v>
      </c>
      <c r="DQN339" s="42" t="s">
        <v>608</v>
      </c>
      <c r="DQO339" s="42" t="s">
        <v>608</v>
      </c>
      <c r="DQP339" s="42" t="s">
        <v>608</v>
      </c>
      <c r="DQQ339" s="42" t="s">
        <v>608</v>
      </c>
      <c r="DQR339" s="42" t="s">
        <v>608</v>
      </c>
      <c r="DQS339" s="42" t="s">
        <v>608</v>
      </c>
      <c r="DQT339" s="42" t="s">
        <v>608</v>
      </c>
      <c r="DQU339" s="42" t="s">
        <v>608</v>
      </c>
      <c r="DQV339" s="42" t="s">
        <v>608</v>
      </c>
      <c r="DQW339" s="42" t="s">
        <v>608</v>
      </c>
      <c r="DQX339" s="42" t="s">
        <v>608</v>
      </c>
      <c r="DQY339" s="42" t="s">
        <v>608</v>
      </c>
      <c r="DQZ339" s="42" t="s">
        <v>608</v>
      </c>
      <c r="DRA339" s="42" t="s">
        <v>608</v>
      </c>
      <c r="DRB339" s="42" t="s">
        <v>608</v>
      </c>
      <c r="DRC339" s="42" t="s">
        <v>608</v>
      </c>
      <c r="DRD339" s="42" t="s">
        <v>608</v>
      </c>
      <c r="DRE339" s="42" t="s">
        <v>608</v>
      </c>
      <c r="DRF339" s="42" t="s">
        <v>608</v>
      </c>
      <c r="DRG339" s="42" t="s">
        <v>608</v>
      </c>
      <c r="DRH339" s="42" t="s">
        <v>608</v>
      </c>
      <c r="DRI339" s="42" t="s">
        <v>608</v>
      </c>
      <c r="DRJ339" s="42" t="s">
        <v>608</v>
      </c>
      <c r="DRK339" s="42" t="s">
        <v>608</v>
      </c>
      <c r="DRL339" s="42" t="s">
        <v>608</v>
      </c>
      <c r="DRM339" s="42" t="s">
        <v>608</v>
      </c>
      <c r="DRN339" s="42" t="s">
        <v>608</v>
      </c>
      <c r="DRO339" s="42" t="s">
        <v>608</v>
      </c>
      <c r="DRP339" s="42" t="s">
        <v>608</v>
      </c>
      <c r="DRQ339" s="42" t="s">
        <v>608</v>
      </c>
      <c r="DRR339" s="42" t="s">
        <v>608</v>
      </c>
      <c r="DRS339" s="42" t="s">
        <v>608</v>
      </c>
      <c r="DRT339" s="42" t="s">
        <v>608</v>
      </c>
      <c r="DRU339" s="42" t="s">
        <v>608</v>
      </c>
      <c r="DRV339" s="42" t="s">
        <v>608</v>
      </c>
      <c r="DRW339" s="42" t="s">
        <v>608</v>
      </c>
      <c r="DRX339" s="42" t="s">
        <v>608</v>
      </c>
      <c r="DRY339" s="42" t="s">
        <v>608</v>
      </c>
      <c r="DRZ339" s="42" t="s">
        <v>608</v>
      </c>
      <c r="DSA339" s="42" t="s">
        <v>608</v>
      </c>
      <c r="DSB339" s="42" t="s">
        <v>608</v>
      </c>
      <c r="DSC339" s="42" t="s">
        <v>608</v>
      </c>
      <c r="DSD339" s="42" t="s">
        <v>608</v>
      </c>
      <c r="DSE339" s="42" t="s">
        <v>608</v>
      </c>
      <c r="DSF339" s="42" t="s">
        <v>608</v>
      </c>
      <c r="DSG339" s="42" t="s">
        <v>608</v>
      </c>
      <c r="DSH339" s="42" t="s">
        <v>608</v>
      </c>
      <c r="DSI339" s="42" t="s">
        <v>608</v>
      </c>
      <c r="DSJ339" s="42" t="s">
        <v>608</v>
      </c>
      <c r="DSK339" s="42" t="s">
        <v>608</v>
      </c>
      <c r="DSL339" s="42" t="s">
        <v>608</v>
      </c>
      <c r="DSM339" s="42" t="s">
        <v>608</v>
      </c>
      <c r="DSN339" s="42" t="s">
        <v>608</v>
      </c>
      <c r="DSO339" s="42" t="s">
        <v>608</v>
      </c>
      <c r="DSP339" s="42" t="s">
        <v>608</v>
      </c>
      <c r="DSQ339" s="42" t="s">
        <v>608</v>
      </c>
      <c r="DSR339" s="42" t="s">
        <v>608</v>
      </c>
      <c r="DSS339" s="42" t="s">
        <v>608</v>
      </c>
      <c r="DST339" s="42" t="s">
        <v>608</v>
      </c>
      <c r="DSU339" s="42" t="s">
        <v>608</v>
      </c>
      <c r="DSV339" s="42" t="s">
        <v>608</v>
      </c>
      <c r="DSW339" s="42" t="s">
        <v>608</v>
      </c>
      <c r="DSX339" s="42" t="s">
        <v>608</v>
      </c>
      <c r="DSY339" s="42" t="s">
        <v>608</v>
      </c>
      <c r="DSZ339" s="42" t="s">
        <v>608</v>
      </c>
      <c r="DTA339" s="42" t="s">
        <v>608</v>
      </c>
      <c r="DTB339" s="42" t="s">
        <v>608</v>
      </c>
      <c r="DTC339" s="42" t="s">
        <v>608</v>
      </c>
      <c r="DTD339" s="42" t="s">
        <v>608</v>
      </c>
      <c r="DTE339" s="42" t="s">
        <v>608</v>
      </c>
      <c r="DTF339" s="42" t="s">
        <v>608</v>
      </c>
      <c r="DTG339" s="42" t="s">
        <v>608</v>
      </c>
      <c r="DTH339" s="42" t="s">
        <v>608</v>
      </c>
      <c r="DTI339" s="42" t="s">
        <v>608</v>
      </c>
      <c r="DTJ339" s="42" t="s">
        <v>608</v>
      </c>
      <c r="DTK339" s="42" t="s">
        <v>608</v>
      </c>
      <c r="DTL339" s="42" t="s">
        <v>608</v>
      </c>
      <c r="DTM339" s="42" t="s">
        <v>608</v>
      </c>
      <c r="DTN339" s="42" t="s">
        <v>608</v>
      </c>
      <c r="DTO339" s="42" t="s">
        <v>608</v>
      </c>
      <c r="DTP339" s="42" t="s">
        <v>608</v>
      </c>
      <c r="DTQ339" s="42" t="s">
        <v>608</v>
      </c>
      <c r="DTR339" s="42" t="s">
        <v>608</v>
      </c>
      <c r="DTS339" s="42" t="s">
        <v>608</v>
      </c>
      <c r="DTT339" s="42" t="s">
        <v>608</v>
      </c>
      <c r="DTU339" s="42" t="s">
        <v>608</v>
      </c>
      <c r="DTV339" s="42" t="s">
        <v>608</v>
      </c>
      <c r="DTW339" s="42" t="s">
        <v>608</v>
      </c>
      <c r="DTX339" s="42" t="s">
        <v>608</v>
      </c>
      <c r="DTY339" s="42" t="s">
        <v>608</v>
      </c>
      <c r="DTZ339" s="42" t="s">
        <v>608</v>
      </c>
      <c r="DUA339" s="42" t="s">
        <v>608</v>
      </c>
      <c r="DUB339" s="42" t="s">
        <v>608</v>
      </c>
      <c r="DUC339" s="42" t="s">
        <v>608</v>
      </c>
      <c r="DUD339" s="42" t="s">
        <v>608</v>
      </c>
      <c r="DUE339" s="42" t="s">
        <v>608</v>
      </c>
      <c r="DUF339" s="42" t="s">
        <v>608</v>
      </c>
      <c r="DUG339" s="42" t="s">
        <v>608</v>
      </c>
      <c r="DUH339" s="42" t="s">
        <v>608</v>
      </c>
      <c r="DUI339" s="42" t="s">
        <v>608</v>
      </c>
      <c r="DUJ339" s="42" t="s">
        <v>608</v>
      </c>
      <c r="DUK339" s="42" t="s">
        <v>608</v>
      </c>
      <c r="DUL339" s="42" t="s">
        <v>608</v>
      </c>
      <c r="DUM339" s="42" t="s">
        <v>608</v>
      </c>
      <c r="DUN339" s="42" t="s">
        <v>608</v>
      </c>
      <c r="DUO339" s="42" t="s">
        <v>608</v>
      </c>
      <c r="DUP339" s="42" t="s">
        <v>608</v>
      </c>
      <c r="DUQ339" s="42" t="s">
        <v>608</v>
      </c>
      <c r="DUR339" s="42" t="s">
        <v>608</v>
      </c>
      <c r="DUS339" s="42" t="s">
        <v>608</v>
      </c>
      <c r="DUT339" s="42" t="s">
        <v>608</v>
      </c>
      <c r="DUU339" s="42" t="s">
        <v>608</v>
      </c>
      <c r="DUV339" s="42" t="s">
        <v>608</v>
      </c>
      <c r="DUW339" s="42" t="s">
        <v>608</v>
      </c>
      <c r="DUX339" s="42" t="s">
        <v>608</v>
      </c>
      <c r="DUY339" s="42" t="s">
        <v>608</v>
      </c>
      <c r="DUZ339" s="42" t="s">
        <v>608</v>
      </c>
      <c r="DVA339" s="42" t="s">
        <v>608</v>
      </c>
      <c r="DVB339" s="42" t="s">
        <v>608</v>
      </c>
      <c r="DVC339" s="42" t="s">
        <v>608</v>
      </c>
      <c r="DVD339" s="42" t="s">
        <v>608</v>
      </c>
      <c r="DVE339" s="42" t="s">
        <v>608</v>
      </c>
      <c r="DVF339" s="42" t="s">
        <v>608</v>
      </c>
      <c r="DVG339" s="42" t="s">
        <v>608</v>
      </c>
      <c r="DVH339" s="42" t="s">
        <v>608</v>
      </c>
      <c r="DVI339" s="42" t="s">
        <v>608</v>
      </c>
      <c r="DVJ339" s="42" t="s">
        <v>608</v>
      </c>
      <c r="DVK339" s="42" t="s">
        <v>608</v>
      </c>
      <c r="DVL339" s="42" t="s">
        <v>608</v>
      </c>
      <c r="DVM339" s="42" t="s">
        <v>608</v>
      </c>
      <c r="DVN339" s="42" t="s">
        <v>608</v>
      </c>
      <c r="DVO339" s="42" t="s">
        <v>608</v>
      </c>
      <c r="DVP339" s="42" t="s">
        <v>608</v>
      </c>
      <c r="DVQ339" s="42" t="s">
        <v>608</v>
      </c>
      <c r="DVR339" s="42" t="s">
        <v>608</v>
      </c>
      <c r="DVS339" s="42" t="s">
        <v>608</v>
      </c>
      <c r="DVT339" s="42" t="s">
        <v>608</v>
      </c>
      <c r="DVU339" s="42" t="s">
        <v>608</v>
      </c>
      <c r="DVV339" s="42" t="s">
        <v>608</v>
      </c>
      <c r="DVW339" s="42" t="s">
        <v>608</v>
      </c>
      <c r="DVX339" s="42" t="s">
        <v>608</v>
      </c>
      <c r="DVY339" s="42" t="s">
        <v>608</v>
      </c>
      <c r="DVZ339" s="42" t="s">
        <v>608</v>
      </c>
      <c r="DWA339" s="42" t="s">
        <v>608</v>
      </c>
      <c r="DWB339" s="42" t="s">
        <v>608</v>
      </c>
      <c r="DWC339" s="42" t="s">
        <v>608</v>
      </c>
      <c r="DWD339" s="42" t="s">
        <v>608</v>
      </c>
      <c r="DWE339" s="42" t="s">
        <v>608</v>
      </c>
      <c r="DWF339" s="42" t="s">
        <v>608</v>
      </c>
      <c r="DWG339" s="42" t="s">
        <v>608</v>
      </c>
      <c r="DWH339" s="42" t="s">
        <v>608</v>
      </c>
      <c r="DWI339" s="42" t="s">
        <v>608</v>
      </c>
      <c r="DWJ339" s="42" t="s">
        <v>608</v>
      </c>
      <c r="DWK339" s="42" t="s">
        <v>608</v>
      </c>
      <c r="DWL339" s="42" t="s">
        <v>608</v>
      </c>
      <c r="DWM339" s="42" t="s">
        <v>608</v>
      </c>
      <c r="DWN339" s="42" t="s">
        <v>608</v>
      </c>
      <c r="DWO339" s="42" t="s">
        <v>608</v>
      </c>
      <c r="DWP339" s="42" t="s">
        <v>608</v>
      </c>
      <c r="DWQ339" s="42" t="s">
        <v>608</v>
      </c>
      <c r="DWR339" s="42" t="s">
        <v>608</v>
      </c>
      <c r="DWS339" s="42" t="s">
        <v>608</v>
      </c>
      <c r="DWT339" s="42" t="s">
        <v>608</v>
      </c>
      <c r="DWU339" s="42" t="s">
        <v>608</v>
      </c>
      <c r="DWV339" s="42" t="s">
        <v>608</v>
      </c>
      <c r="DWW339" s="42" t="s">
        <v>608</v>
      </c>
      <c r="DWX339" s="42" t="s">
        <v>608</v>
      </c>
      <c r="DWY339" s="42" t="s">
        <v>608</v>
      </c>
      <c r="DWZ339" s="42" t="s">
        <v>608</v>
      </c>
      <c r="DXA339" s="42" t="s">
        <v>608</v>
      </c>
      <c r="DXB339" s="42" t="s">
        <v>608</v>
      </c>
      <c r="DXC339" s="42" t="s">
        <v>608</v>
      </c>
      <c r="DXD339" s="42" t="s">
        <v>608</v>
      </c>
      <c r="DXE339" s="42" t="s">
        <v>608</v>
      </c>
      <c r="DXF339" s="42" t="s">
        <v>608</v>
      </c>
      <c r="DXG339" s="42" t="s">
        <v>608</v>
      </c>
      <c r="DXH339" s="42" t="s">
        <v>608</v>
      </c>
      <c r="DXI339" s="42" t="s">
        <v>608</v>
      </c>
      <c r="DXJ339" s="42" t="s">
        <v>608</v>
      </c>
      <c r="DXK339" s="42" t="s">
        <v>608</v>
      </c>
      <c r="DXL339" s="42" t="s">
        <v>608</v>
      </c>
      <c r="DXM339" s="42" t="s">
        <v>608</v>
      </c>
      <c r="DXN339" s="42" t="s">
        <v>608</v>
      </c>
      <c r="DXO339" s="42" t="s">
        <v>608</v>
      </c>
      <c r="DXP339" s="42" t="s">
        <v>608</v>
      </c>
      <c r="DXQ339" s="42" t="s">
        <v>608</v>
      </c>
      <c r="DXR339" s="42" t="s">
        <v>608</v>
      </c>
      <c r="DXS339" s="42" t="s">
        <v>608</v>
      </c>
      <c r="DXT339" s="42" t="s">
        <v>608</v>
      </c>
      <c r="DXU339" s="42" t="s">
        <v>608</v>
      </c>
      <c r="DXV339" s="42" t="s">
        <v>608</v>
      </c>
      <c r="DXW339" s="42" t="s">
        <v>608</v>
      </c>
      <c r="DXX339" s="42" t="s">
        <v>608</v>
      </c>
      <c r="DXY339" s="42" t="s">
        <v>608</v>
      </c>
      <c r="DXZ339" s="42" t="s">
        <v>608</v>
      </c>
      <c r="DYA339" s="42" t="s">
        <v>608</v>
      </c>
      <c r="DYB339" s="42" t="s">
        <v>608</v>
      </c>
      <c r="DYC339" s="42" t="s">
        <v>608</v>
      </c>
      <c r="DYD339" s="42" t="s">
        <v>608</v>
      </c>
      <c r="DYE339" s="42" t="s">
        <v>608</v>
      </c>
      <c r="DYF339" s="42" t="s">
        <v>608</v>
      </c>
      <c r="DYG339" s="42" t="s">
        <v>608</v>
      </c>
      <c r="DYH339" s="42" t="s">
        <v>608</v>
      </c>
      <c r="DYI339" s="42" t="s">
        <v>608</v>
      </c>
      <c r="DYJ339" s="42" t="s">
        <v>608</v>
      </c>
      <c r="DYK339" s="42" t="s">
        <v>608</v>
      </c>
      <c r="DYL339" s="42" t="s">
        <v>608</v>
      </c>
      <c r="DYM339" s="42" t="s">
        <v>608</v>
      </c>
      <c r="DYN339" s="42" t="s">
        <v>608</v>
      </c>
      <c r="DYO339" s="42" t="s">
        <v>608</v>
      </c>
      <c r="DYP339" s="42" t="s">
        <v>608</v>
      </c>
      <c r="DYQ339" s="42" t="s">
        <v>608</v>
      </c>
      <c r="DYR339" s="42" t="s">
        <v>608</v>
      </c>
      <c r="DYS339" s="42" t="s">
        <v>608</v>
      </c>
      <c r="DYT339" s="42" t="s">
        <v>608</v>
      </c>
      <c r="DYU339" s="42" t="s">
        <v>608</v>
      </c>
      <c r="DYV339" s="42" t="s">
        <v>608</v>
      </c>
      <c r="DYW339" s="42" t="s">
        <v>608</v>
      </c>
      <c r="DYX339" s="42" t="s">
        <v>608</v>
      </c>
      <c r="DYY339" s="42" t="s">
        <v>608</v>
      </c>
      <c r="DYZ339" s="42" t="s">
        <v>608</v>
      </c>
      <c r="DZA339" s="42" t="s">
        <v>608</v>
      </c>
      <c r="DZB339" s="42" t="s">
        <v>608</v>
      </c>
      <c r="DZC339" s="42" t="s">
        <v>608</v>
      </c>
      <c r="DZD339" s="42" t="s">
        <v>608</v>
      </c>
      <c r="DZE339" s="42" t="s">
        <v>608</v>
      </c>
      <c r="DZF339" s="42" t="s">
        <v>608</v>
      </c>
      <c r="DZG339" s="42" t="s">
        <v>608</v>
      </c>
      <c r="DZH339" s="42" t="s">
        <v>608</v>
      </c>
      <c r="DZI339" s="42" t="s">
        <v>608</v>
      </c>
      <c r="DZJ339" s="42" t="s">
        <v>608</v>
      </c>
      <c r="DZK339" s="42" t="s">
        <v>608</v>
      </c>
      <c r="DZL339" s="42" t="s">
        <v>608</v>
      </c>
      <c r="DZM339" s="42" t="s">
        <v>608</v>
      </c>
      <c r="DZN339" s="42" t="s">
        <v>608</v>
      </c>
      <c r="DZO339" s="42" t="s">
        <v>608</v>
      </c>
      <c r="DZP339" s="42" t="s">
        <v>608</v>
      </c>
      <c r="DZQ339" s="42" t="s">
        <v>608</v>
      </c>
      <c r="DZR339" s="42" t="s">
        <v>608</v>
      </c>
      <c r="DZS339" s="42" t="s">
        <v>608</v>
      </c>
      <c r="DZT339" s="42" t="s">
        <v>608</v>
      </c>
      <c r="DZU339" s="42" t="s">
        <v>608</v>
      </c>
      <c r="DZV339" s="42" t="s">
        <v>608</v>
      </c>
      <c r="DZW339" s="42" t="s">
        <v>608</v>
      </c>
      <c r="DZX339" s="42" t="s">
        <v>608</v>
      </c>
      <c r="DZY339" s="42" t="s">
        <v>608</v>
      </c>
      <c r="DZZ339" s="42" t="s">
        <v>608</v>
      </c>
      <c r="EAA339" s="42" t="s">
        <v>608</v>
      </c>
      <c r="EAB339" s="42" t="s">
        <v>608</v>
      </c>
      <c r="EAC339" s="42" t="s">
        <v>608</v>
      </c>
      <c r="EAD339" s="42" t="s">
        <v>608</v>
      </c>
      <c r="EAE339" s="42" t="s">
        <v>608</v>
      </c>
      <c r="EAF339" s="42" t="s">
        <v>608</v>
      </c>
      <c r="EAG339" s="42" t="s">
        <v>608</v>
      </c>
      <c r="EAH339" s="42" t="s">
        <v>608</v>
      </c>
      <c r="EAI339" s="42" t="s">
        <v>608</v>
      </c>
      <c r="EAJ339" s="42" t="s">
        <v>608</v>
      </c>
      <c r="EAK339" s="42" t="s">
        <v>608</v>
      </c>
      <c r="EAL339" s="42" t="s">
        <v>608</v>
      </c>
      <c r="EAM339" s="42" t="s">
        <v>608</v>
      </c>
      <c r="EAN339" s="42" t="s">
        <v>608</v>
      </c>
      <c r="EAO339" s="42" t="s">
        <v>608</v>
      </c>
      <c r="EAP339" s="42" t="s">
        <v>608</v>
      </c>
      <c r="EAQ339" s="42" t="s">
        <v>608</v>
      </c>
      <c r="EAR339" s="42" t="s">
        <v>608</v>
      </c>
      <c r="EAS339" s="42" t="s">
        <v>608</v>
      </c>
      <c r="EAT339" s="42" t="s">
        <v>608</v>
      </c>
      <c r="EAU339" s="42" t="s">
        <v>608</v>
      </c>
      <c r="EAV339" s="42" t="s">
        <v>608</v>
      </c>
      <c r="EAW339" s="42" t="s">
        <v>608</v>
      </c>
      <c r="EAX339" s="42" t="s">
        <v>608</v>
      </c>
      <c r="EAY339" s="42" t="s">
        <v>608</v>
      </c>
      <c r="EAZ339" s="42" t="s">
        <v>608</v>
      </c>
      <c r="EBA339" s="42" t="s">
        <v>608</v>
      </c>
      <c r="EBB339" s="42" t="s">
        <v>608</v>
      </c>
      <c r="EBC339" s="42" t="s">
        <v>608</v>
      </c>
      <c r="EBD339" s="42" t="s">
        <v>608</v>
      </c>
      <c r="EBE339" s="42" t="s">
        <v>608</v>
      </c>
      <c r="EBF339" s="42" t="s">
        <v>608</v>
      </c>
      <c r="EBG339" s="42" t="s">
        <v>608</v>
      </c>
      <c r="EBH339" s="42" t="s">
        <v>608</v>
      </c>
      <c r="EBI339" s="42" t="s">
        <v>608</v>
      </c>
      <c r="EBJ339" s="42" t="s">
        <v>608</v>
      </c>
      <c r="EBK339" s="42" t="s">
        <v>608</v>
      </c>
      <c r="EBL339" s="42" t="s">
        <v>608</v>
      </c>
      <c r="EBM339" s="42" t="s">
        <v>608</v>
      </c>
      <c r="EBN339" s="42" t="s">
        <v>608</v>
      </c>
      <c r="EBO339" s="42" t="s">
        <v>608</v>
      </c>
      <c r="EBP339" s="42" t="s">
        <v>608</v>
      </c>
      <c r="EBQ339" s="42" t="s">
        <v>608</v>
      </c>
      <c r="EBR339" s="42" t="s">
        <v>608</v>
      </c>
      <c r="EBS339" s="42" t="s">
        <v>608</v>
      </c>
      <c r="EBT339" s="42" t="s">
        <v>608</v>
      </c>
      <c r="EBU339" s="42" t="s">
        <v>608</v>
      </c>
      <c r="EBV339" s="42" t="s">
        <v>608</v>
      </c>
      <c r="EBW339" s="42" t="s">
        <v>608</v>
      </c>
      <c r="EBX339" s="42" t="s">
        <v>608</v>
      </c>
      <c r="EBY339" s="42" t="s">
        <v>608</v>
      </c>
      <c r="EBZ339" s="42" t="s">
        <v>608</v>
      </c>
      <c r="ECA339" s="42" t="s">
        <v>608</v>
      </c>
      <c r="ECB339" s="42" t="s">
        <v>608</v>
      </c>
      <c r="ECC339" s="42" t="s">
        <v>608</v>
      </c>
      <c r="ECD339" s="42" t="s">
        <v>608</v>
      </c>
      <c r="ECE339" s="42" t="s">
        <v>608</v>
      </c>
      <c r="ECF339" s="42" t="s">
        <v>608</v>
      </c>
      <c r="ECG339" s="42" t="s">
        <v>608</v>
      </c>
      <c r="ECH339" s="42" t="s">
        <v>608</v>
      </c>
      <c r="ECI339" s="42" t="s">
        <v>608</v>
      </c>
      <c r="ECJ339" s="42" t="s">
        <v>608</v>
      </c>
      <c r="ECK339" s="42" t="s">
        <v>608</v>
      </c>
      <c r="ECL339" s="42" t="s">
        <v>608</v>
      </c>
      <c r="ECM339" s="42" t="s">
        <v>608</v>
      </c>
      <c r="ECN339" s="42" t="s">
        <v>608</v>
      </c>
      <c r="ECO339" s="42" t="s">
        <v>608</v>
      </c>
      <c r="ECP339" s="42" t="s">
        <v>608</v>
      </c>
      <c r="ECQ339" s="42" t="s">
        <v>608</v>
      </c>
      <c r="ECR339" s="42" t="s">
        <v>608</v>
      </c>
      <c r="ECS339" s="42" t="s">
        <v>608</v>
      </c>
      <c r="ECT339" s="42" t="s">
        <v>608</v>
      </c>
      <c r="ECU339" s="42" t="s">
        <v>608</v>
      </c>
      <c r="ECV339" s="42" t="s">
        <v>608</v>
      </c>
      <c r="ECW339" s="42" t="s">
        <v>608</v>
      </c>
      <c r="ECX339" s="42" t="s">
        <v>608</v>
      </c>
      <c r="ECY339" s="42" t="s">
        <v>608</v>
      </c>
      <c r="ECZ339" s="42" t="s">
        <v>608</v>
      </c>
      <c r="EDA339" s="42" t="s">
        <v>608</v>
      </c>
      <c r="EDB339" s="42" t="s">
        <v>608</v>
      </c>
      <c r="EDC339" s="42" t="s">
        <v>608</v>
      </c>
      <c r="EDD339" s="42" t="s">
        <v>608</v>
      </c>
      <c r="EDE339" s="42" t="s">
        <v>608</v>
      </c>
      <c r="EDF339" s="42" t="s">
        <v>608</v>
      </c>
      <c r="EDG339" s="42" t="s">
        <v>608</v>
      </c>
      <c r="EDH339" s="42" t="s">
        <v>608</v>
      </c>
      <c r="EDI339" s="42" t="s">
        <v>608</v>
      </c>
      <c r="EDJ339" s="42" t="s">
        <v>608</v>
      </c>
      <c r="EDK339" s="42" t="s">
        <v>608</v>
      </c>
      <c r="EDL339" s="42" t="s">
        <v>608</v>
      </c>
      <c r="EDM339" s="42" t="s">
        <v>608</v>
      </c>
      <c r="EDN339" s="42" t="s">
        <v>608</v>
      </c>
      <c r="EDO339" s="42" t="s">
        <v>608</v>
      </c>
      <c r="EDP339" s="42" t="s">
        <v>608</v>
      </c>
      <c r="EDQ339" s="42" t="s">
        <v>608</v>
      </c>
      <c r="EDR339" s="42" t="s">
        <v>608</v>
      </c>
      <c r="EDS339" s="42" t="s">
        <v>608</v>
      </c>
      <c r="EDT339" s="42" t="s">
        <v>608</v>
      </c>
      <c r="EDU339" s="42" t="s">
        <v>608</v>
      </c>
      <c r="EDV339" s="42" t="s">
        <v>608</v>
      </c>
      <c r="EDW339" s="42" t="s">
        <v>608</v>
      </c>
      <c r="EDX339" s="42" t="s">
        <v>608</v>
      </c>
      <c r="EDY339" s="42" t="s">
        <v>608</v>
      </c>
      <c r="EDZ339" s="42" t="s">
        <v>608</v>
      </c>
      <c r="EEA339" s="42" t="s">
        <v>608</v>
      </c>
      <c r="EEB339" s="42" t="s">
        <v>608</v>
      </c>
      <c r="EEC339" s="42" t="s">
        <v>608</v>
      </c>
      <c r="EED339" s="42" t="s">
        <v>608</v>
      </c>
      <c r="EEE339" s="42" t="s">
        <v>608</v>
      </c>
      <c r="EEF339" s="42" t="s">
        <v>608</v>
      </c>
      <c r="EEG339" s="42" t="s">
        <v>608</v>
      </c>
      <c r="EEH339" s="42" t="s">
        <v>608</v>
      </c>
      <c r="EEI339" s="42" t="s">
        <v>608</v>
      </c>
      <c r="EEJ339" s="42" t="s">
        <v>608</v>
      </c>
      <c r="EEK339" s="42" t="s">
        <v>608</v>
      </c>
      <c r="EEL339" s="42" t="s">
        <v>608</v>
      </c>
      <c r="EEM339" s="42" t="s">
        <v>608</v>
      </c>
      <c r="EEN339" s="42" t="s">
        <v>608</v>
      </c>
      <c r="EEO339" s="42" t="s">
        <v>608</v>
      </c>
      <c r="EEP339" s="42" t="s">
        <v>608</v>
      </c>
      <c r="EEQ339" s="42" t="s">
        <v>608</v>
      </c>
      <c r="EER339" s="42" t="s">
        <v>608</v>
      </c>
      <c r="EES339" s="42" t="s">
        <v>608</v>
      </c>
      <c r="EET339" s="42" t="s">
        <v>608</v>
      </c>
      <c r="EEU339" s="42" t="s">
        <v>608</v>
      </c>
      <c r="EEV339" s="42" t="s">
        <v>608</v>
      </c>
      <c r="EEW339" s="42" t="s">
        <v>608</v>
      </c>
      <c r="EEX339" s="42" t="s">
        <v>608</v>
      </c>
      <c r="EEY339" s="42" t="s">
        <v>608</v>
      </c>
      <c r="EEZ339" s="42" t="s">
        <v>608</v>
      </c>
      <c r="EFA339" s="42" t="s">
        <v>608</v>
      </c>
      <c r="EFB339" s="42" t="s">
        <v>608</v>
      </c>
      <c r="EFC339" s="42" t="s">
        <v>608</v>
      </c>
      <c r="EFD339" s="42" t="s">
        <v>608</v>
      </c>
      <c r="EFE339" s="42" t="s">
        <v>608</v>
      </c>
      <c r="EFF339" s="42" t="s">
        <v>608</v>
      </c>
      <c r="EFG339" s="42" t="s">
        <v>608</v>
      </c>
      <c r="EFH339" s="42" t="s">
        <v>608</v>
      </c>
      <c r="EFI339" s="42" t="s">
        <v>608</v>
      </c>
      <c r="EFJ339" s="42" t="s">
        <v>608</v>
      </c>
      <c r="EFK339" s="42" t="s">
        <v>608</v>
      </c>
      <c r="EFL339" s="42" t="s">
        <v>608</v>
      </c>
      <c r="EFM339" s="42" t="s">
        <v>608</v>
      </c>
      <c r="EFN339" s="42" t="s">
        <v>608</v>
      </c>
      <c r="EFO339" s="42" t="s">
        <v>608</v>
      </c>
      <c r="EFP339" s="42" t="s">
        <v>608</v>
      </c>
      <c r="EFQ339" s="42" t="s">
        <v>608</v>
      </c>
      <c r="EFR339" s="42" t="s">
        <v>608</v>
      </c>
      <c r="EFS339" s="42" t="s">
        <v>608</v>
      </c>
      <c r="EFT339" s="42" t="s">
        <v>608</v>
      </c>
      <c r="EFU339" s="42" t="s">
        <v>608</v>
      </c>
      <c r="EFV339" s="42" t="s">
        <v>608</v>
      </c>
      <c r="EFW339" s="42" t="s">
        <v>608</v>
      </c>
      <c r="EFX339" s="42" t="s">
        <v>608</v>
      </c>
      <c r="EFY339" s="42" t="s">
        <v>608</v>
      </c>
      <c r="EFZ339" s="42" t="s">
        <v>608</v>
      </c>
      <c r="EGA339" s="42" t="s">
        <v>608</v>
      </c>
      <c r="EGB339" s="42" t="s">
        <v>608</v>
      </c>
      <c r="EGC339" s="42" t="s">
        <v>608</v>
      </c>
      <c r="EGD339" s="42" t="s">
        <v>608</v>
      </c>
      <c r="EGE339" s="42" t="s">
        <v>608</v>
      </c>
      <c r="EGF339" s="42" t="s">
        <v>608</v>
      </c>
      <c r="EGG339" s="42" t="s">
        <v>608</v>
      </c>
      <c r="EGH339" s="42" t="s">
        <v>608</v>
      </c>
      <c r="EGI339" s="42" t="s">
        <v>608</v>
      </c>
      <c r="EGJ339" s="42" t="s">
        <v>608</v>
      </c>
      <c r="EGK339" s="42" t="s">
        <v>608</v>
      </c>
      <c r="EGL339" s="42" t="s">
        <v>608</v>
      </c>
      <c r="EGM339" s="42" t="s">
        <v>608</v>
      </c>
      <c r="EGN339" s="42" t="s">
        <v>608</v>
      </c>
      <c r="EGO339" s="42" t="s">
        <v>608</v>
      </c>
      <c r="EGP339" s="42" t="s">
        <v>608</v>
      </c>
      <c r="EGQ339" s="42" t="s">
        <v>608</v>
      </c>
      <c r="EGR339" s="42" t="s">
        <v>608</v>
      </c>
      <c r="EGS339" s="42" t="s">
        <v>608</v>
      </c>
      <c r="EGT339" s="42" t="s">
        <v>608</v>
      </c>
      <c r="EGU339" s="42" t="s">
        <v>608</v>
      </c>
      <c r="EGV339" s="42" t="s">
        <v>608</v>
      </c>
      <c r="EGW339" s="42" t="s">
        <v>608</v>
      </c>
      <c r="EGX339" s="42" t="s">
        <v>608</v>
      </c>
      <c r="EGY339" s="42" t="s">
        <v>608</v>
      </c>
      <c r="EGZ339" s="42" t="s">
        <v>608</v>
      </c>
      <c r="EHA339" s="42" t="s">
        <v>608</v>
      </c>
      <c r="EHB339" s="42" t="s">
        <v>608</v>
      </c>
      <c r="EHC339" s="42" t="s">
        <v>608</v>
      </c>
      <c r="EHD339" s="42" t="s">
        <v>608</v>
      </c>
      <c r="EHE339" s="42" t="s">
        <v>608</v>
      </c>
      <c r="EHF339" s="42" t="s">
        <v>608</v>
      </c>
      <c r="EHG339" s="42" t="s">
        <v>608</v>
      </c>
      <c r="EHH339" s="42" t="s">
        <v>608</v>
      </c>
      <c r="EHI339" s="42" t="s">
        <v>608</v>
      </c>
      <c r="EHJ339" s="42" t="s">
        <v>608</v>
      </c>
      <c r="EHK339" s="42" t="s">
        <v>608</v>
      </c>
      <c r="EHL339" s="42" t="s">
        <v>608</v>
      </c>
      <c r="EHM339" s="42" t="s">
        <v>608</v>
      </c>
      <c r="EHN339" s="42" t="s">
        <v>608</v>
      </c>
      <c r="EHO339" s="42" t="s">
        <v>608</v>
      </c>
      <c r="EHP339" s="42" t="s">
        <v>608</v>
      </c>
      <c r="EHQ339" s="42" t="s">
        <v>608</v>
      </c>
      <c r="EHR339" s="42" t="s">
        <v>608</v>
      </c>
      <c r="EHS339" s="42" t="s">
        <v>608</v>
      </c>
      <c r="EHT339" s="42" t="s">
        <v>608</v>
      </c>
      <c r="EHU339" s="42" t="s">
        <v>608</v>
      </c>
      <c r="EHV339" s="42" t="s">
        <v>608</v>
      </c>
      <c r="EHW339" s="42" t="s">
        <v>608</v>
      </c>
      <c r="EHX339" s="42" t="s">
        <v>608</v>
      </c>
      <c r="EHY339" s="42" t="s">
        <v>608</v>
      </c>
      <c r="EHZ339" s="42" t="s">
        <v>608</v>
      </c>
      <c r="EIA339" s="42" t="s">
        <v>608</v>
      </c>
      <c r="EIB339" s="42" t="s">
        <v>608</v>
      </c>
      <c r="EIC339" s="42" t="s">
        <v>608</v>
      </c>
      <c r="EID339" s="42" t="s">
        <v>608</v>
      </c>
      <c r="EIE339" s="42" t="s">
        <v>608</v>
      </c>
      <c r="EIF339" s="42" t="s">
        <v>608</v>
      </c>
      <c r="EIG339" s="42" t="s">
        <v>608</v>
      </c>
      <c r="EIH339" s="42" t="s">
        <v>608</v>
      </c>
      <c r="EII339" s="42" t="s">
        <v>608</v>
      </c>
      <c r="EIJ339" s="42" t="s">
        <v>608</v>
      </c>
      <c r="EIK339" s="42" t="s">
        <v>608</v>
      </c>
      <c r="EIL339" s="42" t="s">
        <v>608</v>
      </c>
      <c r="EIM339" s="42" t="s">
        <v>608</v>
      </c>
      <c r="EIN339" s="42" t="s">
        <v>608</v>
      </c>
      <c r="EIO339" s="42" t="s">
        <v>608</v>
      </c>
      <c r="EIP339" s="42" t="s">
        <v>608</v>
      </c>
      <c r="EIQ339" s="42" t="s">
        <v>608</v>
      </c>
      <c r="EIR339" s="42" t="s">
        <v>608</v>
      </c>
      <c r="EIS339" s="42" t="s">
        <v>608</v>
      </c>
      <c r="EIT339" s="42" t="s">
        <v>608</v>
      </c>
      <c r="EIU339" s="42" t="s">
        <v>608</v>
      </c>
      <c r="EIV339" s="42" t="s">
        <v>608</v>
      </c>
      <c r="EIW339" s="42" t="s">
        <v>608</v>
      </c>
      <c r="EIX339" s="42" t="s">
        <v>608</v>
      </c>
      <c r="EIY339" s="42" t="s">
        <v>608</v>
      </c>
      <c r="EIZ339" s="42" t="s">
        <v>608</v>
      </c>
      <c r="EJA339" s="42" t="s">
        <v>608</v>
      </c>
      <c r="EJB339" s="42" t="s">
        <v>608</v>
      </c>
      <c r="EJC339" s="42" t="s">
        <v>608</v>
      </c>
      <c r="EJD339" s="42" t="s">
        <v>608</v>
      </c>
      <c r="EJE339" s="42" t="s">
        <v>608</v>
      </c>
      <c r="EJF339" s="42" t="s">
        <v>608</v>
      </c>
      <c r="EJG339" s="42" t="s">
        <v>608</v>
      </c>
      <c r="EJH339" s="42" t="s">
        <v>608</v>
      </c>
      <c r="EJI339" s="42" t="s">
        <v>608</v>
      </c>
      <c r="EJJ339" s="42" t="s">
        <v>608</v>
      </c>
      <c r="EJK339" s="42" t="s">
        <v>608</v>
      </c>
      <c r="EJL339" s="42" t="s">
        <v>608</v>
      </c>
      <c r="EJM339" s="42" t="s">
        <v>608</v>
      </c>
      <c r="EJN339" s="42" t="s">
        <v>608</v>
      </c>
      <c r="EJO339" s="42" t="s">
        <v>608</v>
      </c>
      <c r="EJP339" s="42" t="s">
        <v>608</v>
      </c>
      <c r="EJQ339" s="42" t="s">
        <v>608</v>
      </c>
      <c r="EJR339" s="42" t="s">
        <v>608</v>
      </c>
      <c r="EJS339" s="42" t="s">
        <v>608</v>
      </c>
      <c r="EJT339" s="42" t="s">
        <v>608</v>
      </c>
      <c r="EJU339" s="42" t="s">
        <v>608</v>
      </c>
      <c r="EJV339" s="42" t="s">
        <v>608</v>
      </c>
      <c r="EJW339" s="42" t="s">
        <v>608</v>
      </c>
      <c r="EJX339" s="42" t="s">
        <v>608</v>
      </c>
      <c r="EJY339" s="42" t="s">
        <v>608</v>
      </c>
      <c r="EJZ339" s="42" t="s">
        <v>608</v>
      </c>
      <c r="EKA339" s="42" t="s">
        <v>608</v>
      </c>
      <c r="EKB339" s="42" t="s">
        <v>608</v>
      </c>
      <c r="EKC339" s="42" t="s">
        <v>608</v>
      </c>
      <c r="EKD339" s="42" t="s">
        <v>608</v>
      </c>
      <c r="EKE339" s="42" t="s">
        <v>608</v>
      </c>
      <c r="EKF339" s="42" t="s">
        <v>608</v>
      </c>
      <c r="EKG339" s="42" t="s">
        <v>608</v>
      </c>
      <c r="EKH339" s="42" t="s">
        <v>608</v>
      </c>
      <c r="EKI339" s="42" t="s">
        <v>608</v>
      </c>
      <c r="EKJ339" s="42" t="s">
        <v>608</v>
      </c>
      <c r="EKK339" s="42" t="s">
        <v>608</v>
      </c>
      <c r="EKL339" s="42" t="s">
        <v>608</v>
      </c>
      <c r="EKM339" s="42" t="s">
        <v>608</v>
      </c>
      <c r="EKN339" s="42" t="s">
        <v>608</v>
      </c>
      <c r="EKO339" s="42" t="s">
        <v>608</v>
      </c>
      <c r="EKP339" s="42" t="s">
        <v>608</v>
      </c>
      <c r="EKQ339" s="42" t="s">
        <v>608</v>
      </c>
      <c r="EKR339" s="42" t="s">
        <v>608</v>
      </c>
      <c r="EKS339" s="42" t="s">
        <v>608</v>
      </c>
      <c r="EKT339" s="42" t="s">
        <v>608</v>
      </c>
      <c r="EKU339" s="42" t="s">
        <v>608</v>
      </c>
      <c r="EKV339" s="42" t="s">
        <v>608</v>
      </c>
      <c r="EKW339" s="42" t="s">
        <v>608</v>
      </c>
      <c r="EKX339" s="42" t="s">
        <v>608</v>
      </c>
      <c r="EKY339" s="42" t="s">
        <v>608</v>
      </c>
      <c r="EKZ339" s="42" t="s">
        <v>608</v>
      </c>
      <c r="ELA339" s="42" t="s">
        <v>608</v>
      </c>
      <c r="ELB339" s="42" t="s">
        <v>608</v>
      </c>
      <c r="ELC339" s="42" t="s">
        <v>608</v>
      </c>
      <c r="ELD339" s="42" t="s">
        <v>608</v>
      </c>
      <c r="ELE339" s="42" t="s">
        <v>608</v>
      </c>
      <c r="ELF339" s="42" t="s">
        <v>608</v>
      </c>
      <c r="ELG339" s="42" t="s">
        <v>608</v>
      </c>
      <c r="ELH339" s="42" t="s">
        <v>608</v>
      </c>
      <c r="ELI339" s="42" t="s">
        <v>608</v>
      </c>
      <c r="ELJ339" s="42" t="s">
        <v>608</v>
      </c>
      <c r="ELK339" s="42" t="s">
        <v>608</v>
      </c>
      <c r="ELL339" s="42" t="s">
        <v>608</v>
      </c>
      <c r="ELM339" s="42" t="s">
        <v>608</v>
      </c>
      <c r="ELN339" s="42" t="s">
        <v>608</v>
      </c>
      <c r="ELO339" s="42" t="s">
        <v>608</v>
      </c>
      <c r="ELP339" s="42" t="s">
        <v>608</v>
      </c>
      <c r="ELQ339" s="42" t="s">
        <v>608</v>
      </c>
      <c r="ELR339" s="42" t="s">
        <v>608</v>
      </c>
      <c r="ELS339" s="42" t="s">
        <v>608</v>
      </c>
      <c r="ELT339" s="42" t="s">
        <v>608</v>
      </c>
      <c r="ELU339" s="42" t="s">
        <v>608</v>
      </c>
      <c r="ELV339" s="42" t="s">
        <v>608</v>
      </c>
      <c r="ELW339" s="42" t="s">
        <v>608</v>
      </c>
      <c r="ELX339" s="42" t="s">
        <v>608</v>
      </c>
      <c r="ELY339" s="42" t="s">
        <v>608</v>
      </c>
      <c r="ELZ339" s="42" t="s">
        <v>608</v>
      </c>
      <c r="EMA339" s="42" t="s">
        <v>608</v>
      </c>
      <c r="EMB339" s="42" t="s">
        <v>608</v>
      </c>
      <c r="EMC339" s="42" t="s">
        <v>608</v>
      </c>
      <c r="EMD339" s="42" t="s">
        <v>608</v>
      </c>
      <c r="EME339" s="42" t="s">
        <v>608</v>
      </c>
      <c r="EMF339" s="42" t="s">
        <v>608</v>
      </c>
      <c r="EMG339" s="42" t="s">
        <v>608</v>
      </c>
      <c r="EMH339" s="42" t="s">
        <v>608</v>
      </c>
      <c r="EMI339" s="42" t="s">
        <v>608</v>
      </c>
      <c r="EMJ339" s="42" t="s">
        <v>608</v>
      </c>
      <c r="EMK339" s="42" t="s">
        <v>608</v>
      </c>
      <c r="EML339" s="42" t="s">
        <v>608</v>
      </c>
      <c r="EMM339" s="42" t="s">
        <v>608</v>
      </c>
      <c r="EMN339" s="42" t="s">
        <v>608</v>
      </c>
      <c r="EMO339" s="42" t="s">
        <v>608</v>
      </c>
      <c r="EMP339" s="42" t="s">
        <v>608</v>
      </c>
      <c r="EMQ339" s="42" t="s">
        <v>608</v>
      </c>
      <c r="EMR339" s="42" t="s">
        <v>608</v>
      </c>
      <c r="EMS339" s="42" t="s">
        <v>608</v>
      </c>
      <c r="EMT339" s="42" t="s">
        <v>608</v>
      </c>
      <c r="EMU339" s="42" t="s">
        <v>608</v>
      </c>
      <c r="EMV339" s="42" t="s">
        <v>608</v>
      </c>
      <c r="EMW339" s="42" t="s">
        <v>608</v>
      </c>
      <c r="EMX339" s="42" t="s">
        <v>608</v>
      </c>
      <c r="EMY339" s="42" t="s">
        <v>608</v>
      </c>
      <c r="EMZ339" s="42" t="s">
        <v>608</v>
      </c>
      <c r="ENA339" s="42" t="s">
        <v>608</v>
      </c>
      <c r="ENB339" s="42" t="s">
        <v>608</v>
      </c>
      <c r="ENC339" s="42" t="s">
        <v>608</v>
      </c>
      <c r="END339" s="42" t="s">
        <v>608</v>
      </c>
      <c r="ENE339" s="42" t="s">
        <v>608</v>
      </c>
      <c r="ENF339" s="42" t="s">
        <v>608</v>
      </c>
      <c r="ENG339" s="42" t="s">
        <v>608</v>
      </c>
      <c r="ENH339" s="42" t="s">
        <v>608</v>
      </c>
      <c r="ENI339" s="42" t="s">
        <v>608</v>
      </c>
      <c r="ENJ339" s="42" t="s">
        <v>608</v>
      </c>
      <c r="ENK339" s="42" t="s">
        <v>608</v>
      </c>
      <c r="ENL339" s="42" t="s">
        <v>608</v>
      </c>
      <c r="ENM339" s="42" t="s">
        <v>608</v>
      </c>
      <c r="ENN339" s="42" t="s">
        <v>608</v>
      </c>
      <c r="ENO339" s="42" t="s">
        <v>608</v>
      </c>
      <c r="ENP339" s="42" t="s">
        <v>608</v>
      </c>
      <c r="ENQ339" s="42" t="s">
        <v>608</v>
      </c>
      <c r="ENR339" s="42" t="s">
        <v>608</v>
      </c>
      <c r="ENS339" s="42" t="s">
        <v>608</v>
      </c>
      <c r="ENT339" s="42" t="s">
        <v>608</v>
      </c>
      <c r="ENU339" s="42" t="s">
        <v>608</v>
      </c>
      <c r="ENV339" s="42" t="s">
        <v>608</v>
      </c>
      <c r="ENW339" s="42" t="s">
        <v>608</v>
      </c>
      <c r="ENX339" s="42" t="s">
        <v>608</v>
      </c>
      <c r="ENY339" s="42" t="s">
        <v>608</v>
      </c>
      <c r="ENZ339" s="42" t="s">
        <v>608</v>
      </c>
      <c r="EOA339" s="42" t="s">
        <v>608</v>
      </c>
      <c r="EOB339" s="42" t="s">
        <v>608</v>
      </c>
      <c r="EOC339" s="42" t="s">
        <v>608</v>
      </c>
      <c r="EOD339" s="42" t="s">
        <v>608</v>
      </c>
      <c r="EOE339" s="42" t="s">
        <v>608</v>
      </c>
      <c r="EOF339" s="42" t="s">
        <v>608</v>
      </c>
      <c r="EOG339" s="42" t="s">
        <v>608</v>
      </c>
      <c r="EOH339" s="42" t="s">
        <v>608</v>
      </c>
      <c r="EOI339" s="42" t="s">
        <v>608</v>
      </c>
      <c r="EOJ339" s="42" t="s">
        <v>608</v>
      </c>
      <c r="EOK339" s="42" t="s">
        <v>608</v>
      </c>
      <c r="EOL339" s="42" t="s">
        <v>608</v>
      </c>
      <c r="EOM339" s="42" t="s">
        <v>608</v>
      </c>
      <c r="EON339" s="42" t="s">
        <v>608</v>
      </c>
      <c r="EOO339" s="42" t="s">
        <v>608</v>
      </c>
      <c r="EOP339" s="42" t="s">
        <v>608</v>
      </c>
      <c r="EOQ339" s="42" t="s">
        <v>608</v>
      </c>
      <c r="EOR339" s="42" t="s">
        <v>608</v>
      </c>
      <c r="EOS339" s="42" t="s">
        <v>608</v>
      </c>
      <c r="EOT339" s="42" t="s">
        <v>608</v>
      </c>
      <c r="EOU339" s="42" t="s">
        <v>608</v>
      </c>
      <c r="EOV339" s="42" t="s">
        <v>608</v>
      </c>
      <c r="EOW339" s="42" t="s">
        <v>608</v>
      </c>
      <c r="EOX339" s="42" t="s">
        <v>608</v>
      </c>
      <c r="EOY339" s="42" t="s">
        <v>608</v>
      </c>
      <c r="EOZ339" s="42" t="s">
        <v>608</v>
      </c>
      <c r="EPA339" s="42" t="s">
        <v>608</v>
      </c>
      <c r="EPB339" s="42" t="s">
        <v>608</v>
      </c>
      <c r="EPC339" s="42" t="s">
        <v>608</v>
      </c>
      <c r="EPD339" s="42" t="s">
        <v>608</v>
      </c>
      <c r="EPE339" s="42" t="s">
        <v>608</v>
      </c>
      <c r="EPF339" s="42" t="s">
        <v>608</v>
      </c>
      <c r="EPG339" s="42" t="s">
        <v>608</v>
      </c>
      <c r="EPH339" s="42" t="s">
        <v>608</v>
      </c>
      <c r="EPI339" s="42" t="s">
        <v>608</v>
      </c>
      <c r="EPJ339" s="42" t="s">
        <v>608</v>
      </c>
      <c r="EPK339" s="42" t="s">
        <v>608</v>
      </c>
      <c r="EPL339" s="42" t="s">
        <v>608</v>
      </c>
      <c r="EPM339" s="42" t="s">
        <v>608</v>
      </c>
      <c r="EPN339" s="42" t="s">
        <v>608</v>
      </c>
      <c r="EPO339" s="42" t="s">
        <v>608</v>
      </c>
      <c r="EPP339" s="42" t="s">
        <v>608</v>
      </c>
      <c r="EPQ339" s="42" t="s">
        <v>608</v>
      </c>
      <c r="EPR339" s="42" t="s">
        <v>608</v>
      </c>
      <c r="EPS339" s="42" t="s">
        <v>608</v>
      </c>
      <c r="EPT339" s="42" t="s">
        <v>608</v>
      </c>
      <c r="EPU339" s="42" t="s">
        <v>608</v>
      </c>
      <c r="EPV339" s="42" t="s">
        <v>608</v>
      </c>
      <c r="EPW339" s="42" t="s">
        <v>608</v>
      </c>
      <c r="EPX339" s="42" t="s">
        <v>608</v>
      </c>
      <c r="EPY339" s="42" t="s">
        <v>608</v>
      </c>
      <c r="EPZ339" s="42" t="s">
        <v>608</v>
      </c>
      <c r="EQA339" s="42" t="s">
        <v>608</v>
      </c>
      <c r="EQB339" s="42" t="s">
        <v>608</v>
      </c>
      <c r="EQC339" s="42" t="s">
        <v>608</v>
      </c>
      <c r="EQD339" s="42" t="s">
        <v>608</v>
      </c>
      <c r="EQE339" s="42" t="s">
        <v>608</v>
      </c>
      <c r="EQF339" s="42" t="s">
        <v>608</v>
      </c>
      <c r="EQG339" s="42" t="s">
        <v>608</v>
      </c>
      <c r="EQH339" s="42" t="s">
        <v>608</v>
      </c>
      <c r="EQI339" s="42" t="s">
        <v>608</v>
      </c>
      <c r="EQJ339" s="42" t="s">
        <v>608</v>
      </c>
      <c r="EQK339" s="42" t="s">
        <v>608</v>
      </c>
      <c r="EQL339" s="42" t="s">
        <v>608</v>
      </c>
      <c r="EQM339" s="42" t="s">
        <v>608</v>
      </c>
      <c r="EQN339" s="42" t="s">
        <v>608</v>
      </c>
      <c r="EQO339" s="42" t="s">
        <v>608</v>
      </c>
      <c r="EQP339" s="42" t="s">
        <v>608</v>
      </c>
      <c r="EQQ339" s="42" t="s">
        <v>608</v>
      </c>
      <c r="EQR339" s="42" t="s">
        <v>608</v>
      </c>
      <c r="EQS339" s="42" t="s">
        <v>608</v>
      </c>
      <c r="EQT339" s="42" t="s">
        <v>608</v>
      </c>
      <c r="EQU339" s="42" t="s">
        <v>608</v>
      </c>
      <c r="EQV339" s="42" t="s">
        <v>608</v>
      </c>
      <c r="EQW339" s="42" t="s">
        <v>608</v>
      </c>
      <c r="EQX339" s="42" t="s">
        <v>608</v>
      </c>
      <c r="EQY339" s="42" t="s">
        <v>608</v>
      </c>
      <c r="EQZ339" s="42" t="s">
        <v>608</v>
      </c>
      <c r="ERA339" s="42" t="s">
        <v>608</v>
      </c>
      <c r="ERB339" s="42" t="s">
        <v>608</v>
      </c>
      <c r="ERC339" s="42" t="s">
        <v>608</v>
      </c>
      <c r="ERD339" s="42" t="s">
        <v>608</v>
      </c>
      <c r="ERE339" s="42" t="s">
        <v>608</v>
      </c>
      <c r="ERF339" s="42" t="s">
        <v>608</v>
      </c>
      <c r="ERG339" s="42" t="s">
        <v>608</v>
      </c>
      <c r="ERH339" s="42" t="s">
        <v>608</v>
      </c>
      <c r="ERI339" s="42" t="s">
        <v>608</v>
      </c>
      <c r="ERJ339" s="42" t="s">
        <v>608</v>
      </c>
      <c r="ERK339" s="42" t="s">
        <v>608</v>
      </c>
      <c r="ERL339" s="42" t="s">
        <v>608</v>
      </c>
      <c r="ERM339" s="42" t="s">
        <v>608</v>
      </c>
      <c r="ERN339" s="42" t="s">
        <v>608</v>
      </c>
      <c r="ERO339" s="42" t="s">
        <v>608</v>
      </c>
      <c r="ERP339" s="42" t="s">
        <v>608</v>
      </c>
      <c r="ERQ339" s="42" t="s">
        <v>608</v>
      </c>
      <c r="ERR339" s="42" t="s">
        <v>608</v>
      </c>
      <c r="ERS339" s="42" t="s">
        <v>608</v>
      </c>
      <c r="ERT339" s="42" t="s">
        <v>608</v>
      </c>
      <c r="ERU339" s="42" t="s">
        <v>608</v>
      </c>
      <c r="ERV339" s="42" t="s">
        <v>608</v>
      </c>
      <c r="ERW339" s="42" t="s">
        <v>608</v>
      </c>
      <c r="ERX339" s="42" t="s">
        <v>608</v>
      </c>
      <c r="ERY339" s="42" t="s">
        <v>608</v>
      </c>
      <c r="ERZ339" s="42" t="s">
        <v>608</v>
      </c>
      <c r="ESA339" s="42" t="s">
        <v>608</v>
      </c>
      <c r="ESB339" s="42" t="s">
        <v>608</v>
      </c>
      <c r="ESC339" s="42" t="s">
        <v>608</v>
      </c>
      <c r="ESD339" s="42" t="s">
        <v>608</v>
      </c>
      <c r="ESE339" s="42" t="s">
        <v>608</v>
      </c>
      <c r="ESF339" s="42" t="s">
        <v>608</v>
      </c>
      <c r="ESG339" s="42" t="s">
        <v>608</v>
      </c>
      <c r="ESH339" s="42" t="s">
        <v>608</v>
      </c>
      <c r="ESI339" s="42" t="s">
        <v>608</v>
      </c>
      <c r="ESJ339" s="42" t="s">
        <v>608</v>
      </c>
      <c r="ESK339" s="42" t="s">
        <v>608</v>
      </c>
      <c r="ESL339" s="42" t="s">
        <v>608</v>
      </c>
      <c r="ESM339" s="42" t="s">
        <v>608</v>
      </c>
      <c r="ESN339" s="42" t="s">
        <v>608</v>
      </c>
      <c r="ESO339" s="42" t="s">
        <v>608</v>
      </c>
      <c r="ESP339" s="42" t="s">
        <v>608</v>
      </c>
      <c r="ESQ339" s="42" t="s">
        <v>608</v>
      </c>
      <c r="ESR339" s="42" t="s">
        <v>608</v>
      </c>
      <c r="ESS339" s="42" t="s">
        <v>608</v>
      </c>
      <c r="EST339" s="42" t="s">
        <v>608</v>
      </c>
      <c r="ESU339" s="42" t="s">
        <v>608</v>
      </c>
      <c r="ESV339" s="42" t="s">
        <v>608</v>
      </c>
      <c r="ESW339" s="42" t="s">
        <v>608</v>
      </c>
      <c r="ESX339" s="42" t="s">
        <v>608</v>
      </c>
      <c r="ESY339" s="42" t="s">
        <v>608</v>
      </c>
      <c r="ESZ339" s="42" t="s">
        <v>608</v>
      </c>
      <c r="ETA339" s="42" t="s">
        <v>608</v>
      </c>
      <c r="ETB339" s="42" t="s">
        <v>608</v>
      </c>
      <c r="ETC339" s="42" t="s">
        <v>608</v>
      </c>
      <c r="ETD339" s="42" t="s">
        <v>608</v>
      </c>
      <c r="ETE339" s="42" t="s">
        <v>608</v>
      </c>
      <c r="ETF339" s="42" t="s">
        <v>608</v>
      </c>
      <c r="ETG339" s="42" t="s">
        <v>608</v>
      </c>
      <c r="ETH339" s="42" t="s">
        <v>608</v>
      </c>
      <c r="ETI339" s="42" t="s">
        <v>608</v>
      </c>
      <c r="ETJ339" s="42" t="s">
        <v>608</v>
      </c>
      <c r="ETK339" s="42" t="s">
        <v>608</v>
      </c>
      <c r="ETL339" s="42" t="s">
        <v>608</v>
      </c>
      <c r="ETM339" s="42" t="s">
        <v>608</v>
      </c>
      <c r="ETN339" s="42" t="s">
        <v>608</v>
      </c>
      <c r="ETO339" s="42" t="s">
        <v>608</v>
      </c>
      <c r="ETP339" s="42" t="s">
        <v>608</v>
      </c>
      <c r="ETQ339" s="42" t="s">
        <v>608</v>
      </c>
      <c r="ETR339" s="42" t="s">
        <v>608</v>
      </c>
      <c r="ETS339" s="42" t="s">
        <v>608</v>
      </c>
      <c r="ETT339" s="42" t="s">
        <v>608</v>
      </c>
      <c r="ETU339" s="42" t="s">
        <v>608</v>
      </c>
      <c r="ETV339" s="42" t="s">
        <v>608</v>
      </c>
      <c r="ETW339" s="42" t="s">
        <v>608</v>
      </c>
      <c r="ETX339" s="42" t="s">
        <v>608</v>
      </c>
      <c r="ETY339" s="42" t="s">
        <v>608</v>
      </c>
      <c r="ETZ339" s="42" t="s">
        <v>608</v>
      </c>
      <c r="EUA339" s="42" t="s">
        <v>608</v>
      </c>
      <c r="EUB339" s="42" t="s">
        <v>608</v>
      </c>
      <c r="EUC339" s="42" t="s">
        <v>608</v>
      </c>
      <c r="EUD339" s="42" t="s">
        <v>608</v>
      </c>
      <c r="EUE339" s="42" t="s">
        <v>608</v>
      </c>
      <c r="EUF339" s="42" t="s">
        <v>608</v>
      </c>
      <c r="EUG339" s="42" t="s">
        <v>608</v>
      </c>
      <c r="EUH339" s="42" t="s">
        <v>608</v>
      </c>
      <c r="EUI339" s="42" t="s">
        <v>608</v>
      </c>
      <c r="EUJ339" s="42" t="s">
        <v>608</v>
      </c>
      <c r="EUK339" s="42" t="s">
        <v>608</v>
      </c>
      <c r="EUL339" s="42" t="s">
        <v>608</v>
      </c>
      <c r="EUM339" s="42" t="s">
        <v>608</v>
      </c>
      <c r="EUN339" s="42" t="s">
        <v>608</v>
      </c>
      <c r="EUO339" s="42" t="s">
        <v>608</v>
      </c>
      <c r="EUP339" s="42" t="s">
        <v>608</v>
      </c>
      <c r="EUQ339" s="42" t="s">
        <v>608</v>
      </c>
      <c r="EUR339" s="42" t="s">
        <v>608</v>
      </c>
      <c r="EUS339" s="42" t="s">
        <v>608</v>
      </c>
      <c r="EUT339" s="42" t="s">
        <v>608</v>
      </c>
      <c r="EUU339" s="42" t="s">
        <v>608</v>
      </c>
      <c r="EUV339" s="42" t="s">
        <v>608</v>
      </c>
      <c r="EUW339" s="42" t="s">
        <v>608</v>
      </c>
      <c r="EUX339" s="42" t="s">
        <v>608</v>
      </c>
      <c r="EUY339" s="42" t="s">
        <v>608</v>
      </c>
      <c r="EUZ339" s="42" t="s">
        <v>608</v>
      </c>
      <c r="EVA339" s="42" t="s">
        <v>608</v>
      </c>
      <c r="EVB339" s="42" t="s">
        <v>608</v>
      </c>
      <c r="EVC339" s="42" t="s">
        <v>608</v>
      </c>
      <c r="EVD339" s="42" t="s">
        <v>608</v>
      </c>
      <c r="EVE339" s="42" t="s">
        <v>608</v>
      </c>
      <c r="EVF339" s="42" t="s">
        <v>608</v>
      </c>
      <c r="EVG339" s="42" t="s">
        <v>608</v>
      </c>
      <c r="EVH339" s="42" t="s">
        <v>608</v>
      </c>
      <c r="EVI339" s="42" t="s">
        <v>608</v>
      </c>
      <c r="EVJ339" s="42" t="s">
        <v>608</v>
      </c>
      <c r="EVK339" s="42" t="s">
        <v>608</v>
      </c>
      <c r="EVL339" s="42" t="s">
        <v>608</v>
      </c>
      <c r="EVM339" s="42" t="s">
        <v>608</v>
      </c>
      <c r="EVN339" s="42" t="s">
        <v>608</v>
      </c>
      <c r="EVO339" s="42" t="s">
        <v>608</v>
      </c>
      <c r="EVP339" s="42" t="s">
        <v>608</v>
      </c>
      <c r="EVQ339" s="42" t="s">
        <v>608</v>
      </c>
      <c r="EVR339" s="42" t="s">
        <v>608</v>
      </c>
      <c r="EVS339" s="42" t="s">
        <v>608</v>
      </c>
      <c r="EVT339" s="42" t="s">
        <v>608</v>
      </c>
      <c r="EVU339" s="42" t="s">
        <v>608</v>
      </c>
      <c r="EVV339" s="42" t="s">
        <v>608</v>
      </c>
      <c r="EVW339" s="42" t="s">
        <v>608</v>
      </c>
      <c r="EVX339" s="42" t="s">
        <v>608</v>
      </c>
      <c r="EVY339" s="42" t="s">
        <v>608</v>
      </c>
      <c r="EVZ339" s="42" t="s">
        <v>608</v>
      </c>
      <c r="EWA339" s="42" t="s">
        <v>608</v>
      </c>
      <c r="EWB339" s="42" t="s">
        <v>608</v>
      </c>
      <c r="EWC339" s="42" t="s">
        <v>608</v>
      </c>
      <c r="EWD339" s="42" t="s">
        <v>608</v>
      </c>
      <c r="EWE339" s="42" t="s">
        <v>608</v>
      </c>
      <c r="EWF339" s="42" t="s">
        <v>608</v>
      </c>
      <c r="EWG339" s="42" t="s">
        <v>608</v>
      </c>
      <c r="EWH339" s="42" t="s">
        <v>608</v>
      </c>
      <c r="EWI339" s="42" t="s">
        <v>608</v>
      </c>
      <c r="EWJ339" s="42" t="s">
        <v>608</v>
      </c>
      <c r="EWK339" s="42" t="s">
        <v>608</v>
      </c>
      <c r="EWL339" s="42" t="s">
        <v>608</v>
      </c>
      <c r="EWM339" s="42" t="s">
        <v>608</v>
      </c>
      <c r="EWN339" s="42" t="s">
        <v>608</v>
      </c>
      <c r="EWO339" s="42" t="s">
        <v>608</v>
      </c>
      <c r="EWP339" s="42" t="s">
        <v>608</v>
      </c>
      <c r="EWQ339" s="42" t="s">
        <v>608</v>
      </c>
      <c r="EWR339" s="42" t="s">
        <v>608</v>
      </c>
      <c r="EWS339" s="42" t="s">
        <v>608</v>
      </c>
      <c r="EWT339" s="42" t="s">
        <v>608</v>
      </c>
      <c r="EWU339" s="42" t="s">
        <v>608</v>
      </c>
      <c r="EWV339" s="42" t="s">
        <v>608</v>
      </c>
      <c r="EWW339" s="42" t="s">
        <v>608</v>
      </c>
      <c r="EWX339" s="42" t="s">
        <v>608</v>
      </c>
      <c r="EWY339" s="42" t="s">
        <v>608</v>
      </c>
      <c r="EWZ339" s="42" t="s">
        <v>608</v>
      </c>
      <c r="EXA339" s="42" t="s">
        <v>608</v>
      </c>
      <c r="EXB339" s="42" t="s">
        <v>608</v>
      </c>
      <c r="EXC339" s="42" t="s">
        <v>608</v>
      </c>
      <c r="EXD339" s="42" t="s">
        <v>608</v>
      </c>
      <c r="EXE339" s="42" t="s">
        <v>608</v>
      </c>
      <c r="EXF339" s="42" t="s">
        <v>608</v>
      </c>
      <c r="EXG339" s="42" t="s">
        <v>608</v>
      </c>
      <c r="EXH339" s="42" t="s">
        <v>608</v>
      </c>
      <c r="EXI339" s="42" t="s">
        <v>608</v>
      </c>
      <c r="EXJ339" s="42" t="s">
        <v>608</v>
      </c>
      <c r="EXK339" s="42" t="s">
        <v>608</v>
      </c>
      <c r="EXL339" s="42" t="s">
        <v>608</v>
      </c>
      <c r="EXM339" s="42" t="s">
        <v>608</v>
      </c>
      <c r="EXN339" s="42" t="s">
        <v>608</v>
      </c>
      <c r="EXO339" s="42" t="s">
        <v>608</v>
      </c>
      <c r="EXP339" s="42" t="s">
        <v>608</v>
      </c>
      <c r="EXQ339" s="42" t="s">
        <v>608</v>
      </c>
      <c r="EXR339" s="42" t="s">
        <v>608</v>
      </c>
      <c r="EXS339" s="42" t="s">
        <v>608</v>
      </c>
      <c r="EXT339" s="42" t="s">
        <v>608</v>
      </c>
      <c r="EXU339" s="42" t="s">
        <v>608</v>
      </c>
      <c r="EXV339" s="42" t="s">
        <v>608</v>
      </c>
      <c r="EXW339" s="42" t="s">
        <v>608</v>
      </c>
      <c r="EXX339" s="42" t="s">
        <v>608</v>
      </c>
      <c r="EXY339" s="42" t="s">
        <v>608</v>
      </c>
      <c r="EXZ339" s="42" t="s">
        <v>608</v>
      </c>
      <c r="EYA339" s="42" t="s">
        <v>608</v>
      </c>
      <c r="EYB339" s="42" t="s">
        <v>608</v>
      </c>
      <c r="EYC339" s="42" t="s">
        <v>608</v>
      </c>
      <c r="EYD339" s="42" t="s">
        <v>608</v>
      </c>
      <c r="EYE339" s="42" t="s">
        <v>608</v>
      </c>
      <c r="EYF339" s="42" t="s">
        <v>608</v>
      </c>
      <c r="EYG339" s="42" t="s">
        <v>608</v>
      </c>
      <c r="EYH339" s="42" t="s">
        <v>608</v>
      </c>
      <c r="EYI339" s="42" t="s">
        <v>608</v>
      </c>
      <c r="EYJ339" s="42" t="s">
        <v>608</v>
      </c>
      <c r="EYK339" s="42" t="s">
        <v>608</v>
      </c>
      <c r="EYL339" s="42" t="s">
        <v>608</v>
      </c>
      <c r="EYM339" s="42" t="s">
        <v>608</v>
      </c>
      <c r="EYN339" s="42" t="s">
        <v>608</v>
      </c>
      <c r="EYO339" s="42" t="s">
        <v>608</v>
      </c>
      <c r="EYP339" s="42" t="s">
        <v>608</v>
      </c>
      <c r="EYQ339" s="42" t="s">
        <v>608</v>
      </c>
      <c r="EYR339" s="42" t="s">
        <v>608</v>
      </c>
      <c r="EYS339" s="42" t="s">
        <v>608</v>
      </c>
      <c r="EYT339" s="42" t="s">
        <v>608</v>
      </c>
      <c r="EYU339" s="42" t="s">
        <v>608</v>
      </c>
      <c r="EYV339" s="42" t="s">
        <v>608</v>
      </c>
      <c r="EYW339" s="42" t="s">
        <v>608</v>
      </c>
      <c r="EYX339" s="42" t="s">
        <v>608</v>
      </c>
      <c r="EYY339" s="42" t="s">
        <v>608</v>
      </c>
      <c r="EYZ339" s="42" t="s">
        <v>608</v>
      </c>
      <c r="EZA339" s="42" t="s">
        <v>608</v>
      </c>
      <c r="EZB339" s="42" t="s">
        <v>608</v>
      </c>
      <c r="EZC339" s="42" t="s">
        <v>608</v>
      </c>
      <c r="EZD339" s="42" t="s">
        <v>608</v>
      </c>
      <c r="EZE339" s="42" t="s">
        <v>608</v>
      </c>
      <c r="EZF339" s="42" t="s">
        <v>608</v>
      </c>
      <c r="EZG339" s="42" t="s">
        <v>608</v>
      </c>
      <c r="EZH339" s="42" t="s">
        <v>608</v>
      </c>
      <c r="EZI339" s="42" t="s">
        <v>608</v>
      </c>
      <c r="EZJ339" s="42" t="s">
        <v>608</v>
      </c>
      <c r="EZK339" s="42" t="s">
        <v>608</v>
      </c>
      <c r="EZL339" s="42" t="s">
        <v>608</v>
      </c>
      <c r="EZM339" s="42" t="s">
        <v>608</v>
      </c>
      <c r="EZN339" s="42" t="s">
        <v>608</v>
      </c>
      <c r="EZO339" s="42" t="s">
        <v>608</v>
      </c>
      <c r="EZP339" s="42" t="s">
        <v>608</v>
      </c>
      <c r="EZQ339" s="42" t="s">
        <v>608</v>
      </c>
      <c r="EZR339" s="42" t="s">
        <v>608</v>
      </c>
      <c r="EZS339" s="42" t="s">
        <v>608</v>
      </c>
      <c r="EZT339" s="42" t="s">
        <v>608</v>
      </c>
      <c r="EZU339" s="42" t="s">
        <v>608</v>
      </c>
      <c r="EZV339" s="42" t="s">
        <v>608</v>
      </c>
      <c r="EZW339" s="42" t="s">
        <v>608</v>
      </c>
      <c r="EZX339" s="42" t="s">
        <v>608</v>
      </c>
      <c r="EZY339" s="42" t="s">
        <v>608</v>
      </c>
      <c r="EZZ339" s="42" t="s">
        <v>608</v>
      </c>
      <c r="FAA339" s="42" t="s">
        <v>608</v>
      </c>
      <c r="FAB339" s="42" t="s">
        <v>608</v>
      </c>
      <c r="FAC339" s="42" t="s">
        <v>608</v>
      </c>
      <c r="FAD339" s="42" t="s">
        <v>608</v>
      </c>
      <c r="FAE339" s="42" t="s">
        <v>608</v>
      </c>
      <c r="FAF339" s="42" t="s">
        <v>608</v>
      </c>
      <c r="FAG339" s="42" t="s">
        <v>608</v>
      </c>
      <c r="FAH339" s="42" t="s">
        <v>608</v>
      </c>
      <c r="FAI339" s="42" t="s">
        <v>608</v>
      </c>
      <c r="FAJ339" s="42" t="s">
        <v>608</v>
      </c>
      <c r="FAK339" s="42" t="s">
        <v>608</v>
      </c>
      <c r="FAL339" s="42" t="s">
        <v>608</v>
      </c>
      <c r="FAM339" s="42" t="s">
        <v>608</v>
      </c>
      <c r="FAN339" s="42" t="s">
        <v>608</v>
      </c>
      <c r="FAO339" s="42" t="s">
        <v>608</v>
      </c>
      <c r="FAP339" s="42" t="s">
        <v>608</v>
      </c>
      <c r="FAQ339" s="42" t="s">
        <v>608</v>
      </c>
      <c r="FAR339" s="42" t="s">
        <v>608</v>
      </c>
      <c r="FAS339" s="42" t="s">
        <v>608</v>
      </c>
      <c r="FAT339" s="42" t="s">
        <v>608</v>
      </c>
      <c r="FAU339" s="42" t="s">
        <v>608</v>
      </c>
      <c r="FAV339" s="42" t="s">
        <v>608</v>
      </c>
      <c r="FAW339" s="42" t="s">
        <v>608</v>
      </c>
      <c r="FAX339" s="42" t="s">
        <v>608</v>
      </c>
      <c r="FAY339" s="42" t="s">
        <v>608</v>
      </c>
      <c r="FAZ339" s="42" t="s">
        <v>608</v>
      </c>
      <c r="FBA339" s="42" t="s">
        <v>608</v>
      </c>
      <c r="FBB339" s="42" t="s">
        <v>608</v>
      </c>
      <c r="FBC339" s="42" t="s">
        <v>608</v>
      </c>
      <c r="FBD339" s="42" t="s">
        <v>608</v>
      </c>
      <c r="FBE339" s="42" t="s">
        <v>608</v>
      </c>
      <c r="FBF339" s="42" t="s">
        <v>608</v>
      </c>
      <c r="FBG339" s="42" t="s">
        <v>608</v>
      </c>
      <c r="FBH339" s="42" t="s">
        <v>608</v>
      </c>
      <c r="FBI339" s="42" t="s">
        <v>608</v>
      </c>
      <c r="FBJ339" s="42" t="s">
        <v>608</v>
      </c>
      <c r="FBK339" s="42" t="s">
        <v>608</v>
      </c>
      <c r="FBL339" s="42" t="s">
        <v>608</v>
      </c>
      <c r="FBM339" s="42" t="s">
        <v>608</v>
      </c>
      <c r="FBN339" s="42" t="s">
        <v>608</v>
      </c>
      <c r="FBO339" s="42" t="s">
        <v>608</v>
      </c>
      <c r="FBP339" s="42" t="s">
        <v>608</v>
      </c>
      <c r="FBQ339" s="42" t="s">
        <v>608</v>
      </c>
      <c r="FBR339" s="42" t="s">
        <v>608</v>
      </c>
      <c r="FBS339" s="42" t="s">
        <v>608</v>
      </c>
      <c r="FBT339" s="42" t="s">
        <v>608</v>
      </c>
      <c r="FBU339" s="42" t="s">
        <v>608</v>
      </c>
      <c r="FBV339" s="42" t="s">
        <v>608</v>
      </c>
      <c r="FBW339" s="42" t="s">
        <v>608</v>
      </c>
      <c r="FBX339" s="42" t="s">
        <v>608</v>
      </c>
      <c r="FBY339" s="42" t="s">
        <v>608</v>
      </c>
      <c r="FBZ339" s="42" t="s">
        <v>608</v>
      </c>
      <c r="FCA339" s="42" t="s">
        <v>608</v>
      </c>
      <c r="FCB339" s="42" t="s">
        <v>608</v>
      </c>
      <c r="FCC339" s="42" t="s">
        <v>608</v>
      </c>
      <c r="FCD339" s="42" t="s">
        <v>608</v>
      </c>
      <c r="FCE339" s="42" t="s">
        <v>608</v>
      </c>
      <c r="FCF339" s="42" t="s">
        <v>608</v>
      </c>
      <c r="FCG339" s="42" t="s">
        <v>608</v>
      </c>
      <c r="FCH339" s="42" t="s">
        <v>608</v>
      </c>
      <c r="FCI339" s="42" t="s">
        <v>608</v>
      </c>
      <c r="FCJ339" s="42" t="s">
        <v>608</v>
      </c>
      <c r="FCK339" s="42" t="s">
        <v>608</v>
      </c>
      <c r="FCL339" s="42" t="s">
        <v>608</v>
      </c>
      <c r="FCM339" s="42" t="s">
        <v>608</v>
      </c>
      <c r="FCN339" s="42" t="s">
        <v>608</v>
      </c>
      <c r="FCO339" s="42" t="s">
        <v>608</v>
      </c>
      <c r="FCP339" s="42" t="s">
        <v>608</v>
      </c>
      <c r="FCQ339" s="42" t="s">
        <v>608</v>
      </c>
      <c r="FCR339" s="42" t="s">
        <v>608</v>
      </c>
      <c r="FCS339" s="42" t="s">
        <v>608</v>
      </c>
      <c r="FCT339" s="42" t="s">
        <v>608</v>
      </c>
      <c r="FCU339" s="42" t="s">
        <v>608</v>
      </c>
      <c r="FCV339" s="42" t="s">
        <v>608</v>
      </c>
      <c r="FCW339" s="42" t="s">
        <v>608</v>
      </c>
      <c r="FCX339" s="42" t="s">
        <v>608</v>
      </c>
      <c r="FCY339" s="42" t="s">
        <v>608</v>
      </c>
      <c r="FCZ339" s="42" t="s">
        <v>608</v>
      </c>
      <c r="FDA339" s="42" t="s">
        <v>608</v>
      </c>
      <c r="FDB339" s="42" t="s">
        <v>608</v>
      </c>
      <c r="FDC339" s="42" t="s">
        <v>608</v>
      </c>
      <c r="FDD339" s="42" t="s">
        <v>608</v>
      </c>
      <c r="FDE339" s="42" t="s">
        <v>608</v>
      </c>
      <c r="FDF339" s="42" t="s">
        <v>608</v>
      </c>
      <c r="FDG339" s="42" t="s">
        <v>608</v>
      </c>
      <c r="FDH339" s="42" t="s">
        <v>608</v>
      </c>
      <c r="FDI339" s="42" t="s">
        <v>608</v>
      </c>
      <c r="FDJ339" s="42" t="s">
        <v>608</v>
      </c>
      <c r="FDK339" s="42" t="s">
        <v>608</v>
      </c>
      <c r="FDL339" s="42" t="s">
        <v>608</v>
      </c>
      <c r="FDM339" s="42" t="s">
        <v>608</v>
      </c>
      <c r="FDN339" s="42" t="s">
        <v>608</v>
      </c>
      <c r="FDO339" s="42" t="s">
        <v>608</v>
      </c>
      <c r="FDP339" s="42" t="s">
        <v>608</v>
      </c>
      <c r="FDQ339" s="42" t="s">
        <v>608</v>
      </c>
      <c r="FDR339" s="42" t="s">
        <v>608</v>
      </c>
      <c r="FDS339" s="42" t="s">
        <v>608</v>
      </c>
      <c r="FDT339" s="42" t="s">
        <v>608</v>
      </c>
      <c r="FDU339" s="42" t="s">
        <v>608</v>
      </c>
      <c r="FDV339" s="42" t="s">
        <v>608</v>
      </c>
      <c r="FDW339" s="42" t="s">
        <v>608</v>
      </c>
      <c r="FDX339" s="42" t="s">
        <v>608</v>
      </c>
      <c r="FDY339" s="42" t="s">
        <v>608</v>
      </c>
      <c r="FDZ339" s="42" t="s">
        <v>608</v>
      </c>
      <c r="FEA339" s="42" t="s">
        <v>608</v>
      </c>
      <c r="FEB339" s="42" t="s">
        <v>608</v>
      </c>
      <c r="FEC339" s="42" t="s">
        <v>608</v>
      </c>
      <c r="FED339" s="42" t="s">
        <v>608</v>
      </c>
      <c r="FEE339" s="42" t="s">
        <v>608</v>
      </c>
      <c r="FEF339" s="42" t="s">
        <v>608</v>
      </c>
      <c r="FEG339" s="42" t="s">
        <v>608</v>
      </c>
      <c r="FEH339" s="42" t="s">
        <v>608</v>
      </c>
      <c r="FEI339" s="42" t="s">
        <v>608</v>
      </c>
      <c r="FEJ339" s="42" t="s">
        <v>608</v>
      </c>
      <c r="FEK339" s="42" t="s">
        <v>608</v>
      </c>
      <c r="FEL339" s="42" t="s">
        <v>608</v>
      </c>
      <c r="FEM339" s="42" t="s">
        <v>608</v>
      </c>
      <c r="FEN339" s="42" t="s">
        <v>608</v>
      </c>
      <c r="FEO339" s="42" t="s">
        <v>608</v>
      </c>
      <c r="FEP339" s="42" t="s">
        <v>608</v>
      </c>
      <c r="FEQ339" s="42" t="s">
        <v>608</v>
      </c>
      <c r="FER339" s="42" t="s">
        <v>608</v>
      </c>
      <c r="FES339" s="42" t="s">
        <v>608</v>
      </c>
      <c r="FET339" s="42" t="s">
        <v>608</v>
      </c>
      <c r="FEU339" s="42" t="s">
        <v>608</v>
      </c>
      <c r="FEV339" s="42" t="s">
        <v>608</v>
      </c>
      <c r="FEW339" s="42" t="s">
        <v>608</v>
      </c>
      <c r="FEX339" s="42" t="s">
        <v>608</v>
      </c>
      <c r="FEY339" s="42" t="s">
        <v>608</v>
      </c>
      <c r="FEZ339" s="42" t="s">
        <v>608</v>
      </c>
      <c r="FFA339" s="42" t="s">
        <v>608</v>
      </c>
      <c r="FFB339" s="42" t="s">
        <v>608</v>
      </c>
      <c r="FFC339" s="42" t="s">
        <v>608</v>
      </c>
      <c r="FFD339" s="42" t="s">
        <v>608</v>
      </c>
      <c r="FFE339" s="42" t="s">
        <v>608</v>
      </c>
      <c r="FFF339" s="42" t="s">
        <v>608</v>
      </c>
      <c r="FFG339" s="42" t="s">
        <v>608</v>
      </c>
      <c r="FFH339" s="42" t="s">
        <v>608</v>
      </c>
      <c r="FFI339" s="42" t="s">
        <v>608</v>
      </c>
      <c r="FFJ339" s="42" t="s">
        <v>608</v>
      </c>
      <c r="FFK339" s="42" t="s">
        <v>608</v>
      </c>
      <c r="FFL339" s="42" t="s">
        <v>608</v>
      </c>
      <c r="FFM339" s="42" t="s">
        <v>608</v>
      </c>
      <c r="FFN339" s="42" t="s">
        <v>608</v>
      </c>
      <c r="FFO339" s="42" t="s">
        <v>608</v>
      </c>
      <c r="FFP339" s="42" t="s">
        <v>608</v>
      </c>
      <c r="FFQ339" s="42" t="s">
        <v>608</v>
      </c>
      <c r="FFR339" s="42" t="s">
        <v>608</v>
      </c>
      <c r="FFS339" s="42" t="s">
        <v>608</v>
      </c>
      <c r="FFT339" s="42" t="s">
        <v>608</v>
      </c>
      <c r="FFU339" s="42" t="s">
        <v>608</v>
      </c>
      <c r="FFV339" s="42" t="s">
        <v>608</v>
      </c>
      <c r="FFW339" s="42" t="s">
        <v>608</v>
      </c>
      <c r="FFX339" s="42" t="s">
        <v>608</v>
      </c>
      <c r="FFY339" s="42" t="s">
        <v>608</v>
      </c>
      <c r="FFZ339" s="42" t="s">
        <v>608</v>
      </c>
      <c r="FGA339" s="42" t="s">
        <v>608</v>
      </c>
      <c r="FGB339" s="42" t="s">
        <v>608</v>
      </c>
      <c r="FGC339" s="42" t="s">
        <v>608</v>
      </c>
      <c r="FGD339" s="42" t="s">
        <v>608</v>
      </c>
      <c r="FGE339" s="42" t="s">
        <v>608</v>
      </c>
      <c r="FGF339" s="42" t="s">
        <v>608</v>
      </c>
      <c r="FGG339" s="42" t="s">
        <v>608</v>
      </c>
      <c r="FGH339" s="42" t="s">
        <v>608</v>
      </c>
      <c r="FGI339" s="42" t="s">
        <v>608</v>
      </c>
      <c r="FGJ339" s="42" t="s">
        <v>608</v>
      </c>
      <c r="FGK339" s="42" t="s">
        <v>608</v>
      </c>
      <c r="FGL339" s="42" t="s">
        <v>608</v>
      </c>
      <c r="FGM339" s="42" t="s">
        <v>608</v>
      </c>
      <c r="FGN339" s="42" t="s">
        <v>608</v>
      </c>
      <c r="FGO339" s="42" t="s">
        <v>608</v>
      </c>
      <c r="FGP339" s="42" t="s">
        <v>608</v>
      </c>
      <c r="FGQ339" s="42" t="s">
        <v>608</v>
      </c>
      <c r="FGR339" s="42" t="s">
        <v>608</v>
      </c>
      <c r="FGS339" s="42" t="s">
        <v>608</v>
      </c>
      <c r="FGT339" s="42" t="s">
        <v>608</v>
      </c>
      <c r="FGU339" s="42" t="s">
        <v>608</v>
      </c>
      <c r="FGV339" s="42" t="s">
        <v>608</v>
      </c>
      <c r="FGW339" s="42" t="s">
        <v>608</v>
      </c>
      <c r="FGX339" s="42" t="s">
        <v>608</v>
      </c>
      <c r="FGY339" s="42" t="s">
        <v>608</v>
      </c>
      <c r="FGZ339" s="42" t="s">
        <v>608</v>
      </c>
      <c r="FHA339" s="42" t="s">
        <v>608</v>
      </c>
      <c r="FHB339" s="42" t="s">
        <v>608</v>
      </c>
      <c r="FHC339" s="42" t="s">
        <v>608</v>
      </c>
      <c r="FHD339" s="42" t="s">
        <v>608</v>
      </c>
      <c r="FHE339" s="42" t="s">
        <v>608</v>
      </c>
      <c r="FHF339" s="42" t="s">
        <v>608</v>
      </c>
      <c r="FHG339" s="42" t="s">
        <v>608</v>
      </c>
      <c r="FHH339" s="42" t="s">
        <v>608</v>
      </c>
      <c r="FHI339" s="42" t="s">
        <v>608</v>
      </c>
      <c r="FHJ339" s="42" t="s">
        <v>608</v>
      </c>
      <c r="FHK339" s="42" t="s">
        <v>608</v>
      </c>
      <c r="FHL339" s="42" t="s">
        <v>608</v>
      </c>
      <c r="FHM339" s="42" t="s">
        <v>608</v>
      </c>
      <c r="FHN339" s="42" t="s">
        <v>608</v>
      </c>
      <c r="FHO339" s="42" t="s">
        <v>608</v>
      </c>
      <c r="FHP339" s="42" t="s">
        <v>608</v>
      </c>
      <c r="FHQ339" s="42" t="s">
        <v>608</v>
      </c>
      <c r="FHR339" s="42" t="s">
        <v>608</v>
      </c>
      <c r="FHS339" s="42" t="s">
        <v>608</v>
      </c>
      <c r="FHT339" s="42" t="s">
        <v>608</v>
      </c>
      <c r="FHU339" s="42" t="s">
        <v>608</v>
      </c>
      <c r="FHV339" s="42" t="s">
        <v>608</v>
      </c>
      <c r="FHW339" s="42" t="s">
        <v>608</v>
      </c>
      <c r="FHX339" s="42" t="s">
        <v>608</v>
      </c>
      <c r="FHY339" s="42" t="s">
        <v>608</v>
      </c>
      <c r="FHZ339" s="42" t="s">
        <v>608</v>
      </c>
      <c r="FIA339" s="42" t="s">
        <v>608</v>
      </c>
      <c r="FIB339" s="42" t="s">
        <v>608</v>
      </c>
      <c r="FIC339" s="42" t="s">
        <v>608</v>
      </c>
      <c r="FID339" s="42" t="s">
        <v>608</v>
      </c>
      <c r="FIE339" s="42" t="s">
        <v>608</v>
      </c>
      <c r="FIF339" s="42" t="s">
        <v>608</v>
      </c>
      <c r="FIG339" s="42" t="s">
        <v>608</v>
      </c>
      <c r="FIH339" s="42" t="s">
        <v>608</v>
      </c>
      <c r="FII339" s="42" t="s">
        <v>608</v>
      </c>
      <c r="FIJ339" s="42" t="s">
        <v>608</v>
      </c>
      <c r="FIK339" s="42" t="s">
        <v>608</v>
      </c>
      <c r="FIL339" s="42" t="s">
        <v>608</v>
      </c>
      <c r="FIM339" s="42" t="s">
        <v>608</v>
      </c>
      <c r="FIN339" s="42" t="s">
        <v>608</v>
      </c>
      <c r="FIO339" s="42" t="s">
        <v>608</v>
      </c>
      <c r="FIP339" s="42" t="s">
        <v>608</v>
      </c>
      <c r="FIQ339" s="42" t="s">
        <v>608</v>
      </c>
      <c r="FIR339" s="42" t="s">
        <v>608</v>
      </c>
      <c r="FIS339" s="42" t="s">
        <v>608</v>
      </c>
      <c r="FIT339" s="42" t="s">
        <v>608</v>
      </c>
      <c r="FIU339" s="42" t="s">
        <v>608</v>
      </c>
      <c r="FIV339" s="42" t="s">
        <v>608</v>
      </c>
      <c r="FIW339" s="42" t="s">
        <v>608</v>
      </c>
      <c r="FIX339" s="42" t="s">
        <v>608</v>
      </c>
      <c r="FIY339" s="42" t="s">
        <v>608</v>
      </c>
      <c r="FIZ339" s="42" t="s">
        <v>608</v>
      </c>
      <c r="FJA339" s="42" t="s">
        <v>608</v>
      </c>
      <c r="FJB339" s="42" t="s">
        <v>608</v>
      </c>
      <c r="FJC339" s="42" t="s">
        <v>608</v>
      </c>
      <c r="FJD339" s="42" t="s">
        <v>608</v>
      </c>
      <c r="FJE339" s="42" t="s">
        <v>608</v>
      </c>
      <c r="FJF339" s="42" t="s">
        <v>608</v>
      </c>
      <c r="FJG339" s="42" t="s">
        <v>608</v>
      </c>
      <c r="FJH339" s="42" t="s">
        <v>608</v>
      </c>
      <c r="FJI339" s="42" t="s">
        <v>608</v>
      </c>
      <c r="FJJ339" s="42" t="s">
        <v>608</v>
      </c>
      <c r="FJK339" s="42" t="s">
        <v>608</v>
      </c>
      <c r="FJL339" s="42" t="s">
        <v>608</v>
      </c>
      <c r="FJM339" s="42" t="s">
        <v>608</v>
      </c>
      <c r="FJN339" s="42" t="s">
        <v>608</v>
      </c>
      <c r="FJO339" s="42" t="s">
        <v>608</v>
      </c>
      <c r="FJP339" s="42" t="s">
        <v>608</v>
      </c>
      <c r="FJQ339" s="42" t="s">
        <v>608</v>
      </c>
      <c r="FJR339" s="42" t="s">
        <v>608</v>
      </c>
      <c r="FJS339" s="42" t="s">
        <v>608</v>
      </c>
      <c r="FJT339" s="42" t="s">
        <v>608</v>
      </c>
      <c r="FJU339" s="42" t="s">
        <v>608</v>
      </c>
      <c r="FJV339" s="42" t="s">
        <v>608</v>
      </c>
      <c r="FJW339" s="42" t="s">
        <v>608</v>
      </c>
      <c r="FJX339" s="42" t="s">
        <v>608</v>
      </c>
      <c r="FJY339" s="42" t="s">
        <v>608</v>
      </c>
      <c r="FJZ339" s="42" t="s">
        <v>608</v>
      </c>
      <c r="FKA339" s="42" t="s">
        <v>608</v>
      </c>
      <c r="FKB339" s="42" t="s">
        <v>608</v>
      </c>
      <c r="FKC339" s="42" t="s">
        <v>608</v>
      </c>
      <c r="FKD339" s="42" t="s">
        <v>608</v>
      </c>
      <c r="FKE339" s="42" t="s">
        <v>608</v>
      </c>
      <c r="FKF339" s="42" t="s">
        <v>608</v>
      </c>
      <c r="FKG339" s="42" t="s">
        <v>608</v>
      </c>
      <c r="FKH339" s="42" t="s">
        <v>608</v>
      </c>
      <c r="FKI339" s="42" t="s">
        <v>608</v>
      </c>
      <c r="FKJ339" s="42" t="s">
        <v>608</v>
      </c>
      <c r="FKK339" s="42" t="s">
        <v>608</v>
      </c>
      <c r="FKL339" s="42" t="s">
        <v>608</v>
      </c>
      <c r="FKM339" s="42" t="s">
        <v>608</v>
      </c>
      <c r="FKN339" s="42" t="s">
        <v>608</v>
      </c>
      <c r="FKO339" s="42" t="s">
        <v>608</v>
      </c>
      <c r="FKP339" s="42" t="s">
        <v>608</v>
      </c>
      <c r="FKQ339" s="42" t="s">
        <v>608</v>
      </c>
      <c r="FKR339" s="42" t="s">
        <v>608</v>
      </c>
      <c r="FKS339" s="42" t="s">
        <v>608</v>
      </c>
      <c r="FKT339" s="42" t="s">
        <v>608</v>
      </c>
      <c r="FKU339" s="42" t="s">
        <v>608</v>
      </c>
      <c r="FKV339" s="42" t="s">
        <v>608</v>
      </c>
      <c r="FKW339" s="42" t="s">
        <v>608</v>
      </c>
      <c r="FKX339" s="42" t="s">
        <v>608</v>
      </c>
      <c r="FKY339" s="42" t="s">
        <v>608</v>
      </c>
      <c r="FKZ339" s="42" t="s">
        <v>608</v>
      </c>
      <c r="FLA339" s="42" t="s">
        <v>608</v>
      </c>
      <c r="FLB339" s="42" t="s">
        <v>608</v>
      </c>
      <c r="FLC339" s="42" t="s">
        <v>608</v>
      </c>
      <c r="FLD339" s="42" t="s">
        <v>608</v>
      </c>
      <c r="FLE339" s="42" t="s">
        <v>608</v>
      </c>
      <c r="FLF339" s="42" t="s">
        <v>608</v>
      </c>
      <c r="FLG339" s="42" t="s">
        <v>608</v>
      </c>
      <c r="FLH339" s="42" t="s">
        <v>608</v>
      </c>
      <c r="FLI339" s="42" t="s">
        <v>608</v>
      </c>
      <c r="FLJ339" s="42" t="s">
        <v>608</v>
      </c>
      <c r="FLK339" s="42" t="s">
        <v>608</v>
      </c>
      <c r="FLL339" s="42" t="s">
        <v>608</v>
      </c>
      <c r="FLM339" s="42" t="s">
        <v>608</v>
      </c>
      <c r="FLN339" s="42" t="s">
        <v>608</v>
      </c>
      <c r="FLO339" s="42" t="s">
        <v>608</v>
      </c>
      <c r="FLP339" s="42" t="s">
        <v>608</v>
      </c>
      <c r="FLQ339" s="42" t="s">
        <v>608</v>
      </c>
      <c r="FLR339" s="42" t="s">
        <v>608</v>
      </c>
      <c r="FLS339" s="42" t="s">
        <v>608</v>
      </c>
      <c r="FLT339" s="42" t="s">
        <v>608</v>
      </c>
      <c r="FLU339" s="42" t="s">
        <v>608</v>
      </c>
      <c r="FLV339" s="42" t="s">
        <v>608</v>
      </c>
      <c r="FLW339" s="42" t="s">
        <v>608</v>
      </c>
      <c r="FLX339" s="42" t="s">
        <v>608</v>
      </c>
      <c r="FLY339" s="42" t="s">
        <v>608</v>
      </c>
      <c r="FLZ339" s="42" t="s">
        <v>608</v>
      </c>
      <c r="FMA339" s="42" t="s">
        <v>608</v>
      </c>
      <c r="FMB339" s="42" t="s">
        <v>608</v>
      </c>
      <c r="FMC339" s="42" t="s">
        <v>608</v>
      </c>
      <c r="FMD339" s="42" t="s">
        <v>608</v>
      </c>
      <c r="FME339" s="42" t="s">
        <v>608</v>
      </c>
      <c r="FMF339" s="42" t="s">
        <v>608</v>
      </c>
      <c r="FMG339" s="42" t="s">
        <v>608</v>
      </c>
      <c r="FMH339" s="42" t="s">
        <v>608</v>
      </c>
      <c r="FMI339" s="42" t="s">
        <v>608</v>
      </c>
      <c r="FMJ339" s="42" t="s">
        <v>608</v>
      </c>
      <c r="FMK339" s="42" t="s">
        <v>608</v>
      </c>
      <c r="FML339" s="42" t="s">
        <v>608</v>
      </c>
      <c r="FMM339" s="42" t="s">
        <v>608</v>
      </c>
      <c r="FMN339" s="42" t="s">
        <v>608</v>
      </c>
      <c r="FMO339" s="42" t="s">
        <v>608</v>
      </c>
      <c r="FMP339" s="42" t="s">
        <v>608</v>
      </c>
      <c r="FMQ339" s="42" t="s">
        <v>608</v>
      </c>
      <c r="FMR339" s="42" t="s">
        <v>608</v>
      </c>
      <c r="FMS339" s="42" t="s">
        <v>608</v>
      </c>
      <c r="FMT339" s="42" t="s">
        <v>608</v>
      </c>
      <c r="FMU339" s="42" t="s">
        <v>608</v>
      </c>
      <c r="FMV339" s="42" t="s">
        <v>608</v>
      </c>
      <c r="FMW339" s="42" t="s">
        <v>608</v>
      </c>
      <c r="FMX339" s="42" t="s">
        <v>608</v>
      </c>
      <c r="FMY339" s="42" t="s">
        <v>608</v>
      </c>
      <c r="FMZ339" s="42" t="s">
        <v>608</v>
      </c>
      <c r="FNA339" s="42" t="s">
        <v>608</v>
      </c>
      <c r="FNB339" s="42" t="s">
        <v>608</v>
      </c>
      <c r="FNC339" s="42" t="s">
        <v>608</v>
      </c>
      <c r="FND339" s="42" t="s">
        <v>608</v>
      </c>
      <c r="FNE339" s="42" t="s">
        <v>608</v>
      </c>
      <c r="FNF339" s="42" t="s">
        <v>608</v>
      </c>
      <c r="FNG339" s="42" t="s">
        <v>608</v>
      </c>
      <c r="FNH339" s="42" t="s">
        <v>608</v>
      </c>
      <c r="FNI339" s="42" t="s">
        <v>608</v>
      </c>
      <c r="FNJ339" s="42" t="s">
        <v>608</v>
      </c>
      <c r="FNK339" s="42" t="s">
        <v>608</v>
      </c>
      <c r="FNL339" s="42" t="s">
        <v>608</v>
      </c>
      <c r="FNM339" s="42" t="s">
        <v>608</v>
      </c>
      <c r="FNN339" s="42" t="s">
        <v>608</v>
      </c>
      <c r="FNO339" s="42" t="s">
        <v>608</v>
      </c>
      <c r="FNP339" s="42" t="s">
        <v>608</v>
      </c>
      <c r="FNQ339" s="42" t="s">
        <v>608</v>
      </c>
      <c r="FNR339" s="42" t="s">
        <v>608</v>
      </c>
      <c r="FNS339" s="42" t="s">
        <v>608</v>
      </c>
      <c r="FNT339" s="42" t="s">
        <v>608</v>
      </c>
      <c r="FNU339" s="42" t="s">
        <v>608</v>
      </c>
      <c r="FNV339" s="42" t="s">
        <v>608</v>
      </c>
      <c r="FNW339" s="42" t="s">
        <v>608</v>
      </c>
      <c r="FNX339" s="42" t="s">
        <v>608</v>
      </c>
      <c r="FNY339" s="42" t="s">
        <v>608</v>
      </c>
      <c r="FNZ339" s="42" t="s">
        <v>608</v>
      </c>
      <c r="FOA339" s="42" t="s">
        <v>608</v>
      </c>
      <c r="FOB339" s="42" t="s">
        <v>608</v>
      </c>
      <c r="FOC339" s="42" t="s">
        <v>608</v>
      </c>
      <c r="FOD339" s="42" t="s">
        <v>608</v>
      </c>
      <c r="FOE339" s="42" t="s">
        <v>608</v>
      </c>
      <c r="FOF339" s="42" t="s">
        <v>608</v>
      </c>
      <c r="FOG339" s="42" t="s">
        <v>608</v>
      </c>
      <c r="FOH339" s="42" t="s">
        <v>608</v>
      </c>
      <c r="FOI339" s="42" t="s">
        <v>608</v>
      </c>
      <c r="FOJ339" s="42" t="s">
        <v>608</v>
      </c>
      <c r="FOK339" s="42" t="s">
        <v>608</v>
      </c>
      <c r="FOL339" s="42" t="s">
        <v>608</v>
      </c>
      <c r="FOM339" s="42" t="s">
        <v>608</v>
      </c>
      <c r="FON339" s="42" t="s">
        <v>608</v>
      </c>
      <c r="FOO339" s="42" t="s">
        <v>608</v>
      </c>
      <c r="FOP339" s="42" t="s">
        <v>608</v>
      </c>
      <c r="FOQ339" s="42" t="s">
        <v>608</v>
      </c>
      <c r="FOR339" s="42" t="s">
        <v>608</v>
      </c>
      <c r="FOS339" s="42" t="s">
        <v>608</v>
      </c>
      <c r="FOT339" s="42" t="s">
        <v>608</v>
      </c>
      <c r="FOU339" s="42" t="s">
        <v>608</v>
      </c>
      <c r="FOV339" s="42" t="s">
        <v>608</v>
      </c>
      <c r="FOW339" s="42" t="s">
        <v>608</v>
      </c>
      <c r="FOX339" s="42" t="s">
        <v>608</v>
      </c>
      <c r="FOY339" s="42" t="s">
        <v>608</v>
      </c>
      <c r="FOZ339" s="42" t="s">
        <v>608</v>
      </c>
      <c r="FPA339" s="42" t="s">
        <v>608</v>
      </c>
      <c r="FPB339" s="42" t="s">
        <v>608</v>
      </c>
      <c r="FPC339" s="42" t="s">
        <v>608</v>
      </c>
      <c r="FPD339" s="42" t="s">
        <v>608</v>
      </c>
      <c r="FPE339" s="42" t="s">
        <v>608</v>
      </c>
      <c r="FPF339" s="42" t="s">
        <v>608</v>
      </c>
      <c r="FPG339" s="42" t="s">
        <v>608</v>
      </c>
      <c r="FPH339" s="42" t="s">
        <v>608</v>
      </c>
      <c r="FPI339" s="42" t="s">
        <v>608</v>
      </c>
      <c r="FPJ339" s="42" t="s">
        <v>608</v>
      </c>
      <c r="FPK339" s="42" t="s">
        <v>608</v>
      </c>
      <c r="FPL339" s="42" t="s">
        <v>608</v>
      </c>
      <c r="FPM339" s="42" t="s">
        <v>608</v>
      </c>
      <c r="FPN339" s="42" t="s">
        <v>608</v>
      </c>
      <c r="FPO339" s="42" t="s">
        <v>608</v>
      </c>
      <c r="FPP339" s="42" t="s">
        <v>608</v>
      </c>
      <c r="FPQ339" s="42" t="s">
        <v>608</v>
      </c>
      <c r="FPR339" s="42" t="s">
        <v>608</v>
      </c>
      <c r="FPS339" s="42" t="s">
        <v>608</v>
      </c>
      <c r="FPT339" s="42" t="s">
        <v>608</v>
      </c>
      <c r="FPU339" s="42" t="s">
        <v>608</v>
      </c>
      <c r="FPV339" s="42" t="s">
        <v>608</v>
      </c>
      <c r="FPW339" s="42" t="s">
        <v>608</v>
      </c>
      <c r="FPX339" s="42" t="s">
        <v>608</v>
      </c>
      <c r="FPY339" s="42" t="s">
        <v>608</v>
      </c>
      <c r="FPZ339" s="42" t="s">
        <v>608</v>
      </c>
      <c r="FQA339" s="42" t="s">
        <v>608</v>
      </c>
      <c r="FQB339" s="42" t="s">
        <v>608</v>
      </c>
      <c r="FQC339" s="42" t="s">
        <v>608</v>
      </c>
      <c r="FQD339" s="42" t="s">
        <v>608</v>
      </c>
      <c r="FQE339" s="42" t="s">
        <v>608</v>
      </c>
      <c r="FQF339" s="42" t="s">
        <v>608</v>
      </c>
      <c r="FQG339" s="42" t="s">
        <v>608</v>
      </c>
      <c r="FQH339" s="42" t="s">
        <v>608</v>
      </c>
      <c r="FQI339" s="42" t="s">
        <v>608</v>
      </c>
      <c r="FQJ339" s="42" t="s">
        <v>608</v>
      </c>
      <c r="FQK339" s="42" t="s">
        <v>608</v>
      </c>
      <c r="FQL339" s="42" t="s">
        <v>608</v>
      </c>
      <c r="FQM339" s="42" t="s">
        <v>608</v>
      </c>
      <c r="FQN339" s="42" t="s">
        <v>608</v>
      </c>
      <c r="FQO339" s="42" t="s">
        <v>608</v>
      </c>
      <c r="FQP339" s="42" t="s">
        <v>608</v>
      </c>
      <c r="FQQ339" s="42" t="s">
        <v>608</v>
      </c>
      <c r="FQR339" s="42" t="s">
        <v>608</v>
      </c>
      <c r="FQS339" s="42" t="s">
        <v>608</v>
      </c>
      <c r="FQT339" s="42" t="s">
        <v>608</v>
      </c>
      <c r="FQU339" s="42" t="s">
        <v>608</v>
      </c>
      <c r="FQV339" s="42" t="s">
        <v>608</v>
      </c>
      <c r="FQW339" s="42" t="s">
        <v>608</v>
      </c>
      <c r="FQX339" s="42" t="s">
        <v>608</v>
      </c>
      <c r="FQY339" s="42" t="s">
        <v>608</v>
      </c>
      <c r="FQZ339" s="42" t="s">
        <v>608</v>
      </c>
      <c r="FRA339" s="42" t="s">
        <v>608</v>
      </c>
      <c r="FRB339" s="42" t="s">
        <v>608</v>
      </c>
      <c r="FRC339" s="42" t="s">
        <v>608</v>
      </c>
      <c r="FRD339" s="42" t="s">
        <v>608</v>
      </c>
      <c r="FRE339" s="42" t="s">
        <v>608</v>
      </c>
      <c r="FRF339" s="42" t="s">
        <v>608</v>
      </c>
      <c r="FRG339" s="42" t="s">
        <v>608</v>
      </c>
      <c r="FRH339" s="42" t="s">
        <v>608</v>
      </c>
      <c r="FRI339" s="42" t="s">
        <v>608</v>
      </c>
      <c r="FRJ339" s="42" t="s">
        <v>608</v>
      </c>
      <c r="FRK339" s="42" t="s">
        <v>608</v>
      </c>
      <c r="FRL339" s="42" t="s">
        <v>608</v>
      </c>
      <c r="FRM339" s="42" t="s">
        <v>608</v>
      </c>
      <c r="FRN339" s="42" t="s">
        <v>608</v>
      </c>
      <c r="FRO339" s="42" t="s">
        <v>608</v>
      </c>
      <c r="FRP339" s="42" t="s">
        <v>608</v>
      </c>
      <c r="FRQ339" s="42" t="s">
        <v>608</v>
      </c>
      <c r="FRR339" s="42" t="s">
        <v>608</v>
      </c>
      <c r="FRS339" s="42" t="s">
        <v>608</v>
      </c>
      <c r="FRT339" s="42" t="s">
        <v>608</v>
      </c>
      <c r="FRU339" s="42" t="s">
        <v>608</v>
      </c>
      <c r="FRV339" s="42" t="s">
        <v>608</v>
      </c>
      <c r="FRW339" s="42" t="s">
        <v>608</v>
      </c>
      <c r="FRX339" s="42" t="s">
        <v>608</v>
      </c>
      <c r="FRY339" s="42" t="s">
        <v>608</v>
      </c>
      <c r="FRZ339" s="42" t="s">
        <v>608</v>
      </c>
      <c r="FSA339" s="42" t="s">
        <v>608</v>
      </c>
      <c r="FSB339" s="42" t="s">
        <v>608</v>
      </c>
      <c r="FSC339" s="42" t="s">
        <v>608</v>
      </c>
      <c r="FSD339" s="42" t="s">
        <v>608</v>
      </c>
      <c r="FSE339" s="42" t="s">
        <v>608</v>
      </c>
      <c r="FSF339" s="42" t="s">
        <v>608</v>
      </c>
      <c r="FSG339" s="42" t="s">
        <v>608</v>
      </c>
      <c r="FSH339" s="42" t="s">
        <v>608</v>
      </c>
      <c r="FSI339" s="42" t="s">
        <v>608</v>
      </c>
      <c r="FSJ339" s="42" t="s">
        <v>608</v>
      </c>
      <c r="FSK339" s="42" t="s">
        <v>608</v>
      </c>
      <c r="FSL339" s="42" t="s">
        <v>608</v>
      </c>
      <c r="FSM339" s="42" t="s">
        <v>608</v>
      </c>
      <c r="FSN339" s="42" t="s">
        <v>608</v>
      </c>
      <c r="FSO339" s="42" t="s">
        <v>608</v>
      </c>
      <c r="FSP339" s="42" t="s">
        <v>608</v>
      </c>
      <c r="FSQ339" s="42" t="s">
        <v>608</v>
      </c>
      <c r="FSR339" s="42" t="s">
        <v>608</v>
      </c>
      <c r="FSS339" s="42" t="s">
        <v>608</v>
      </c>
      <c r="FST339" s="42" t="s">
        <v>608</v>
      </c>
      <c r="FSU339" s="42" t="s">
        <v>608</v>
      </c>
      <c r="FSV339" s="42" t="s">
        <v>608</v>
      </c>
      <c r="FSW339" s="42" t="s">
        <v>608</v>
      </c>
      <c r="FSX339" s="42" t="s">
        <v>608</v>
      </c>
      <c r="FSY339" s="42" t="s">
        <v>608</v>
      </c>
      <c r="FSZ339" s="42" t="s">
        <v>608</v>
      </c>
      <c r="FTA339" s="42" t="s">
        <v>608</v>
      </c>
      <c r="FTB339" s="42" t="s">
        <v>608</v>
      </c>
      <c r="FTC339" s="42" t="s">
        <v>608</v>
      </c>
      <c r="FTD339" s="42" t="s">
        <v>608</v>
      </c>
      <c r="FTE339" s="42" t="s">
        <v>608</v>
      </c>
      <c r="FTF339" s="42" t="s">
        <v>608</v>
      </c>
      <c r="FTG339" s="42" t="s">
        <v>608</v>
      </c>
      <c r="FTH339" s="42" t="s">
        <v>608</v>
      </c>
      <c r="FTI339" s="42" t="s">
        <v>608</v>
      </c>
      <c r="FTJ339" s="42" t="s">
        <v>608</v>
      </c>
      <c r="FTK339" s="42" t="s">
        <v>608</v>
      </c>
      <c r="FTL339" s="42" t="s">
        <v>608</v>
      </c>
      <c r="FTM339" s="42" t="s">
        <v>608</v>
      </c>
      <c r="FTN339" s="42" t="s">
        <v>608</v>
      </c>
      <c r="FTO339" s="42" t="s">
        <v>608</v>
      </c>
      <c r="FTP339" s="42" t="s">
        <v>608</v>
      </c>
      <c r="FTQ339" s="42" t="s">
        <v>608</v>
      </c>
      <c r="FTR339" s="42" t="s">
        <v>608</v>
      </c>
      <c r="FTS339" s="42" t="s">
        <v>608</v>
      </c>
      <c r="FTT339" s="42" t="s">
        <v>608</v>
      </c>
      <c r="FTU339" s="42" t="s">
        <v>608</v>
      </c>
      <c r="FTV339" s="42" t="s">
        <v>608</v>
      </c>
      <c r="FTW339" s="42" t="s">
        <v>608</v>
      </c>
      <c r="FTX339" s="42" t="s">
        <v>608</v>
      </c>
      <c r="FTY339" s="42" t="s">
        <v>608</v>
      </c>
      <c r="FTZ339" s="42" t="s">
        <v>608</v>
      </c>
      <c r="FUA339" s="42" t="s">
        <v>608</v>
      </c>
      <c r="FUB339" s="42" t="s">
        <v>608</v>
      </c>
      <c r="FUC339" s="42" t="s">
        <v>608</v>
      </c>
      <c r="FUD339" s="42" t="s">
        <v>608</v>
      </c>
      <c r="FUE339" s="42" t="s">
        <v>608</v>
      </c>
      <c r="FUF339" s="42" t="s">
        <v>608</v>
      </c>
      <c r="FUG339" s="42" t="s">
        <v>608</v>
      </c>
      <c r="FUH339" s="42" t="s">
        <v>608</v>
      </c>
      <c r="FUI339" s="42" t="s">
        <v>608</v>
      </c>
      <c r="FUJ339" s="42" t="s">
        <v>608</v>
      </c>
      <c r="FUK339" s="42" t="s">
        <v>608</v>
      </c>
      <c r="FUL339" s="42" t="s">
        <v>608</v>
      </c>
      <c r="FUM339" s="42" t="s">
        <v>608</v>
      </c>
      <c r="FUN339" s="42" t="s">
        <v>608</v>
      </c>
      <c r="FUO339" s="42" t="s">
        <v>608</v>
      </c>
      <c r="FUP339" s="42" t="s">
        <v>608</v>
      </c>
      <c r="FUQ339" s="42" t="s">
        <v>608</v>
      </c>
      <c r="FUR339" s="42" t="s">
        <v>608</v>
      </c>
      <c r="FUS339" s="42" t="s">
        <v>608</v>
      </c>
      <c r="FUT339" s="42" t="s">
        <v>608</v>
      </c>
      <c r="FUU339" s="42" t="s">
        <v>608</v>
      </c>
      <c r="FUV339" s="42" t="s">
        <v>608</v>
      </c>
      <c r="FUW339" s="42" t="s">
        <v>608</v>
      </c>
      <c r="FUX339" s="42" t="s">
        <v>608</v>
      </c>
      <c r="FUY339" s="42" t="s">
        <v>608</v>
      </c>
      <c r="FUZ339" s="42" t="s">
        <v>608</v>
      </c>
      <c r="FVA339" s="42" t="s">
        <v>608</v>
      </c>
      <c r="FVB339" s="42" t="s">
        <v>608</v>
      </c>
      <c r="FVC339" s="42" t="s">
        <v>608</v>
      </c>
      <c r="FVD339" s="42" t="s">
        <v>608</v>
      </c>
      <c r="FVE339" s="42" t="s">
        <v>608</v>
      </c>
      <c r="FVF339" s="42" t="s">
        <v>608</v>
      </c>
      <c r="FVG339" s="42" t="s">
        <v>608</v>
      </c>
      <c r="FVH339" s="42" t="s">
        <v>608</v>
      </c>
      <c r="FVI339" s="42" t="s">
        <v>608</v>
      </c>
      <c r="FVJ339" s="42" t="s">
        <v>608</v>
      </c>
      <c r="FVK339" s="42" t="s">
        <v>608</v>
      </c>
      <c r="FVL339" s="42" t="s">
        <v>608</v>
      </c>
      <c r="FVM339" s="42" t="s">
        <v>608</v>
      </c>
      <c r="FVN339" s="42" t="s">
        <v>608</v>
      </c>
      <c r="FVO339" s="42" t="s">
        <v>608</v>
      </c>
      <c r="FVP339" s="42" t="s">
        <v>608</v>
      </c>
      <c r="FVQ339" s="42" t="s">
        <v>608</v>
      </c>
      <c r="FVR339" s="42" t="s">
        <v>608</v>
      </c>
      <c r="FVS339" s="42" t="s">
        <v>608</v>
      </c>
      <c r="FVT339" s="42" t="s">
        <v>608</v>
      </c>
      <c r="FVU339" s="42" t="s">
        <v>608</v>
      </c>
      <c r="FVV339" s="42" t="s">
        <v>608</v>
      </c>
      <c r="FVW339" s="42" t="s">
        <v>608</v>
      </c>
      <c r="FVX339" s="42" t="s">
        <v>608</v>
      </c>
      <c r="FVY339" s="42" t="s">
        <v>608</v>
      </c>
      <c r="FVZ339" s="42" t="s">
        <v>608</v>
      </c>
      <c r="FWA339" s="42" t="s">
        <v>608</v>
      </c>
      <c r="FWB339" s="42" t="s">
        <v>608</v>
      </c>
      <c r="FWC339" s="42" t="s">
        <v>608</v>
      </c>
      <c r="FWD339" s="42" t="s">
        <v>608</v>
      </c>
      <c r="FWE339" s="42" t="s">
        <v>608</v>
      </c>
      <c r="FWF339" s="42" t="s">
        <v>608</v>
      </c>
      <c r="FWG339" s="42" t="s">
        <v>608</v>
      </c>
      <c r="FWH339" s="42" t="s">
        <v>608</v>
      </c>
      <c r="FWI339" s="42" t="s">
        <v>608</v>
      </c>
      <c r="FWJ339" s="42" t="s">
        <v>608</v>
      </c>
      <c r="FWK339" s="42" t="s">
        <v>608</v>
      </c>
      <c r="FWL339" s="42" t="s">
        <v>608</v>
      </c>
      <c r="FWM339" s="42" t="s">
        <v>608</v>
      </c>
      <c r="FWN339" s="42" t="s">
        <v>608</v>
      </c>
      <c r="FWO339" s="42" t="s">
        <v>608</v>
      </c>
      <c r="FWP339" s="42" t="s">
        <v>608</v>
      </c>
      <c r="FWQ339" s="42" t="s">
        <v>608</v>
      </c>
      <c r="FWR339" s="42" t="s">
        <v>608</v>
      </c>
      <c r="FWS339" s="42" t="s">
        <v>608</v>
      </c>
      <c r="FWT339" s="42" t="s">
        <v>608</v>
      </c>
      <c r="FWU339" s="42" t="s">
        <v>608</v>
      </c>
      <c r="FWV339" s="42" t="s">
        <v>608</v>
      </c>
      <c r="FWW339" s="42" t="s">
        <v>608</v>
      </c>
      <c r="FWX339" s="42" t="s">
        <v>608</v>
      </c>
      <c r="FWY339" s="42" t="s">
        <v>608</v>
      </c>
      <c r="FWZ339" s="42" t="s">
        <v>608</v>
      </c>
      <c r="FXA339" s="42" t="s">
        <v>608</v>
      </c>
      <c r="FXB339" s="42" t="s">
        <v>608</v>
      </c>
      <c r="FXC339" s="42" t="s">
        <v>608</v>
      </c>
      <c r="FXD339" s="42" t="s">
        <v>608</v>
      </c>
      <c r="FXE339" s="42" t="s">
        <v>608</v>
      </c>
      <c r="FXF339" s="42" t="s">
        <v>608</v>
      </c>
      <c r="FXG339" s="42" t="s">
        <v>608</v>
      </c>
      <c r="FXH339" s="42" t="s">
        <v>608</v>
      </c>
      <c r="FXI339" s="42" t="s">
        <v>608</v>
      </c>
      <c r="FXJ339" s="42" t="s">
        <v>608</v>
      </c>
      <c r="FXK339" s="42" t="s">
        <v>608</v>
      </c>
      <c r="FXL339" s="42" t="s">
        <v>608</v>
      </c>
      <c r="FXM339" s="42" t="s">
        <v>608</v>
      </c>
      <c r="FXN339" s="42" t="s">
        <v>608</v>
      </c>
      <c r="FXO339" s="42" t="s">
        <v>608</v>
      </c>
      <c r="FXP339" s="42" t="s">
        <v>608</v>
      </c>
      <c r="FXQ339" s="42" t="s">
        <v>608</v>
      </c>
      <c r="FXR339" s="42" t="s">
        <v>608</v>
      </c>
      <c r="FXS339" s="42" t="s">
        <v>608</v>
      </c>
      <c r="FXT339" s="42" t="s">
        <v>608</v>
      </c>
      <c r="FXU339" s="42" t="s">
        <v>608</v>
      </c>
      <c r="FXV339" s="42" t="s">
        <v>608</v>
      </c>
      <c r="FXW339" s="42" t="s">
        <v>608</v>
      </c>
      <c r="FXX339" s="42" t="s">
        <v>608</v>
      </c>
      <c r="FXY339" s="42" t="s">
        <v>608</v>
      </c>
      <c r="FXZ339" s="42" t="s">
        <v>608</v>
      </c>
      <c r="FYA339" s="42" t="s">
        <v>608</v>
      </c>
      <c r="FYB339" s="42" t="s">
        <v>608</v>
      </c>
      <c r="FYC339" s="42" t="s">
        <v>608</v>
      </c>
      <c r="FYD339" s="42" t="s">
        <v>608</v>
      </c>
      <c r="FYE339" s="42" t="s">
        <v>608</v>
      </c>
      <c r="FYF339" s="42" t="s">
        <v>608</v>
      </c>
      <c r="FYG339" s="42" t="s">
        <v>608</v>
      </c>
      <c r="FYH339" s="42" t="s">
        <v>608</v>
      </c>
      <c r="FYI339" s="42" t="s">
        <v>608</v>
      </c>
      <c r="FYJ339" s="42" t="s">
        <v>608</v>
      </c>
      <c r="FYK339" s="42" t="s">
        <v>608</v>
      </c>
      <c r="FYL339" s="42" t="s">
        <v>608</v>
      </c>
      <c r="FYM339" s="42" t="s">
        <v>608</v>
      </c>
      <c r="FYN339" s="42" t="s">
        <v>608</v>
      </c>
      <c r="FYO339" s="42" t="s">
        <v>608</v>
      </c>
      <c r="FYP339" s="42" t="s">
        <v>608</v>
      </c>
      <c r="FYQ339" s="42" t="s">
        <v>608</v>
      </c>
      <c r="FYR339" s="42" t="s">
        <v>608</v>
      </c>
      <c r="FYS339" s="42" t="s">
        <v>608</v>
      </c>
      <c r="FYT339" s="42" t="s">
        <v>608</v>
      </c>
      <c r="FYU339" s="42" t="s">
        <v>608</v>
      </c>
      <c r="FYV339" s="42" t="s">
        <v>608</v>
      </c>
      <c r="FYW339" s="42" t="s">
        <v>608</v>
      </c>
      <c r="FYX339" s="42" t="s">
        <v>608</v>
      </c>
      <c r="FYY339" s="42" t="s">
        <v>608</v>
      </c>
      <c r="FYZ339" s="42" t="s">
        <v>608</v>
      </c>
      <c r="FZA339" s="42" t="s">
        <v>608</v>
      </c>
      <c r="FZB339" s="42" t="s">
        <v>608</v>
      </c>
      <c r="FZC339" s="42" t="s">
        <v>608</v>
      </c>
      <c r="FZD339" s="42" t="s">
        <v>608</v>
      </c>
      <c r="FZE339" s="42" t="s">
        <v>608</v>
      </c>
      <c r="FZF339" s="42" t="s">
        <v>608</v>
      </c>
      <c r="FZG339" s="42" t="s">
        <v>608</v>
      </c>
      <c r="FZH339" s="42" t="s">
        <v>608</v>
      </c>
      <c r="FZI339" s="42" t="s">
        <v>608</v>
      </c>
      <c r="FZJ339" s="42" t="s">
        <v>608</v>
      </c>
      <c r="FZK339" s="42" t="s">
        <v>608</v>
      </c>
      <c r="FZL339" s="42" t="s">
        <v>608</v>
      </c>
      <c r="FZM339" s="42" t="s">
        <v>608</v>
      </c>
      <c r="FZN339" s="42" t="s">
        <v>608</v>
      </c>
      <c r="FZO339" s="42" t="s">
        <v>608</v>
      </c>
      <c r="FZP339" s="42" t="s">
        <v>608</v>
      </c>
      <c r="FZQ339" s="42" t="s">
        <v>608</v>
      </c>
      <c r="FZR339" s="42" t="s">
        <v>608</v>
      </c>
      <c r="FZS339" s="42" t="s">
        <v>608</v>
      </c>
      <c r="FZT339" s="42" t="s">
        <v>608</v>
      </c>
      <c r="FZU339" s="42" t="s">
        <v>608</v>
      </c>
      <c r="FZV339" s="42" t="s">
        <v>608</v>
      </c>
      <c r="FZW339" s="42" t="s">
        <v>608</v>
      </c>
      <c r="FZX339" s="42" t="s">
        <v>608</v>
      </c>
      <c r="FZY339" s="42" t="s">
        <v>608</v>
      </c>
      <c r="FZZ339" s="42" t="s">
        <v>608</v>
      </c>
      <c r="GAA339" s="42" t="s">
        <v>608</v>
      </c>
      <c r="GAB339" s="42" t="s">
        <v>608</v>
      </c>
      <c r="GAC339" s="42" t="s">
        <v>608</v>
      </c>
      <c r="GAD339" s="42" t="s">
        <v>608</v>
      </c>
      <c r="GAE339" s="42" t="s">
        <v>608</v>
      </c>
      <c r="GAF339" s="42" t="s">
        <v>608</v>
      </c>
      <c r="GAG339" s="42" t="s">
        <v>608</v>
      </c>
      <c r="GAH339" s="42" t="s">
        <v>608</v>
      </c>
      <c r="GAI339" s="42" t="s">
        <v>608</v>
      </c>
      <c r="GAJ339" s="42" t="s">
        <v>608</v>
      </c>
      <c r="GAK339" s="42" t="s">
        <v>608</v>
      </c>
      <c r="GAL339" s="42" t="s">
        <v>608</v>
      </c>
      <c r="GAM339" s="42" t="s">
        <v>608</v>
      </c>
      <c r="GAN339" s="42" t="s">
        <v>608</v>
      </c>
      <c r="GAO339" s="42" t="s">
        <v>608</v>
      </c>
      <c r="GAP339" s="42" t="s">
        <v>608</v>
      </c>
      <c r="GAQ339" s="42" t="s">
        <v>608</v>
      </c>
      <c r="GAR339" s="42" t="s">
        <v>608</v>
      </c>
      <c r="GAS339" s="42" t="s">
        <v>608</v>
      </c>
      <c r="GAT339" s="42" t="s">
        <v>608</v>
      </c>
      <c r="GAU339" s="42" t="s">
        <v>608</v>
      </c>
      <c r="GAV339" s="42" t="s">
        <v>608</v>
      </c>
      <c r="GAW339" s="42" t="s">
        <v>608</v>
      </c>
      <c r="GAX339" s="42" t="s">
        <v>608</v>
      </c>
      <c r="GAY339" s="42" t="s">
        <v>608</v>
      </c>
      <c r="GAZ339" s="42" t="s">
        <v>608</v>
      </c>
      <c r="GBA339" s="42" t="s">
        <v>608</v>
      </c>
      <c r="GBB339" s="42" t="s">
        <v>608</v>
      </c>
      <c r="GBC339" s="42" t="s">
        <v>608</v>
      </c>
      <c r="GBD339" s="42" t="s">
        <v>608</v>
      </c>
      <c r="GBE339" s="42" t="s">
        <v>608</v>
      </c>
      <c r="GBF339" s="42" t="s">
        <v>608</v>
      </c>
      <c r="GBG339" s="42" t="s">
        <v>608</v>
      </c>
      <c r="GBH339" s="42" t="s">
        <v>608</v>
      </c>
      <c r="GBI339" s="42" t="s">
        <v>608</v>
      </c>
      <c r="GBJ339" s="42" t="s">
        <v>608</v>
      </c>
      <c r="GBK339" s="42" t="s">
        <v>608</v>
      </c>
      <c r="GBL339" s="42" t="s">
        <v>608</v>
      </c>
      <c r="GBM339" s="42" t="s">
        <v>608</v>
      </c>
      <c r="GBN339" s="42" t="s">
        <v>608</v>
      </c>
      <c r="GBO339" s="42" t="s">
        <v>608</v>
      </c>
      <c r="GBP339" s="42" t="s">
        <v>608</v>
      </c>
      <c r="GBQ339" s="42" t="s">
        <v>608</v>
      </c>
      <c r="GBR339" s="42" t="s">
        <v>608</v>
      </c>
      <c r="GBS339" s="42" t="s">
        <v>608</v>
      </c>
      <c r="GBT339" s="42" t="s">
        <v>608</v>
      </c>
      <c r="GBU339" s="42" t="s">
        <v>608</v>
      </c>
      <c r="GBV339" s="42" t="s">
        <v>608</v>
      </c>
      <c r="GBW339" s="42" t="s">
        <v>608</v>
      </c>
      <c r="GBX339" s="42" t="s">
        <v>608</v>
      </c>
      <c r="GBY339" s="42" t="s">
        <v>608</v>
      </c>
      <c r="GBZ339" s="42" t="s">
        <v>608</v>
      </c>
      <c r="GCA339" s="42" t="s">
        <v>608</v>
      </c>
      <c r="GCB339" s="42" t="s">
        <v>608</v>
      </c>
      <c r="GCC339" s="42" t="s">
        <v>608</v>
      </c>
      <c r="GCD339" s="42" t="s">
        <v>608</v>
      </c>
      <c r="GCE339" s="42" t="s">
        <v>608</v>
      </c>
      <c r="GCF339" s="42" t="s">
        <v>608</v>
      </c>
      <c r="GCG339" s="42" t="s">
        <v>608</v>
      </c>
      <c r="GCH339" s="42" t="s">
        <v>608</v>
      </c>
      <c r="GCI339" s="42" t="s">
        <v>608</v>
      </c>
      <c r="GCJ339" s="42" t="s">
        <v>608</v>
      </c>
      <c r="GCK339" s="42" t="s">
        <v>608</v>
      </c>
      <c r="GCL339" s="42" t="s">
        <v>608</v>
      </c>
      <c r="GCM339" s="42" t="s">
        <v>608</v>
      </c>
      <c r="GCN339" s="42" t="s">
        <v>608</v>
      </c>
      <c r="GCO339" s="42" t="s">
        <v>608</v>
      </c>
      <c r="GCP339" s="42" t="s">
        <v>608</v>
      </c>
      <c r="GCQ339" s="42" t="s">
        <v>608</v>
      </c>
      <c r="GCR339" s="42" t="s">
        <v>608</v>
      </c>
      <c r="GCS339" s="42" t="s">
        <v>608</v>
      </c>
      <c r="GCT339" s="42" t="s">
        <v>608</v>
      </c>
      <c r="GCU339" s="42" t="s">
        <v>608</v>
      </c>
      <c r="GCV339" s="42" t="s">
        <v>608</v>
      </c>
      <c r="GCW339" s="42" t="s">
        <v>608</v>
      </c>
      <c r="GCX339" s="42" t="s">
        <v>608</v>
      </c>
      <c r="GCY339" s="42" t="s">
        <v>608</v>
      </c>
      <c r="GCZ339" s="42" t="s">
        <v>608</v>
      </c>
      <c r="GDA339" s="42" t="s">
        <v>608</v>
      </c>
      <c r="GDB339" s="42" t="s">
        <v>608</v>
      </c>
      <c r="GDC339" s="42" t="s">
        <v>608</v>
      </c>
      <c r="GDD339" s="42" t="s">
        <v>608</v>
      </c>
      <c r="GDE339" s="42" t="s">
        <v>608</v>
      </c>
      <c r="GDF339" s="42" t="s">
        <v>608</v>
      </c>
      <c r="GDG339" s="42" t="s">
        <v>608</v>
      </c>
      <c r="GDH339" s="42" t="s">
        <v>608</v>
      </c>
      <c r="GDI339" s="42" t="s">
        <v>608</v>
      </c>
      <c r="GDJ339" s="42" t="s">
        <v>608</v>
      </c>
      <c r="GDK339" s="42" t="s">
        <v>608</v>
      </c>
      <c r="GDL339" s="42" t="s">
        <v>608</v>
      </c>
      <c r="GDM339" s="42" t="s">
        <v>608</v>
      </c>
      <c r="GDN339" s="42" t="s">
        <v>608</v>
      </c>
      <c r="GDO339" s="42" t="s">
        <v>608</v>
      </c>
      <c r="GDP339" s="42" t="s">
        <v>608</v>
      </c>
      <c r="GDQ339" s="42" t="s">
        <v>608</v>
      </c>
      <c r="GDR339" s="42" t="s">
        <v>608</v>
      </c>
      <c r="GDS339" s="42" t="s">
        <v>608</v>
      </c>
      <c r="GDT339" s="42" t="s">
        <v>608</v>
      </c>
      <c r="GDU339" s="42" t="s">
        <v>608</v>
      </c>
      <c r="GDV339" s="42" t="s">
        <v>608</v>
      </c>
      <c r="GDW339" s="42" t="s">
        <v>608</v>
      </c>
      <c r="GDX339" s="42" t="s">
        <v>608</v>
      </c>
      <c r="GDY339" s="42" t="s">
        <v>608</v>
      </c>
      <c r="GDZ339" s="42" t="s">
        <v>608</v>
      </c>
      <c r="GEA339" s="42" t="s">
        <v>608</v>
      </c>
      <c r="GEB339" s="42" t="s">
        <v>608</v>
      </c>
      <c r="GEC339" s="42" t="s">
        <v>608</v>
      </c>
      <c r="GED339" s="42" t="s">
        <v>608</v>
      </c>
      <c r="GEE339" s="42" t="s">
        <v>608</v>
      </c>
      <c r="GEF339" s="42" t="s">
        <v>608</v>
      </c>
      <c r="GEG339" s="42" t="s">
        <v>608</v>
      </c>
      <c r="GEH339" s="42" t="s">
        <v>608</v>
      </c>
      <c r="GEI339" s="42" t="s">
        <v>608</v>
      </c>
      <c r="GEJ339" s="42" t="s">
        <v>608</v>
      </c>
      <c r="GEK339" s="42" t="s">
        <v>608</v>
      </c>
      <c r="GEL339" s="42" t="s">
        <v>608</v>
      </c>
      <c r="GEM339" s="42" t="s">
        <v>608</v>
      </c>
      <c r="GEN339" s="42" t="s">
        <v>608</v>
      </c>
      <c r="GEO339" s="42" t="s">
        <v>608</v>
      </c>
      <c r="GEP339" s="42" t="s">
        <v>608</v>
      </c>
      <c r="GEQ339" s="42" t="s">
        <v>608</v>
      </c>
      <c r="GER339" s="42" t="s">
        <v>608</v>
      </c>
      <c r="GES339" s="42" t="s">
        <v>608</v>
      </c>
      <c r="GET339" s="42" t="s">
        <v>608</v>
      </c>
      <c r="GEU339" s="42" t="s">
        <v>608</v>
      </c>
      <c r="GEV339" s="42" t="s">
        <v>608</v>
      </c>
      <c r="GEW339" s="42" t="s">
        <v>608</v>
      </c>
      <c r="GEX339" s="42" t="s">
        <v>608</v>
      </c>
      <c r="GEY339" s="42" t="s">
        <v>608</v>
      </c>
      <c r="GEZ339" s="42" t="s">
        <v>608</v>
      </c>
      <c r="GFA339" s="42" t="s">
        <v>608</v>
      </c>
      <c r="GFB339" s="42" t="s">
        <v>608</v>
      </c>
      <c r="GFC339" s="42" t="s">
        <v>608</v>
      </c>
      <c r="GFD339" s="42" t="s">
        <v>608</v>
      </c>
      <c r="GFE339" s="42" t="s">
        <v>608</v>
      </c>
      <c r="GFF339" s="42" t="s">
        <v>608</v>
      </c>
      <c r="GFG339" s="42" t="s">
        <v>608</v>
      </c>
      <c r="GFH339" s="42" t="s">
        <v>608</v>
      </c>
      <c r="GFI339" s="42" t="s">
        <v>608</v>
      </c>
      <c r="GFJ339" s="42" t="s">
        <v>608</v>
      </c>
      <c r="GFK339" s="42" t="s">
        <v>608</v>
      </c>
      <c r="GFL339" s="42" t="s">
        <v>608</v>
      </c>
      <c r="GFM339" s="42" t="s">
        <v>608</v>
      </c>
      <c r="GFN339" s="42" t="s">
        <v>608</v>
      </c>
      <c r="GFO339" s="42" t="s">
        <v>608</v>
      </c>
      <c r="GFP339" s="42" t="s">
        <v>608</v>
      </c>
      <c r="GFQ339" s="42" t="s">
        <v>608</v>
      </c>
      <c r="GFR339" s="42" t="s">
        <v>608</v>
      </c>
      <c r="GFS339" s="42" t="s">
        <v>608</v>
      </c>
      <c r="GFT339" s="42" t="s">
        <v>608</v>
      </c>
      <c r="GFU339" s="42" t="s">
        <v>608</v>
      </c>
      <c r="GFV339" s="42" t="s">
        <v>608</v>
      </c>
      <c r="GFW339" s="42" t="s">
        <v>608</v>
      </c>
      <c r="GFX339" s="42" t="s">
        <v>608</v>
      </c>
      <c r="GFY339" s="42" t="s">
        <v>608</v>
      </c>
      <c r="GFZ339" s="42" t="s">
        <v>608</v>
      </c>
      <c r="GGA339" s="42" t="s">
        <v>608</v>
      </c>
      <c r="GGB339" s="42" t="s">
        <v>608</v>
      </c>
      <c r="GGC339" s="42" t="s">
        <v>608</v>
      </c>
      <c r="GGD339" s="42" t="s">
        <v>608</v>
      </c>
      <c r="GGE339" s="42" t="s">
        <v>608</v>
      </c>
      <c r="GGF339" s="42" t="s">
        <v>608</v>
      </c>
      <c r="GGG339" s="42" t="s">
        <v>608</v>
      </c>
      <c r="GGH339" s="42" t="s">
        <v>608</v>
      </c>
      <c r="GGI339" s="42" t="s">
        <v>608</v>
      </c>
      <c r="GGJ339" s="42" t="s">
        <v>608</v>
      </c>
      <c r="GGK339" s="42" t="s">
        <v>608</v>
      </c>
      <c r="GGL339" s="42" t="s">
        <v>608</v>
      </c>
      <c r="GGM339" s="42" t="s">
        <v>608</v>
      </c>
      <c r="GGN339" s="42" t="s">
        <v>608</v>
      </c>
      <c r="GGO339" s="42" t="s">
        <v>608</v>
      </c>
      <c r="GGP339" s="42" t="s">
        <v>608</v>
      </c>
      <c r="GGQ339" s="42" t="s">
        <v>608</v>
      </c>
      <c r="GGR339" s="42" t="s">
        <v>608</v>
      </c>
      <c r="GGS339" s="42" t="s">
        <v>608</v>
      </c>
      <c r="GGT339" s="42" t="s">
        <v>608</v>
      </c>
      <c r="GGU339" s="42" t="s">
        <v>608</v>
      </c>
      <c r="GGV339" s="42" t="s">
        <v>608</v>
      </c>
      <c r="GGW339" s="42" t="s">
        <v>608</v>
      </c>
      <c r="GGX339" s="42" t="s">
        <v>608</v>
      </c>
      <c r="GGY339" s="42" t="s">
        <v>608</v>
      </c>
      <c r="GGZ339" s="42" t="s">
        <v>608</v>
      </c>
      <c r="GHA339" s="42" t="s">
        <v>608</v>
      </c>
      <c r="GHB339" s="42" t="s">
        <v>608</v>
      </c>
      <c r="GHC339" s="42" t="s">
        <v>608</v>
      </c>
      <c r="GHD339" s="42" t="s">
        <v>608</v>
      </c>
      <c r="GHE339" s="42" t="s">
        <v>608</v>
      </c>
      <c r="GHF339" s="42" t="s">
        <v>608</v>
      </c>
      <c r="GHG339" s="42" t="s">
        <v>608</v>
      </c>
      <c r="GHH339" s="42" t="s">
        <v>608</v>
      </c>
      <c r="GHI339" s="42" t="s">
        <v>608</v>
      </c>
      <c r="GHJ339" s="42" t="s">
        <v>608</v>
      </c>
      <c r="GHK339" s="42" t="s">
        <v>608</v>
      </c>
      <c r="GHL339" s="42" t="s">
        <v>608</v>
      </c>
      <c r="GHM339" s="42" t="s">
        <v>608</v>
      </c>
      <c r="GHN339" s="42" t="s">
        <v>608</v>
      </c>
      <c r="GHO339" s="42" t="s">
        <v>608</v>
      </c>
      <c r="GHP339" s="42" t="s">
        <v>608</v>
      </c>
      <c r="GHQ339" s="42" t="s">
        <v>608</v>
      </c>
      <c r="GHR339" s="42" t="s">
        <v>608</v>
      </c>
      <c r="GHS339" s="42" t="s">
        <v>608</v>
      </c>
      <c r="GHT339" s="42" t="s">
        <v>608</v>
      </c>
      <c r="GHU339" s="42" t="s">
        <v>608</v>
      </c>
      <c r="GHV339" s="42" t="s">
        <v>608</v>
      </c>
      <c r="GHW339" s="42" t="s">
        <v>608</v>
      </c>
      <c r="GHX339" s="42" t="s">
        <v>608</v>
      </c>
      <c r="GHY339" s="42" t="s">
        <v>608</v>
      </c>
      <c r="GHZ339" s="42" t="s">
        <v>608</v>
      </c>
      <c r="GIA339" s="42" t="s">
        <v>608</v>
      </c>
      <c r="GIB339" s="42" t="s">
        <v>608</v>
      </c>
      <c r="GIC339" s="42" t="s">
        <v>608</v>
      </c>
      <c r="GID339" s="42" t="s">
        <v>608</v>
      </c>
      <c r="GIE339" s="42" t="s">
        <v>608</v>
      </c>
      <c r="GIF339" s="42" t="s">
        <v>608</v>
      </c>
      <c r="GIG339" s="42" t="s">
        <v>608</v>
      </c>
      <c r="GIH339" s="42" t="s">
        <v>608</v>
      </c>
      <c r="GII339" s="42" t="s">
        <v>608</v>
      </c>
      <c r="GIJ339" s="42" t="s">
        <v>608</v>
      </c>
      <c r="GIK339" s="42" t="s">
        <v>608</v>
      </c>
      <c r="GIL339" s="42" t="s">
        <v>608</v>
      </c>
      <c r="GIM339" s="42" t="s">
        <v>608</v>
      </c>
      <c r="GIN339" s="42" t="s">
        <v>608</v>
      </c>
      <c r="GIO339" s="42" t="s">
        <v>608</v>
      </c>
      <c r="GIP339" s="42" t="s">
        <v>608</v>
      </c>
      <c r="GIQ339" s="42" t="s">
        <v>608</v>
      </c>
      <c r="GIR339" s="42" t="s">
        <v>608</v>
      </c>
      <c r="GIS339" s="42" t="s">
        <v>608</v>
      </c>
      <c r="GIT339" s="42" t="s">
        <v>608</v>
      </c>
      <c r="GIU339" s="42" t="s">
        <v>608</v>
      </c>
      <c r="GIV339" s="42" t="s">
        <v>608</v>
      </c>
      <c r="GIW339" s="42" t="s">
        <v>608</v>
      </c>
      <c r="GIX339" s="42" t="s">
        <v>608</v>
      </c>
      <c r="GIY339" s="42" t="s">
        <v>608</v>
      </c>
      <c r="GIZ339" s="42" t="s">
        <v>608</v>
      </c>
      <c r="GJA339" s="42" t="s">
        <v>608</v>
      </c>
      <c r="GJB339" s="42" t="s">
        <v>608</v>
      </c>
      <c r="GJC339" s="42" t="s">
        <v>608</v>
      </c>
      <c r="GJD339" s="42" t="s">
        <v>608</v>
      </c>
      <c r="GJE339" s="42" t="s">
        <v>608</v>
      </c>
      <c r="GJF339" s="42" t="s">
        <v>608</v>
      </c>
      <c r="GJG339" s="42" t="s">
        <v>608</v>
      </c>
      <c r="GJH339" s="42" t="s">
        <v>608</v>
      </c>
      <c r="GJI339" s="42" t="s">
        <v>608</v>
      </c>
      <c r="GJJ339" s="42" t="s">
        <v>608</v>
      </c>
      <c r="GJK339" s="42" t="s">
        <v>608</v>
      </c>
      <c r="GJL339" s="42" t="s">
        <v>608</v>
      </c>
      <c r="GJM339" s="42" t="s">
        <v>608</v>
      </c>
      <c r="GJN339" s="42" t="s">
        <v>608</v>
      </c>
      <c r="GJO339" s="42" t="s">
        <v>608</v>
      </c>
      <c r="GJP339" s="42" t="s">
        <v>608</v>
      </c>
      <c r="GJQ339" s="42" t="s">
        <v>608</v>
      </c>
      <c r="GJR339" s="42" t="s">
        <v>608</v>
      </c>
      <c r="GJS339" s="42" t="s">
        <v>608</v>
      </c>
      <c r="GJT339" s="42" t="s">
        <v>608</v>
      </c>
      <c r="GJU339" s="42" t="s">
        <v>608</v>
      </c>
      <c r="GJV339" s="42" t="s">
        <v>608</v>
      </c>
      <c r="GJW339" s="42" t="s">
        <v>608</v>
      </c>
      <c r="GJX339" s="42" t="s">
        <v>608</v>
      </c>
      <c r="GJY339" s="42" t="s">
        <v>608</v>
      </c>
      <c r="GJZ339" s="42" t="s">
        <v>608</v>
      </c>
      <c r="GKA339" s="42" t="s">
        <v>608</v>
      </c>
      <c r="GKB339" s="42" t="s">
        <v>608</v>
      </c>
      <c r="GKC339" s="42" t="s">
        <v>608</v>
      </c>
      <c r="GKD339" s="42" t="s">
        <v>608</v>
      </c>
      <c r="GKE339" s="42" t="s">
        <v>608</v>
      </c>
      <c r="GKF339" s="42" t="s">
        <v>608</v>
      </c>
      <c r="GKG339" s="42" t="s">
        <v>608</v>
      </c>
      <c r="GKH339" s="42" t="s">
        <v>608</v>
      </c>
      <c r="GKI339" s="42" t="s">
        <v>608</v>
      </c>
      <c r="GKJ339" s="42" t="s">
        <v>608</v>
      </c>
      <c r="GKK339" s="42" t="s">
        <v>608</v>
      </c>
      <c r="GKL339" s="42" t="s">
        <v>608</v>
      </c>
      <c r="GKM339" s="42" t="s">
        <v>608</v>
      </c>
      <c r="GKN339" s="42" t="s">
        <v>608</v>
      </c>
      <c r="GKO339" s="42" t="s">
        <v>608</v>
      </c>
      <c r="GKP339" s="42" t="s">
        <v>608</v>
      </c>
      <c r="GKQ339" s="42" t="s">
        <v>608</v>
      </c>
      <c r="GKR339" s="42" t="s">
        <v>608</v>
      </c>
      <c r="GKS339" s="42" t="s">
        <v>608</v>
      </c>
      <c r="GKT339" s="42" t="s">
        <v>608</v>
      </c>
      <c r="GKU339" s="42" t="s">
        <v>608</v>
      </c>
      <c r="GKV339" s="42" t="s">
        <v>608</v>
      </c>
      <c r="GKW339" s="42" t="s">
        <v>608</v>
      </c>
      <c r="GKX339" s="42" t="s">
        <v>608</v>
      </c>
      <c r="GKY339" s="42" t="s">
        <v>608</v>
      </c>
      <c r="GKZ339" s="42" t="s">
        <v>608</v>
      </c>
      <c r="GLA339" s="42" t="s">
        <v>608</v>
      </c>
      <c r="GLB339" s="42" t="s">
        <v>608</v>
      </c>
      <c r="GLC339" s="42" t="s">
        <v>608</v>
      </c>
      <c r="GLD339" s="42" t="s">
        <v>608</v>
      </c>
      <c r="GLE339" s="42" t="s">
        <v>608</v>
      </c>
      <c r="GLF339" s="42" t="s">
        <v>608</v>
      </c>
      <c r="GLG339" s="42" t="s">
        <v>608</v>
      </c>
      <c r="GLH339" s="42" t="s">
        <v>608</v>
      </c>
      <c r="GLI339" s="42" t="s">
        <v>608</v>
      </c>
      <c r="GLJ339" s="42" t="s">
        <v>608</v>
      </c>
      <c r="GLK339" s="42" t="s">
        <v>608</v>
      </c>
      <c r="GLL339" s="42" t="s">
        <v>608</v>
      </c>
      <c r="GLM339" s="42" t="s">
        <v>608</v>
      </c>
      <c r="GLN339" s="42" t="s">
        <v>608</v>
      </c>
      <c r="GLO339" s="42" t="s">
        <v>608</v>
      </c>
      <c r="GLP339" s="42" t="s">
        <v>608</v>
      </c>
      <c r="GLQ339" s="42" t="s">
        <v>608</v>
      </c>
      <c r="GLR339" s="42" t="s">
        <v>608</v>
      </c>
      <c r="GLS339" s="42" t="s">
        <v>608</v>
      </c>
      <c r="GLT339" s="42" t="s">
        <v>608</v>
      </c>
      <c r="GLU339" s="42" t="s">
        <v>608</v>
      </c>
      <c r="GLV339" s="42" t="s">
        <v>608</v>
      </c>
      <c r="GLW339" s="42" t="s">
        <v>608</v>
      </c>
      <c r="GLX339" s="42" t="s">
        <v>608</v>
      </c>
      <c r="GLY339" s="42" t="s">
        <v>608</v>
      </c>
      <c r="GLZ339" s="42" t="s">
        <v>608</v>
      </c>
      <c r="GMA339" s="42" t="s">
        <v>608</v>
      </c>
      <c r="GMB339" s="42" t="s">
        <v>608</v>
      </c>
      <c r="GMC339" s="42" t="s">
        <v>608</v>
      </c>
      <c r="GMD339" s="42" t="s">
        <v>608</v>
      </c>
      <c r="GME339" s="42" t="s">
        <v>608</v>
      </c>
      <c r="GMF339" s="42" t="s">
        <v>608</v>
      </c>
      <c r="GMG339" s="42" t="s">
        <v>608</v>
      </c>
      <c r="GMH339" s="42" t="s">
        <v>608</v>
      </c>
      <c r="GMI339" s="42" t="s">
        <v>608</v>
      </c>
      <c r="GMJ339" s="42" t="s">
        <v>608</v>
      </c>
      <c r="GMK339" s="42" t="s">
        <v>608</v>
      </c>
      <c r="GML339" s="42" t="s">
        <v>608</v>
      </c>
      <c r="GMM339" s="42" t="s">
        <v>608</v>
      </c>
      <c r="GMN339" s="42" t="s">
        <v>608</v>
      </c>
      <c r="GMO339" s="42" t="s">
        <v>608</v>
      </c>
      <c r="GMP339" s="42" t="s">
        <v>608</v>
      </c>
      <c r="GMQ339" s="42" t="s">
        <v>608</v>
      </c>
      <c r="GMR339" s="42" t="s">
        <v>608</v>
      </c>
      <c r="GMS339" s="42" t="s">
        <v>608</v>
      </c>
      <c r="GMT339" s="42" t="s">
        <v>608</v>
      </c>
      <c r="GMU339" s="42" t="s">
        <v>608</v>
      </c>
      <c r="GMV339" s="42" t="s">
        <v>608</v>
      </c>
      <c r="GMW339" s="42" t="s">
        <v>608</v>
      </c>
      <c r="GMX339" s="42" t="s">
        <v>608</v>
      </c>
      <c r="GMY339" s="42" t="s">
        <v>608</v>
      </c>
      <c r="GMZ339" s="42" t="s">
        <v>608</v>
      </c>
      <c r="GNA339" s="42" t="s">
        <v>608</v>
      </c>
      <c r="GNB339" s="42" t="s">
        <v>608</v>
      </c>
      <c r="GNC339" s="42" t="s">
        <v>608</v>
      </c>
      <c r="GND339" s="42" t="s">
        <v>608</v>
      </c>
      <c r="GNE339" s="42" t="s">
        <v>608</v>
      </c>
      <c r="GNF339" s="42" t="s">
        <v>608</v>
      </c>
      <c r="GNG339" s="42" t="s">
        <v>608</v>
      </c>
      <c r="GNH339" s="42" t="s">
        <v>608</v>
      </c>
      <c r="GNI339" s="42" t="s">
        <v>608</v>
      </c>
      <c r="GNJ339" s="42" t="s">
        <v>608</v>
      </c>
      <c r="GNK339" s="42" t="s">
        <v>608</v>
      </c>
      <c r="GNL339" s="42" t="s">
        <v>608</v>
      </c>
      <c r="GNM339" s="42" t="s">
        <v>608</v>
      </c>
      <c r="GNN339" s="42" t="s">
        <v>608</v>
      </c>
      <c r="GNO339" s="42" t="s">
        <v>608</v>
      </c>
      <c r="GNP339" s="42" t="s">
        <v>608</v>
      </c>
      <c r="GNQ339" s="42" t="s">
        <v>608</v>
      </c>
      <c r="GNR339" s="42" t="s">
        <v>608</v>
      </c>
      <c r="GNS339" s="42" t="s">
        <v>608</v>
      </c>
      <c r="GNT339" s="42" t="s">
        <v>608</v>
      </c>
      <c r="GNU339" s="42" t="s">
        <v>608</v>
      </c>
      <c r="GNV339" s="42" t="s">
        <v>608</v>
      </c>
      <c r="GNW339" s="42" t="s">
        <v>608</v>
      </c>
      <c r="GNX339" s="42" t="s">
        <v>608</v>
      </c>
      <c r="GNY339" s="42" t="s">
        <v>608</v>
      </c>
      <c r="GNZ339" s="42" t="s">
        <v>608</v>
      </c>
      <c r="GOA339" s="42" t="s">
        <v>608</v>
      </c>
      <c r="GOB339" s="42" t="s">
        <v>608</v>
      </c>
      <c r="GOC339" s="42" t="s">
        <v>608</v>
      </c>
      <c r="GOD339" s="42" t="s">
        <v>608</v>
      </c>
      <c r="GOE339" s="42" t="s">
        <v>608</v>
      </c>
      <c r="GOF339" s="42" t="s">
        <v>608</v>
      </c>
      <c r="GOG339" s="42" t="s">
        <v>608</v>
      </c>
      <c r="GOH339" s="42" t="s">
        <v>608</v>
      </c>
      <c r="GOI339" s="42" t="s">
        <v>608</v>
      </c>
      <c r="GOJ339" s="42" t="s">
        <v>608</v>
      </c>
      <c r="GOK339" s="42" t="s">
        <v>608</v>
      </c>
      <c r="GOL339" s="42" t="s">
        <v>608</v>
      </c>
      <c r="GOM339" s="42" t="s">
        <v>608</v>
      </c>
      <c r="GON339" s="42" t="s">
        <v>608</v>
      </c>
      <c r="GOO339" s="42" t="s">
        <v>608</v>
      </c>
      <c r="GOP339" s="42" t="s">
        <v>608</v>
      </c>
      <c r="GOQ339" s="42" t="s">
        <v>608</v>
      </c>
      <c r="GOR339" s="42" t="s">
        <v>608</v>
      </c>
      <c r="GOS339" s="42" t="s">
        <v>608</v>
      </c>
      <c r="GOT339" s="42" t="s">
        <v>608</v>
      </c>
      <c r="GOU339" s="42" t="s">
        <v>608</v>
      </c>
      <c r="GOV339" s="42" t="s">
        <v>608</v>
      </c>
      <c r="GOW339" s="42" t="s">
        <v>608</v>
      </c>
      <c r="GOX339" s="42" t="s">
        <v>608</v>
      </c>
      <c r="GOY339" s="42" t="s">
        <v>608</v>
      </c>
      <c r="GOZ339" s="42" t="s">
        <v>608</v>
      </c>
      <c r="GPA339" s="42" t="s">
        <v>608</v>
      </c>
      <c r="GPB339" s="42" t="s">
        <v>608</v>
      </c>
      <c r="GPC339" s="42" t="s">
        <v>608</v>
      </c>
      <c r="GPD339" s="42" t="s">
        <v>608</v>
      </c>
      <c r="GPE339" s="42" t="s">
        <v>608</v>
      </c>
      <c r="GPF339" s="42" t="s">
        <v>608</v>
      </c>
      <c r="GPG339" s="42" t="s">
        <v>608</v>
      </c>
      <c r="GPH339" s="42" t="s">
        <v>608</v>
      </c>
      <c r="GPI339" s="42" t="s">
        <v>608</v>
      </c>
      <c r="GPJ339" s="42" t="s">
        <v>608</v>
      </c>
      <c r="GPK339" s="42" t="s">
        <v>608</v>
      </c>
      <c r="GPL339" s="42" t="s">
        <v>608</v>
      </c>
      <c r="GPM339" s="42" t="s">
        <v>608</v>
      </c>
      <c r="GPN339" s="42" t="s">
        <v>608</v>
      </c>
      <c r="GPO339" s="42" t="s">
        <v>608</v>
      </c>
      <c r="GPP339" s="42" t="s">
        <v>608</v>
      </c>
      <c r="GPQ339" s="42" t="s">
        <v>608</v>
      </c>
      <c r="GPR339" s="42" t="s">
        <v>608</v>
      </c>
      <c r="GPS339" s="42" t="s">
        <v>608</v>
      </c>
      <c r="GPT339" s="42" t="s">
        <v>608</v>
      </c>
      <c r="GPU339" s="42" t="s">
        <v>608</v>
      </c>
      <c r="GPV339" s="42" t="s">
        <v>608</v>
      </c>
      <c r="GPW339" s="42" t="s">
        <v>608</v>
      </c>
      <c r="GPX339" s="42" t="s">
        <v>608</v>
      </c>
      <c r="GPY339" s="42" t="s">
        <v>608</v>
      </c>
      <c r="GPZ339" s="42" t="s">
        <v>608</v>
      </c>
      <c r="GQA339" s="42" t="s">
        <v>608</v>
      </c>
      <c r="GQB339" s="42" t="s">
        <v>608</v>
      </c>
      <c r="GQC339" s="42" t="s">
        <v>608</v>
      </c>
      <c r="GQD339" s="42" t="s">
        <v>608</v>
      </c>
      <c r="GQE339" s="42" t="s">
        <v>608</v>
      </c>
      <c r="GQF339" s="42" t="s">
        <v>608</v>
      </c>
      <c r="GQG339" s="42" t="s">
        <v>608</v>
      </c>
      <c r="GQH339" s="42" t="s">
        <v>608</v>
      </c>
      <c r="GQI339" s="42" t="s">
        <v>608</v>
      </c>
      <c r="GQJ339" s="42" t="s">
        <v>608</v>
      </c>
      <c r="GQK339" s="42" t="s">
        <v>608</v>
      </c>
      <c r="GQL339" s="42" t="s">
        <v>608</v>
      </c>
      <c r="GQM339" s="42" t="s">
        <v>608</v>
      </c>
      <c r="GQN339" s="42" t="s">
        <v>608</v>
      </c>
      <c r="GQO339" s="42" t="s">
        <v>608</v>
      </c>
      <c r="GQP339" s="42" t="s">
        <v>608</v>
      </c>
      <c r="GQQ339" s="42" t="s">
        <v>608</v>
      </c>
      <c r="GQR339" s="42" t="s">
        <v>608</v>
      </c>
      <c r="GQS339" s="42" t="s">
        <v>608</v>
      </c>
      <c r="GQT339" s="42" t="s">
        <v>608</v>
      </c>
      <c r="GQU339" s="42" t="s">
        <v>608</v>
      </c>
      <c r="GQV339" s="42" t="s">
        <v>608</v>
      </c>
      <c r="GQW339" s="42" t="s">
        <v>608</v>
      </c>
      <c r="GQX339" s="42" t="s">
        <v>608</v>
      </c>
      <c r="GQY339" s="42" t="s">
        <v>608</v>
      </c>
      <c r="GQZ339" s="42" t="s">
        <v>608</v>
      </c>
      <c r="GRA339" s="42" t="s">
        <v>608</v>
      </c>
      <c r="GRB339" s="42" t="s">
        <v>608</v>
      </c>
      <c r="GRC339" s="42" t="s">
        <v>608</v>
      </c>
      <c r="GRD339" s="42" t="s">
        <v>608</v>
      </c>
      <c r="GRE339" s="42" t="s">
        <v>608</v>
      </c>
      <c r="GRF339" s="42" t="s">
        <v>608</v>
      </c>
      <c r="GRG339" s="42" t="s">
        <v>608</v>
      </c>
      <c r="GRH339" s="42" t="s">
        <v>608</v>
      </c>
      <c r="GRI339" s="42" t="s">
        <v>608</v>
      </c>
      <c r="GRJ339" s="42" t="s">
        <v>608</v>
      </c>
      <c r="GRK339" s="42" t="s">
        <v>608</v>
      </c>
      <c r="GRL339" s="42" t="s">
        <v>608</v>
      </c>
      <c r="GRM339" s="42" t="s">
        <v>608</v>
      </c>
      <c r="GRN339" s="42" t="s">
        <v>608</v>
      </c>
      <c r="GRO339" s="42" t="s">
        <v>608</v>
      </c>
      <c r="GRP339" s="42" t="s">
        <v>608</v>
      </c>
      <c r="GRQ339" s="42" t="s">
        <v>608</v>
      </c>
      <c r="GRR339" s="42" t="s">
        <v>608</v>
      </c>
      <c r="GRS339" s="42" t="s">
        <v>608</v>
      </c>
      <c r="GRT339" s="42" t="s">
        <v>608</v>
      </c>
      <c r="GRU339" s="42" t="s">
        <v>608</v>
      </c>
      <c r="GRV339" s="42" t="s">
        <v>608</v>
      </c>
      <c r="GRW339" s="42" t="s">
        <v>608</v>
      </c>
      <c r="GRX339" s="42" t="s">
        <v>608</v>
      </c>
      <c r="GRY339" s="42" t="s">
        <v>608</v>
      </c>
      <c r="GRZ339" s="42" t="s">
        <v>608</v>
      </c>
      <c r="GSA339" s="42" t="s">
        <v>608</v>
      </c>
      <c r="GSB339" s="42" t="s">
        <v>608</v>
      </c>
      <c r="GSC339" s="42" t="s">
        <v>608</v>
      </c>
      <c r="GSD339" s="42" t="s">
        <v>608</v>
      </c>
      <c r="GSE339" s="42" t="s">
        <v>608</v>
      </c>
      <c r="GSF339" s="42" t="s">
        <v>608</v>
      </c>
      <c r="GSG339" s="42" t="s">
        <v>608</v>
      </c>
      <c r="GSH339" s="42" t="s">
        <v>608</v>
      </c>
      <c r="GSI339" s="42" t="s">
        <v>608</v>
      </c>
      <c r="GSJ339" s="42" t="s">
        <v>608</v>
      </c>
      <c r="GSK339" s="42" t="s">
        <v>608</v>
      </c>
      <c r="GSL339" s="42" t="s">
        <v>608</v>
      </c>
      <c r="GSM339" s="42" t="s">
        <v>608</v>
      </c>
      <c r="GSN339" s="42" t="s">
        <v>608</v>
      </c>
      <c r="GSO339" s="42" t="s">
        <v>608</v>
      </c>
      <c r="GSP339" s="42" t="s">
        <v>608</v>
      </c>
      <c r="GSQ339" s="42" t="s">
        <v>608</v>
      </c>
      <c r="GSR339" s="42" t="s">
        <v>608</v>
      </c>
      <c r="GSS339" s="42" t="s">
        <v>608</v>
      </c>
      <c r="GST339" s="42" t="s">
        <v>608</v>
      </c>
      <c r="GSU339" s="42" t="s">
        <v>608</v>
      </c>
      <c r="GSV339" s="42" t="s">
        <v>608</v>
      </c>
      <c r="GSW339" s="42" t="s">
        <v>608</v>
      </c>
      <c r="GSX339" s="42" t="s">
        <v>608</v>
      </c>
      <c r="GSY339" s="42" t="s">
        <v>608</v>
      </c>
      <c r="GSZ339" s="42" t="s">
        <v>608</v>
      </c>
      <c r="GTA339" s="42" t="s">
        <v>608</v>
      </c>
      <c r="GTB339" s="42" t="s">
        <v>608</v>
      </c>
      <c r="GTC339" s="42" t="s">
        <v>608</v>
      </c>
      <c r="GTD339" s="42" t="s">
        <v>608</v>
      </c>
      <c r="GTE339" s="42" t="s">
        <v>608</v>
      </c>
      <c r="GTF339" s="42" t="s">
        <v>608</v>
      </c>
      <c r="GTG339" s="42" t="s">
        <v>608</v>
      </c>
      <c r="GTH339" s="42" t="s">
        <v>608</v>
      </c>
      <c r="GTI339" s="42" t="s">
        <v>608</v>
      </c>
      <c r="GTJ339" s="42" t="s">
        <v>608</v>
      </c>
      <c r="GTK339" s="42" t="s">
        <v>608</v>
      </c>
      <c r="GTL339" s="42" t="s">
        <v>608</v>
      </c>
      <c r="GTM339" s="42" t="s">
        <v>608</v>
      </c>
      <c r="GTN339" s="42" t="s">
        <v>608</v>
      </c>
      <c r="GTO339" s="42" t="s">
        <v>608</v>
      </c>
      <c r="GTP339" s="42" t="s">
        <v>608</v>
      </c>
      <c r="GTQ339" s="42" t="s">
        <v>608</v>
      </c>
      <c r="GTR339" s="42" t="s">
        <v>608</v>
      </c>
      <c r="GTS339" s="42" t="s">
        <v>608</v>
      </c>
      <c r="GTT339" s="42" t="s">
        <v>608</v>
      </c>
      <c r="GTU339" s="42" t="s">
        <v>608</v>
      </c>
      <c r="GTV339" s="42" t="s">
        <v>608</v>
      </c>
      <c r="GTW339" s="42" t="s">
        <v>608</v>
      </c>
      <c r="GTX339" s="42" t="s">
        <v>608</v>
      </c>
      <c r="GTY339" s="42" t="s">
        <v>608</v>
      </c>
      <c r="GTZ339" s="42" t="s">
        <v>608</v>
      </c>
      <c r="GUA339" s="42" t="s">
        <v>608</v>
      </c>
      <c r="GUB339" s="42" t="s">
        <v>608</v>
      </c>
      <c r="GUC339" s="42" t="s">
        <v>608</v>
      </c>
      <c r="GUD339" s="42" t="s">
        <v>608</v>
      </c>
      <c r="GUE339" s="42" t="s">
        <v>608</v>
      </c>
      <c r="GUF339" s="42" t="s">
        <v>608</v>
      </c>
      <c r="GUG339" s="42" t="s">
        <v>608</v>
      </c>
      <c r="GUH339" s="42" t="s">
        <v>608</v>
      </c>
      <c r="GUI339" s="42" t="s">
        <v>608</v>
      </c>
      <c r="GUJ339" s="42" t="s">
        <v>608</v>
      </c>
      <c r="GUK339" s="42" t="s">
        <v>608</v>
      </c>
      <c r="GUL339" s="42" t="s">
        <v>608</v>
      </c>
      <c r="GUM339" s="42" t="s">
        <v>608</v>
      </c>
      <c r="GUN339" s="42" t="s">
        <v>608</v>
      </c>
      <c r="GUO339" s="42" t="s">
        <v>608</v>
      </c>
      <c r="GUP339" s="42" t="s">
        <v>608</v>
      </c>
      <c r="GUQ339" s="42" t="s">
        <v>608</v>
      </c>
      <c r="GUR339" s="42" t="s">
        <v>608</v>
      </c>
      <c r="GUS339" s="42" t="s">
        <v>608</v>
      </c>
      <c r="GUT339" s="42" t="s">
        <v>608</v>
      </c>
      <c r="GUU339" s="42" t="s">
        <v>608</v>
      </c>
      <c r="GUV339" s="42" t="s">
        <v>608</v>
      </c>
      <c r="GUW339" s="42" t="s">
        <v>608</v>
      </c>
      <c r="GUX339" s="42" t="s">
        <v>608</v>
      </c>
      <c r="GUY339" s="42" t="s">
        <v>608</v>
      </c>
      <c r="GUZ339" s="42" t="s">
        <v>608</v>
      </c>
      <c r="GVA339" s="42" t="s">
        <v>608</v>
      </c>
      <c r="GVB339" s="42" t="s">
        <v>608</v>
      </c>
      <c r="GVC339" s="42" t="s">
        <v>608</v>
      </c>
      <c r="GVD339" s="42" t="s">
        <v>608</v>
      </c>
      <c r="GVE339" s="42" t="s">
        <v>608</v>
      </c>
      <c r="GVF339" s="42" t="s">
        <v>608</v>
      </c>
      <c r="GVG339" s="42" t="s">
        <v>608</v>
      </c>
      <c r="GVH339" s="42" t="s">
        <v>608</v>
      </c>
      <c r="GVI339" s="42" t="s">
        <v>608</v>
      </c>
      <c r="GVJ339" s="42" t="s">
        <v>608</v>
      </c>
      <c r="GVK339" s="42" t="s">
        <v>608</v>
      </c>
      <c r="GVL339" s="42" t="s">
        <v>608</v>
      </c>
      <c r="GVM339" s="42" t="s">
        <v>608</v>
      </c>
      <c r="GVN339" s="42" t="s">
        <v>608</v>
      </c>
      <c r="GVO339" s="42" t="s">
        <v>608</v>
      </c>
      <c r="GVP339" s="42" t="s">
        <v>608</v>
      </c>
      <c r="GVQ339" s="42" t="s">
        <v>608</v>
      </c>
      <c r="GVR339" s="42" t="s">
        <v>608</v>
      </c>
      <c r="GVS339" s="42" t="s">
        <v>608</v>
      </c>
      <c r="GVT339" s="42" t="s">
        <v>608</v>
      </c>
      <c r="GVU339" s="42" t="s">
        <v>608</v>
      </c>
      <c r="GVV339" s="42" t="s">
        <v>608</v>
      </c>
      <c r="GVW339" s="42" t="s">
        <v>608</v>
      </c>
      <c r="GVX339" s="42" t="s">
        <v>608</v>
      </c>
      <c r="GVY339" s="42" t="s">
        <v>608</v>
      </c>
      <c r="GVZ339" s="42" t="s">
        <v>608</v>
      </c>
      <c r="GWA339" s="42" t="s">
        <v>608</v>
      </c>
      <c r="GWB339" s="42" t="s">
        <v>608</v>
      </c>
      <c r="GWC339" s="42" t="s">
        <v>608</v>
      </c>
      <c r="GWD339" s="42" t="s">
        <v>608</v>
      </c>
      <c r="GWE339" s="42" t="s">
        <v>608</v>
      </c>
      <c r="GWF339" s="42" t="s">
        <v>608</v>
      </c>
      <c r="GWG339" s="42" t="s">
        <v>608</v>
      </c>
      <c r="GWH339" s="42" t="s">
        <v>608</v>
      </c>
      <c r="GWI339" s="42" t="s">
        <v>608</v>
      </c>
      <c r="GWJ339" s="42" t="s">
        <v>608</v>
      </c>
      <c r="GWK339" s="42" t="s">
        <v>608</v>
      </c>
      <c r="GWL339" s="42" t="s">
        <v>608</v>
      </c>
      <c r="GWM339" s="42" t="s">
        <v>608</v>
      </c>
      <c r="GWN339" s="42" t="s">
        <v>608</v>
      </c>
      <c r="GWO339" s="42" t="s">
        <v>608</v>
      </c>
      <c r="GWP339" s="42" t="s">
        <v>608</v>
      </c>
      <c r="GWQ339" s="42" t="s">
        <v>608</v>
      </c>
      <c r="GWR339" s="42" t="s">
        <v>608</v>
      </c>
      <c r="GWS339" s="42" t="s">
        <v>608</v>
      </c>
      <c r="GWT339" s="42" t="s">
        <v>608</v>
      </c>
      <c r="GWU339" s="42" t="s">
        <v>608</v>
      </c>
      <c r="GWV339" s="42" t="s">
        <v>608</v>
      </c>
      <c r="GWW339" s="42" t="s">
        <v>608</v>
      </c>
      <c r="GWX339" s="42" t="s">
        <v>608</v>
      </c>
      <c r="GWY339" s="42" t="s">
        <v>608</v>
      </c>
      <c r="GWZ339" s="42" t="s">
        <v>608</v>
      </c>
      <c r="GXA339" s="42" t="s">
        <v>608</v>
      </c>
      <c r="GXB339" s="42" t="s">
        <v>608</v>
      </c>
      <c r="GXC339" s="42" t="s">
        <v>608</v>
      </c>
      <c r="GXD339" s="42" t="s">
        <v>608</v>
      </c>
      <c r="GXE339" s="42" t="s">
        <v>608</v>
      </c>
      <c r="GXF339" s="42" t="s">
        <v>608</v>
      </c>
      <c r="GXG339" s="42" t="s">
        <v>608</v>
      </c>
      <c r="GXH339" s="42" t="s">
        <v>608</v>
      </c>
      <c r="GXI339" s="42" t="s">
        <v>608</v>
      </c>
      <c r="GXJ339" s="42" t="s">
        <v>608</v>
      </c>
      <c r="GXK339" s="42" t="s">
        <v>608</v>
      </c>
      <c r="GXL339" s="42" t="s">
        <v>608</v>
      </c>
      <c r="GXM339" s="42" t="s">
        <v>608</v>
      </c>
      <c r="GXN339" s="42" t="s">
        <v>608</v>
      </c>
      <c r="GXO339" s="42" t="s">
        <v>608</v>
      </c>
      <c r="GXP339" s="42" t="s">
        <v>608</v>
      </c>
      <c r="GXQ339" s="42" t="s">
        <v>608</v>
      </c>
      <c r="GXR339" s="42" t="s">
        <v>608</v>
      </c>
      <c r="GXS339" s="42" t="s">
        <v>608</v>
      </c>
      <c r="GXT339" s="42" t="s">
        <v>608</v>
      </c>
      <c r="GXU339" s="42" t="s">
        <v>608</v>
      </c>
      <c r="GXV339" s="42" t="s">
        <v>608</v>
      </c>
      <c r="GXW339" s="42" t="s">
        <v>608</v>
      </c>
      <c r="GXX339" s="42" t="s">
        <v>608</v>
      </c>
      <c r="GXY339" s="42" t="s">
        <v>608</v>
      </c>
      <c r="GXZ339" s="42" t="s">
        <v>608</v>
      </c>
      <c r="GYA339" s="42" t="s">
        <v>608</v>
      </c>
      <c r="GYB339" s="42" t="s">
        <v>608</v>
      </c>
      <c r="GYC339" s="42" t="s">
        <v>608</v>
      </c>
      <c r="GYD339" s="42" t="s">
        <v>608</v>
      </c>
      <c r="GYE339" s="42" t="s">
        <v>608</v>
      </c>
      <c r="GYF339" s="42" t="s">
        <v>608</v>
      </c>
      <c r="GYG339" s="42" t="s">
        <v>608</v>
      </c>
      <c r="GYH339" s="42" t="s">
        <v>608</v>
      </c>
      <c r="GYI339" s="42" t="s">
        <v>608</v>
      </c>
      <c r="GYJ339" s="42" t="s">
        <v>608</v>
      </c>
      <c r="GYK339" s="42" t="s">
        <v>608</v>
      </c>
      <c r="GYL339" s="42" t="s">
        <v>608</v>
      </c>
      <c r="GYM339" s="42" t="s">
        <v>608</v>
      </c>
      <c r="GYN339" s="42" t="s">
        <v>608</v>
      </c>
      <c r="GYO339" s="42" t="s">
        <v>608</v>
      </c>
      <c r="GYP339" s="42" t="s">
        <v>608</v>
      </c>
      <c r="GYQ339" s="42" t="s">
        <v>608</v>
      </c>
      <c r="GYR339" s="42" t="s">
        <v>608</v>
      </c>
      <c r="GYS339" s="42" t="s">
        <v>608</v>
      </c>
      <c r="GYT339" s="42" t="s">
        <v>608</v>
      </c>
      <c r="GYU339" s="42" t="s">
        <v>608</v>
      </c>
      <c r="GYV339" s="42" t="s">
        <v>608</v>
      </c>
      <c r="GYW339" s="42" t="s">
        <v>608</v>
      </c>
      <c r="GYX339" s="42" t="s">
        <v>608</v>
      </c>
      <c r="GYY339" s="42" t="s">
        <v>608</v>
      </c>
      <c r="GYZ339" s="42" t="s">
        <v>608</v>
      </c>
      <c r="GZA339" s="42" t="s">
        <v>608</v>
      </c>
      <c r="GZB339" s="42" t="s">
        <v>608</v>
      </c>
      <c r="GZC339" s="42" t="s">
        <v>608</v>
      </c>
      <c r="GZD339" s="42" t="s">
        <v>608</v>
      </c>
      <c r="GZE339" s="42" t="s">
        <v>608</v>
      </c>
      <c r="GZF339" s="42" t="s">
        <v>608</v>
      </c>
      <c r="GZG339" s="42" t="s">
        <v>608</v>
      </c>
      <c r="GZH339" s="42" t="s">
        <v>608</v>
      </c>
      <c r="GZI339" s="42" t="s">
        <v>608</v>
      </c>
      <c r="GZJ339" s="42" t="s">
        <v>608</v>
      </c>
      <c r="GZK339" s="42" t="s">
        <v>608</v>
      </c>
      <c r="GZL339" s="42" t="s">
        <v>608</v>
      </c>
      <c r="GZM339" s="42" t="s">
        <v>608</v>
      </c>
      <c r="GZN339" s="42" t="s">
        <v>608</v>
      </c>
      <c r="GZO339" s="42" t="s">
        <v>608</v>
      </c>
      <c r="GZP339" s="42" t="s">
        <v>608</v>
      </c>
      <c r="GZQ339" s="42" t="s">
        <v>608</v>
      </c>
      <c r="GZR339" s="42" t="s">
        <v>608</v>
      </c>
      <c r="GZS339" s="42" t="s">
        <v>608</v>
      </c>
      <c r="GZT339" s="42" t="s">
        <v>608</v>
      </c>
      <c r="GZU339" s="42" t="s">
        <v>608</v>
      </c>
      <c r="GZV339" s="42" t="s">
        <v>608</v>
      </c>
      <c r="GZW339" s="42" t="s">
        <v>608</v>
      </c>
      <c r="GZX339" s="42" t="s">
        <v>608</v>
      </c>
      <c r="GZY339" s="42" t="s">
        <v>608</v>
      </c>
      <c r="GZZ339" s="42" t="s">
        <v>608</v>
      </c>
      <c r="HAA339" s="42" t="s">
        <v>608</v>
      </c>
      <c r="HAB339" s="42" t="s">
        <v>608</v>
      </c>
      <c r="HAC339" s="42" t="s">
        <v>608</v>
      </c>
      <c r="HAD339" s="42" t="s">
        <v>608</v>
      </c>
      <c r="HAE339" s="42" t="s">
        <v>608</v>
      </c>
      <c r="HAF339" s="42" t="s">
        <v>608</v>
      </c>
      <c r="HAG339" s="42" t="s">
        <v>608</v>
      </c>
      <c r="HAH339" s="42" t="s">
        <v>608</v>
      </c>
      <c r="HAI339" s="42" t="s">
        <v>608</v>
      </c>
      <c r="HAJ339" s="42" t="s">
        <v>608</v>
      </c>
      <c r="HAK339" s="42" t="s">
        <v>608</v>
      </c>
      <c r="HAL339" s="42" t="s">
        <v>608</v>
      </c>
      <c r="HAM339" s="42" t="s">
        <v>608</v>
      </c>
      <c r="HAN339" s="42" t="s">
        <v>608</v>
      </c>
      <c r="HAO339" s="42" t="s">
        <v>608</v>
      </c>
      <c r="HAP339" s="42" t="s">
        <v>608</v>
      </c>
      <c r="HAQ339" s="42" t="s">
        <v>608</v>
      </c>
      <c r="HAR339" s="42" t="s">
        <v>608</v>
      </c>
      <c r="HAS339" s="42" t="s">
        <v>608</v>
      </c>
      <c r="HAT339" s="42" t="s">
        <v>608</v>
      </c>
      <c r="HAU339" s="42" t="s">
        <v>608</v>
      </c>
      <c r="HAV339" s="42" t="s">
        <v>608</v>
      </c>
      <c r="HAW339" s="42" t="s">
        <v>608</v>
      </c>
      <c r="HAX339" s="42" t="s">
        <v>608</v>
      </c>
      <c r="HAY339" s="42" t="s">
        <v>608</v>
      </c>
      <c r="HAZ339" s="42" t="s">
        <v>608</v>
      </c>
      <c r="HBA339" s="42" t="s">
        <v>608</v>
      </c>
      <c r="HBB339" s="42" t="s">
        <v>608</v>
      </c>
      <c r="HBC339" s="42" t="s">
        <v>608</v>
      </c>
      <c r="HBD339" s="42" t="s">
        <v>608</v>
      </c>
      <c r="HBE339" s="42" t="s">
        <v>608</v>
      </c>
      <c r="HBF339" s="42" t="s">
        <v>608</v>
      </c>
      <c r="HBG339" s="42" t="s">
        <v>608</v>
      </c>
      <c r="HBH339" s="42" t="s">
        <v>608</v>
      </c>
      <c r="HBI339" s="42" t="s">
        <v>608</v>
      </c>
      <c r="HBJ339" s="42" t="s">
        <v>608</v>
      </c>
      <c r="HBK339" s="42" t="s">
        <v>608</v>
      </c>
      <c r="HBL339" s="42" t="s">
        <v>608</v>
      </c>
      <c r="HBM339" s="42" t="s">
        <v>608</v>
      </c>
      <c r="HBN339" s="42" t="s">
        <v>608</v>
      </c>
      <c r="HBO339" s="42" t="s">
        <v>608</v>
      </c>
      <c r="HBP339" s="42" t="s">
        <v>608</v>
      </c>
      <c r="HBQ339" s="42" t="s">
        <v>608</v>
      </c>
      <c r="HBR339" s="42" t="s">
        <v>608</v>
      </c>
      <c r="HBS339" s="42" t="s">
        <v>608</v>
      </c>
      <c r="HBT339" s="42" t="s">
        <v>608</v>
      </c>
      <c r="HBU339" s="42" t="s">
        <v>608</v>
      </c>
      <c r="HBV339" s="42" t="s">
        <v>608</v>
      </c>
      <c r="HBW339" s="42" t="s">
        <v>608</v>
      </c>
      <c r="HBX339" s="42" t="s">
        <v>608</v>
      </c>
      <c r="HBY339" s="42" t="s">
        <v>608</v>
      </c>
      <c r="HBZ339" s="42" t="s">
        <v>608</v>
      </c>
      <c r="HCA339" s="42" t="s">
        <v>608</v>
      </c>
      <c r="HCB339" s="42" t="s">
        <v>608</v>
      </c>
      <c r="HCC339" s="42" t="s">
        <v>608</v>
      </c>
      <c r="HCD339" s="42" t="s">
        <v>608</v>
      </c>
      <c r="HCE339" s="42" t="s">
        <v>608</v>
      </c>
      <c r="HCF339" s="42" t="s">
        <v>608</v>
      </c>
      <c r="HCG339" s="42" t="s">
        <v>608</v>
      </c>
      <c r="HCH339" s="42" t="s">
        <v>608</v>
      </c>
      <c r="HCI339" s="42" t="s">
        <v>608</v>
      </c>
      <c r="HCJ339" s="42" t="s">
        <v>608</v>
      </c>
      <c r="HCK339" s="42" t="s">
        <v>608</v>
      </c>
      <c r="HCL339" s="42" t="s">
        <v>608</v>
      </c>
      <c r="HCM339" s="42" t="s">
        <v>608</v>
      </c>
      <c r="HCN339" s="42" t="s">
        <v>608</v>
      </c>
      <c r="HCO339" s="42" t="s">
        <v>608</v>
      </c>
      <c r="HCP339" s="42" t="s">
        <v>608</v>
      </c>
      <c r="HCQ339" s="42" t="s">
        <v>608</v>
      </c>
      <c r="HCR339" s="42" t="s">
        <v>608</v>
      </c>
      <c r="HCS339" s="42" t="s">
        <v>608</v>
      </c>
      <c r="HCT339" s="42" t="s">
        <v>608</v>
      </c>
      <c r="HCU339" s="42" t="s">
        <v>608</v>
      </c>
      <c r="HCV339" s="42" t="s">
        <v>608</v>
      </c>
      <c r="HCW339" s="42" t="s">
        <v>608</v>
      </c>
      <c r="HCX339" s="42" t="s">
        <v>608</v>
      </c>
      <c r="HCY339" s="42" t="s">
        <v>608</v>
      </c>
      <c r="HCZ339" s="42" t="s">
        <v>608</v>
      </c>
      <c r="HDA339" s="42" t="s">
        <v>608</v>
      </c>
      <c r="HDB339" s="42" t="s">
        <v>608</v>
      </c>
      <c r="HDC339" s="42" t="s">
        <v>608</v>
      </c>
      <c r="HDD339" s="42" t="s">
        <v>608</v>
      </c>
      <c r="HDE339" s="42" t="s">
        <v>608</v>
      </c>
      <c r="HDF339" s="42" t="s">
        <v>608</v>
      </c>
      <c r="HDG339" s="42" t="s">
        <v>608</v>
      </c>
      <c r="HDH339" s="42" t="s">
        <v>608</v>
      </c>
      <c r="HDI339" s="42" t="s">
        <v>608</v>
      </c>
      <c r="HDJ339" s="42" t="s">
        <v>608</v>
      </c>
      <c r="HDK339" s="42" t="s">
        <v>608</v>
      </c>
      <c r="HDL339" s="42" t="s">
        <v>608</v>
      </c>
      <c r="HDM339" s="42" t="s">
        <v>608</v>
      </c>
      <c r="HDN339" s="42" t="s">
        <v>608</v>
      </c>
      <c r="HDO339" s="42" t="s">
        <v>608</v>
      </c>
      <c r="HDP339" s="42" t="s">
        <v>608</v>
      </c>
      <c r="HDQ339" s="42" t="s">
        <v>608</v>
      </c>
      <c r="HDR339" s="42" t="s">
        <v>608</v>
      </c>
      <c r="HDS339" s="42" t="s">
        <v>608</v>
      </c>
      <c r="HDT339" s="42" t="s">
        <v>608</v>
      </c>
      <c r="HDU339" s="42" t="s">
        <v>608</v>
      </c>
      <c r="HDV339" s="42" t="s">
        <v>608</v>
      </c>
      <c r="HDW339" s="42" t="s">
        <v>608</v>
      </c>
      <c r="HDX339" s="42" t="s">
        <v>608</v>
      </c>
      <c r="HDY339" s="42" t="s">
        <v>608</v>
      </c>
      <c r="HDZ339" s="42" t="s">
        <v>608</v>
      </c>
      <c r="HEA339" s="42" t="s">
        <v>608</v>
      </c>
      <c r="HEB339" s="42" t="s">
        <v>608</v>
      </c>
      <c r="HEC339" s="42" t="s">
        <v>608</v>
      </c>
      <c r="HED339" s="42" t="s">
        <v>608</v>
      </c>
      <c r="HEE339" s="42" t="s">
        <v>608</v>
      </c>
      <c r="HEF339" s="42" t="s">
        <v>608</v>
      </c>
      <c r="HEG339" s="42" t="s">
        <v>608</v>
      </c>
      <c r="HEH339" s="42" t="s">
        <v>608</v>
      </c>
      <c r="HEI339" s="42" t="s">
        <v>608</v>
      </c>
      <c r="HEJ339" s="42" t="s">
        <v>608</v>
      </c>
      <c r="HEK339" s="42" t="s">
        <v>608</v>
      </c>
      <c r="HEL339" s="42" t="s">
        <v>608</v>
      </c>
      <c r="HEM339" s="42" t="s">
        <v>608</v>
      </c>
      <c r="HEN339" s="42" t="s">
        <v>608</v>
      </c>
      <c r="HEO339" s="42" t="s">
        <v>608</v>
      </c>
      <c r="HEP339" s="42" t="s">
        <v>608</v>
      </c>
      <c r="HEQ339" s="42" t="s">
        <v>608</v>
      </c>
      <c r="HER339" s="42" t="s">
        <v>608</v>
      </c>
      <c r="HES339" s="42" t="s">
        <v>608</v>
      </c>
      <c r="HET339" s="42" t="s">
        <v>608</v>
      </c>
      <c r="HEU339" s="42" t="s">
        <v>608</v>
      </c>
      <c r="HEV339" s="42" t="s">
        <v>608</v>
      </c>
      <c r="HEW339" s="42" t="s">
        <v>608</v>
      </c>
      <c r="HEX339" s="42" t="s">
        <v>608</v>
      </c>
      <c r="HEY339" s="42" t="s">
        <v>608</v>
      </c>
      <c r="HEZ339" s="42" t="s">
        <v>608</v>
      </c>
      <c r="HFA339" s="42" t="s">
        <v>608</v>
      </c>
      <c r="HFB339" s="42" t="s">
        <v>608</v>
      </c>
      <c r="HFC339" s="42" t="s">
        <v>608</v>
      </c>
      <c r="HFD339" s="42" t="s">
        <v>608</v>
      </c>
      <c r="HFE339" s="42" t="s">
        <v>608</v>
      </c>
      <c r="HFF339" s="42" t="s">
        <v>608</v>
      </c>
      <c r="HFG339" s="42" t="s">
        <v>608</v>
      </c>
      <c r="HFH339" s="42" t="s">
        <v>608</v>
      </c>
      <c r="HFI339" s="42" t="s">
        <v>608</v>
      </c>
      <c r="HFJ339" s="42" t="s">
        <v>608</v>
      </c>
      <c r="HFK339" s="42" t="s">
        <v>608</v>
      </c>
      <c r="HFL339" s="42" t="s">
        <v>608</v>
      </c>
      <c r="HFM339" s="42" t="s">
        <v>608</v>
      </c>
      <c r="HFN339" s="42" t="s">
        <v>608</v>
      </c>
      <c r="HFO339" s="42" t="s">
        <v>608</v>
      </c>
      <c r="HFP339" s="42" t="s">
        <v>608</v>
      </c>
      <c r="HFQ339" s="42" t="s">
        <v>608</v>
      </c>
      <c r="HFR339" s="42" t="s">
        <v>608</v>
      </c>
      <c r="HFS339" s="42" t="s">
        <v>608</v>
      </c>
      <c r="HFT339" s="42" t="s">
        <v>608</v>
      </c>
      <c r="HFU339" s="42" t="s">
        <v>608</v>
      </c>
      <c r="HFV339" s="42" t="s">
        <v>608</v>
      </c>
      <c r="HFW339" s="42" t="s">
        <v>608</v>
      </c>
      <c r="HFX339" s="42" t="s">
        <v>608</v>
      </c>
      <c r="HFY339" s="42" t="s">
        <v>608</v>
      </c>
      <c r="HFZ339" s="42" t="s">
        <v>608</v>
      </c>
      <c r="HGA339" s="42" t="s">
        <v>608</v>
      </c>
      <c r="HGB339" s="42" t="s">
        <v>608</v>
      </c>
      <c r="HGC339" s="42" t="s">
        <v>608</v>
      </c>
      <c r="HGD339" s="42" t="s">
        <v>608</v>
      </c>
      <c r="HGE339" s="42" t="s">
        <v>608</v>
      </c>
      <c r="HGF339" s="42" t="s">
        <v>608</v>
      </c>
      <c r="HGG339" s="42" t="s">
        <v>608</v>
      </c>
      <c r="HGH339" s="42" t="s">
        <v>608</v>
      </c>
      <c r="HGI339" s="42" t="s">
        <v>608</v>
      </c>
      <c r="HGJ339" s="42" t="s">
        <v>608</v>
      </c>
      <c r="HGK339" s="42" t="s">
        <v>608</v>
      </c>
      <c r="HGL339" s="42" t="s">
        <v>608</v>
      </c>
      <c r="HGM339" s="42" t="s">
        <v>608</v>
      </c>
      <c r="HGN339" s="42" t="s">
        <v>608</v>
      </c>
      <c r="HGO339" s="42" t="s">
        <v>608</v>
      </c>
      <c r="HGP339" s="42" t="s">
        <v>608</v>
      </c>
      <c r="HGQ339" s="42" t="s">
        <v>608</v>
      </c>
      <c r="HGR339" s="42" t="s">
        <v>608</v>
      </c>
      <c r="HGS339" s="42" t="s">
        <v>608</v>
      </c>
      <c r="HGT339" s="42" t="s">
        <v>608</v>
      </c>
      <c r="HGU339" s="42" t="s">
        <v>608</v>
      </c>
      <c r="HGV339" s="42" t="s">
        <v>608</v>
      </c>
      <c r="HGW339" s="42" t="s">
        <v>608</v>
      </c>
      <c r="HGX339" s="42" t="s">
        <v>608</v>
      </c>
      <c r="HGY339" s="42" t="s">
        <v>608</v>
      </c>
      <c r="HGZ339" s="42" t="s">
        <v>608</v>
      </c>
      <c r="HHA339" s="42" t="s">
        <v>608</v>
      </c>
      <c r="HHB339" s="42" t="s">
        <v>608</v>
      </c>
      <c r="HHC339" s="42" t="s">
        <v>608</v>
      </c>
      <c r="HHD339" s="42" t="s">
        <v>608</v>
      </c>
      <c r="HHE339" s="42" t="s">
        <v>608</v>
      </c>
      <c r="HHF339" s="42" t="s">
        <v>608</v>
      </c>
      <c r="HHG339" s="42" t="s">
        <v>608</v>
      </c>
      <c r="HHH339" s="42" t="s">
        <v>608</v>
      </c>
      <c r="HHI339" s="42" t="s">
        <v>608</v>
      </c>
      <c r="HHJ339" s="42" t="s">
        <v>608</v>
      </c>
      <c r="HHK339" s="42" t="s">
        <v>608</v>
      </c>
      <c r="HHL339" s="42" t="s">
        <v>608</v>
      </c>
      <c r="HHM339" s="42" t="s">
        <v>608</v>
      </c>
      <c r="HHN339" s="42" t="s">
        <v>608</v>
      </c>
      <c r="HHO339" s="42" t="s">
        <v>608</v>
      </c>
      <c r="HHP339" s="42" t="s">
        <v>608</v>
      </c>
      <c r="HHQ339" s="42" t="s">
        <v>608</v>
      </c>
      <c r="HHR339" s="42" t="s">
        <v>608</v>
      </c>
      <c r="HHS339" s="42" t="s">
        <v>608</v>
      </c>
      <c r="HHT339" s="42" t="s">
        <v>608</v>
      </c>
      <c r="HHU339" s="42" t="s">
        <v>608</v>
      </c>
      <c r="HHV339" s="42" t="s">
        <v>608</v>
      </c>
      <c r="HHW339" s="42" t="s">
        <v>608</v>
      </c>
      <c r="HHX339" s="42" t="s">
        <v>608</v>
      </c>
      <c r="HHY339" s="42" t="s">
        <v>608</v>
      </c>
      <c r="HHZ339" s="42" t="s">
        <v>608</v>
      </c>
      <c r="HIA339" s="42" t="s">
        <v>608</v>
      </c>
      <c r="HIB339" s="42" t="s">
        <v>608</v>
      </c>
      <c r="HIC339" s="42" t="s">
        <v>608</v>
      </c>
      <c r="HID339" s="42" t="s">
        <v>608</v>
      </c>
      <c r="HIE339" s="42" t="s">
        <v>608</v>
      </c>
      <c r="HIF339" s="42" t="s">
        <v>608</v>
      </c>
      <c r="HIG339" s="42" t="s">
        <v>608</v>
      </c>
      <c r="HIH339" s="42" t="s">
        <v>608</v>
      </c>
      <c r="HII339" s="42" t="s">
        <v>608</v>
      </c>
      <c r="HIJ339" s="42" t="s">
        <v>608</v>
      </c>
      <c r="HIK339" s="42" t="s">
        <v>608</v>
      </c>
      <c r="HIL339" s="42" t="s">
        <v>608</v>
      </c>
      <c r="HIM339" s="42" t="s">
        <v>608</v>
      </c>
      <c r="HIN339" s="42" t="s">
        <v>608</v>
      </c>
      <c r="HIO339" s="42" t="s">
        <v>608</v>
      </c>
      <c r="HIP339" s="42" t="s">
        <v>608</v>
      </c>
      <c r="HIQ339" s="42" t="s">
        <v>608</v>
      </c>
      <c r="HIR339" s="42" t="s">
        <v>608</v>
      </c>
      <c r="HIS339" s="42" t="s">
        <v>608</v>
      </c>
      <c r="HIT339" s="42" t="s">
        <v>608</v>
      </c>
      <c r="HIU339" s="42" t="s">
        <v>608</v>
      </c>
      <c r="HIV339" s="42" t="s">
        <v>608</v>
      </c>
      <c r="HIW339" s="42" t="s">
        <v>608</v>
      </c>
      <c r="HIX339" s="42" t="s">
        <v>608</v>
      </c>
      <c r="HIY339" s="42" t="s">
        <v>608</v>
      </c>
      <c r="HIZ339" s="42" t="s">
        <v>608</v>
      </c>
      <c r="HJA339" s="42" t="s">
        <v>608</v>
      </c>
      <c r="HJB339" s="42" t="s">
        <v>608</v>
      </c>
      <c r="HJC339" s="42" t="s">
        <v>608</v>
      </c>
      <c r="HJD339" s="42" t="s">
        <v>608</v>
      </c>
      <c r="HJE339" s="42" t="s">
        <v>608</v>
      </c>
      <c r="HJF339" s="42" t="s">
        <v>608</v>
      </c>
      <c r="HJG339" s="42" t="s">
        <v>608</v>
      </c>
      <c r="HJH339" s="42" t="s">
        <v>608</v>
      </c>
      <c r="HJI339" s="42" t="s">
        <v>608</v>
      </c>
      <c r="HJJ339" s="42" t="s">
        <v>608</v>
      </c>
      <c r="HJK339" s="42" t="s">
        <v>608</v>
      </c>
      <c r="HJL339" s="42" t="s">
        <v>608</v>
      </c>
      <c r="HJM339" s="42" t="s">
        <v>608</v>
      </c>
      <c r="HJN339" s="42" t="s">
        <v>608</v>
      </c>
      <c r="HJO339" s="42" t="s">
        <v>608</v>
      </c>
      <c r="HJP339" s="42" t="s">
        <v>608</v>
      </c>
      <c r="HJQ339" s="42" t="s">
        <v>608</v>
      </c>
      <c r="HJR339" s="42" t="s">
        <v>608</v>
      </c>
      <c r="HJS339" s="42" t="s">
        <v>608</v>
      </c>
      <c r="HJT339" s="42" t="s">
        <v>608</v>
      </c>
      <c r="HJU339" s="42" t="s">
        <v>608</v>
      </c>
      <c r="HJV339" s="42" t="s">
        <v>608</v>
      </c>
      <c r="HJW339" s="42" t="s">
        <v>608</v>
      </c>
      <c r="HJX339" s="42" t="s">
        <v>608</v>
      </c>
      <c r="HJY339" s="42" t="s">
        <v>608</v>
      </c>
      <c r="HJZ339" s="42" t="s">
        <v>608</v>
      </c>
      <c r="HKA339" s="42" t="s">
        <v>608</v>
      </c>
      <c r="HKB339" s="42" t="s">
        <v>608</v>
      </c>
      <c r="HKC339" s="42" t="s">
        <v>608</v>
      </c>
      <c r="HKD339" s="42" t="s">
        <v>608</v>
      </c>
      <c r="HKE339" s="42" t="s">
        <v>608</v>
      </c>
      <c r="HKF339" s="42" t="s">
        <v>608</v>
      </c>
      <c r="HKG339" s="42" t="s">
        <v>608</v>
      </c>
      <c r="HKH339" s="42" t="s">
        <v>608</v>
      </c>
      <c r="HKI339" s="42" t="s">
        <v>608</v>
      </c>
      <c r="HKJ339" s="42" t="s">
        <v>608</v>
      </c>
      <c r="HKK339" s="42" t="s">
        <v>608</v>
      </c>
      <c r="HKL339" s="42" t="s">
        <v>608</v>
      </c>
      <c r="HKM339" s="42" t="s">
        <v>608</v>
      </c>
      <c r="HKN339" s="42" t="s">
        <v>608</v>
      </c>
      <c r="HKO339" s="42" t="s">
        <v>608</v>
      </c>
      <c r="HKP339" s="42" t="s">
        <v>608</v>
      </c>
      <c r="HKQ339" s="42" t="s">
        <v>608</v>
      </c>
      <c r="HKR339" s="42" t="s">
        <v>608</v>
      </c>
      <c r="HKS339" s="42" t="s">
        <v>608</v>
      </c>
      <c r="HKT339" s="42" t="s">
        <v>608</v>
      </c>
      <c r="HKU339" s="42" t="s">
        <v>608</v>
      </c>
      <c r="HKV339" s="42" t="s">
        <v>608</v>
      </c>
      <c r="HKW339" s="42" t="s">
        <v>608</v>
      </c>
      <c r="HKX339" s="42" t="s">
        <v>608</v>
      </c>
      <c r="HKY339" s="42" t="s">
        <v>608</v>
      </c>
      <c r="HKZ339" s="42" t="s">
        <v>608</v>
      </c>
      <c r="HLA339" s="42" t="s">
        <v>608</v>
      </c>
      <c r="HLB339" s="42" t="s">
        <v>608</v>
      </c>
      <c r="HLC339" s="42" t="s">
        <v>608</v>
      </c>
      <c r="HLD339" s="42" t="s">
        <v>608</v>
      </c>
      <c r="HLE339" s="42" t="s">
        <v>608</v>
      </c>
      <c r="HLF339" s="42" t="s">
        <v>608</v>
      </c>
      <c r="HLG339" s="42" t="s">
        <v>608</v>
      </c>
      <c r="HLH339" s="42" t="s">
        <v>608</v>
      </c>
      <c r="HLI339" s="42" t="s">
        <v>608</v>
      </c>
      <c r="HLJ339" s="42" t="s">
        <v>608</v>
      </c>
      <c r="HLK339" s="42" t="s">
        <v>608</v>
      </c>
      <c r="HLL339" s="42" t="s">
        <v>608</v>
      </c>
      <c r="HLM339" s="42" t="s">
        <v>608</v>
      </c>
      <c r="HLN339" s="42" t="s">
        <v>608</v>
      </c>
      <c r="HLO339" s="42" t="s">
        <v>608</v>
      </c>
      <c r="HLP339" s="42" t="s">
        <v>608</v>
      </c>
      <c r="HLQ339" s="42" t="s">
        <v>608</v>
      </c>
      <c r="HLR339" s="42" t="s">
        <v>608</v>
      </c>
      <c r="HLS339" s="42" t="s">
        <v>608</v>
      </c>
      <c r="HLT339" s="42" t="s">
        <v>608</v>
      </c>
      <c r="HLU339" s="42" t="s">
        <v>608</v>
      </c>
      <c r="HLV339" s="42" t="s">
        <v>608</v>
      </c>
      <c r="HLW339" s="42" t="s">
        <v>608</v>
      </c>
      <c r="HLX339" s="42" t="s">
        <v>608</v>
      </c>
      <c r="HLY339" s="42" t="s">
        <v>608</v>
      </c>
      <c r="HLZ339" s="42" t="s">
        <v>608</v>
      </c>
      <c r="HMA339" s="42" t="s">
        <v>608</v>
      </c>
      <c r="HMB339" s="42" t="s">
        <v>608</v>
      </c>
      <c r="HMC339" s="42" t="s">
        <v>608</v>
      </c>
      <c r="HMD339" s="42" t="s">
        <v>608</v>
      </c>
      <c r="HME339" s="42" t="s">
        <v>608</v>
      </c>
      <c r="HMF339" s="42" t="s">
        <v>608</v>
      </c>
      <c r="HMG339" s="42" t="s">
        <v>608</v>
      </c>
      <c r="HMH339" s="42" t="s">
        <v>608</v>
      </c>
      <c r="HMI339" s="42" t="s">
        <v>608</v>
      </c>
      <c r="HMJ339" s="42" t="s">
        <v>608</v>
      </c>
      <c r="HMK339" s="42" t="s">
        <v>608</v>
      </c>
      <c r="HML339" s="42" t="s">
        <v>608</v>
      </c>
      <c r="HMM339" s="42" t="s">
        <v>608</v>
      </c>
      <c r="HMN339" s="42" t="s">
        <v>608</v>
      </c>
      <c r="HMO339" s="42" t="s">
        <v>608</v>
      </c>
      <c r="HMP339" s="42" t="s">
        <v>608</v>
      </c>
      <c r="HMQ339" s="42" t="s">
        <v>608</v>
      </c>
      <c r="HMR339" s="42" t="s">
        <v>608</v>
      </c>
      <c r="HMS339" s="42" t="s">
        <v>608</v>
      </c>
      <c r="HMT339" s="42" t="s">
        <v>608</v>
      </c>
      <c r="HMU339" s="42" t="s">
        <v>608</v>
      </c>
      <c r="HMV339" s="42" t="s">
        <v>608</v>
      </c>
      <c r="HMW339" s="42" t="s">
        <v>608</v>
      </c>
      <c r="HMX339" s="42" t="s">
        <v>608</v>
      </c>
      <c r="HMY339" s="42" t="s">
        <v>608</v>
      </c>
      <c r="HMZ339" s="42" t="s">
        <v>608</v>
      </c>
      <c r="HNA339" s="42" t="s">
        <v>608</v>
      </c>
      <c r="HNB339" s="42" t="s">
        <v>608</v>
      </c>
      <c r="HNC339" s="42" t="s">
        <v>608</v>
      </c>
      <c r="HND339" s="42" t="s">
        <v>608</v>
      </c>
      <c r="HNE339" s="42" t="s">
        <v>608</v>
      </c>
      <c r="HNF339" s="42" t="s">
        <v>608</v>
      </c>
      <c r="HNG339" s="42" t="s">
        <v>608</v>
      </c>
      <c r="HNH339" s="42" t="s">
        <v>608</v>
      </c>
      <c r="HNI339" s="42" t="s">
        <v>608</v>
      </c>
      <c r="HNJ339" s="42" t="s">
        <v>608</v>
      </c>
      <c r="HNK339" s="42" t="s">
        <v>608</v>
      </c>
      <c r="HNL339" s="42" t="s">
        <v>608</v>
      </c>
      <c r="HNM339" s="42" t="s">
        <v>608</v>
      </c>
      <c r="HNN339" s="42" t="s">
        <v>608</v>
      </c>
      <c r="HNO339" s="42" t="s">
        <v>608</v>
      </c>
      <c r="HNP339" s="42" t="s">
        <v>608</v>
      </c>
      <c r="HNQ339" s="42" t="s">
        <v>608</v>
      </c>
      <c r="HNR339" s="42" t="s">
        <v>608</v>
      </c>
      <c r="HNS339" s="42" t="s">
        <v>608</v>
      </c>
      <c r="HNT339" s="42" t="s">
        <v>608</v>
      </c>
      <c r="HNU339" s="42" t="s">
        <v>608</v>
      </c>
      <c r="HNV339" s="42" t="s">
        <v>608</v>
      </c>
      <c r="HNW339" s="42" t="s">
        <v>608</v>
      </c>
      <c r="HNX339" s="42" t="s">
        <v>608</v>
      </c>
      <c r="HNY339" s="42" t="s">
        <v>608</v>
      </c>
      <c r="HNZ339" s="42" t="s">
        <v>608</v>
      </c>
      <c r="HOA339" s="42" t="s">
        <v>608</v>
      </c>
      <c r="HOB339" s="42" t="s">
        <v>608</v>
      </c>
      <c r="HOC339" s="42" t="s">
        <v>608</v>
      </c>
      <c r="HOD339" s="42" t="s">
        <v>608</v>
      </c>
      <c r="HOE339" s="42" t="s">
        <v>608</v>
      </c>
      <c r="HOF339" s="42" t="s">
        <v>608</v>
      </c>
      <c r="HOG339" s="42" t="s">
        <v>608</v>
      </c>
      <c r="HOH339" s="42" t="s">
        <v>608</v>
      </c>
      <c r="HOI339" s="42" t="s">
        <v>608</v>
      </c>
      <c r="HOJ339" s="42" t="s">
        <v>608</v>
      </c>
      <c r="HOK339" s="42" t="s">
        <v>608</v>
      </c>
      <c r="HOL339" s="42" t="s">
        <v>608</v>
      </c>
      <c r="HOM339" s="42" t="s">
        <v>608</v>
      </c>
      <c r="HON339" s="42" t="s">
        <v>608</v>
      </c>
      <c r="HOO339" s="42" t="s">
        <v>608</v>
      </c>
      <c r="HOP339" s="42" t="s">
        <v>608</v>
      </c>
      <c r="HOQ339" s="42" t="s">
        <v>608</v>
      </c>
      <c r="HOR339" s="42" t="s">
        <v>608</v>
      </c>
      <c r="HOS339" s="42" t="s">
        <v>608</v>
      </c>
      <c r="HOT339" s="42" t="s">
        <v>608</v>
      </c>
      <c r="HOU339" s="42" t="s">
        <v>608</v>
      </c>
      <c r="HOV339" s="42" t="s">
        <v>608</v>
      </c>
      <c r="HOW339" s="42" t="s">
        <v>608</v>
      </c>
      <c r="HOX339" s="42" t="s">
        <v>608</v>
      </c>
      <c r="HOY339" s="42" t="s">
        <v>608</v>
      </c>
      <c r="HOZ339" s="42" t="s">
        <v>608</v>
      </c>
      <c r="HPA339" s="42" t="s">
        <v>608</v>
      </c>
      <c r="HPB339" s="42" t="s">
        <v>608</v>
      </c>
      <c r="HPC339" s="42" t="s">
        <v>608</v>
      </c>
      <c r="HPD339" s="42" t="s">
        <v>608</v>
      </c>
      <c r="HPE339" s="42" t="s">
        <v>608</v>
      </c>
      <c r="HPF339" s="42" t="s">
        <v>608</v>
      </c>
      <c r="HPG339" s="42" t="s">
        <v>608</v>
      </c>
      <c r="HPH339" s="42" t="s">
        <v>608</v>
      </c>
      <c r="HPI339" s="42" t="s">
        <v>608</v>
      </c>
      <c r="HPJ339" s="42" t="s">
        <v>608</v>
      </c>
      <c r="HPK339" s="42" t="s">
        <v>608</v>
      </c>
      <c r="HPL339" s="42" t="s">
        <v>608</v>
      </c>
      <c r="HPM339" s="42" t="s">
        <v>608</v>
      </c>
      <c r="HPN339" s="42" t="s">
        <v>608</v>
      </c>
      <c r="HPO339" s="42" t="s">
        <v>608</v>
      </c>
      <c r="HPP339" s="42" t="s">
        <v>608</v>
      </c>
      <c r="HPQ339" s="42" t="s">
        <v>608</v>
      </c>
      <c r="HPR339" s="42" t="s">
        <v>608</v>
      </c>
      <c r="HPS339" s="42" t="s">
        <v>608</v>
      </c>
      <c r="HPT339" s="42" t="s">
        <v>608</v>
      </c>
      <c r="HPU339" s="42" t="s">
        <v>608</v>
      </c>
      <c r="HPV339" s="42" t="s">
        <v>608</v>
      </c>
      <c r="HPW339" s="42" t="s">
        <v>608</v>
      </c>
      <c r="HPX339" s="42" t="s">
        <v>608</v>
      </c>
      <c r="HPY339" s="42" t="s">
        <v>608</v>
      </c>
      <c r="HPZ339" s="42" t="s">
        <v>608</v>
      </c>
      <c r="HQA339" s="42" t="s">
        <v>608</v>
      </c>
      <c r="HQB339" s="42" t="s">
        <v>608</v>
      </c>
      <c r="HQC339" s="42" t="s">
        <v>608</v>
      </c>
      <c r="HQD339" s="42" t="s">
        <v>608</v>
      </c>
      <c r="HQE339" s="42" t="s">
        <v>608</v>
      </c>
      <c r="HQF339" s="42" t="s">
        <v>608</v>
      </c>
      <c r="HQG339" s="42" t="s">
        <v>608</v>
      </c>
      <c r="HQH339" s="42" t="s">
        <v>608</v>
      </c>
      <c r="HQI339" s="42" t="s">
        <v>608</v>
      </c>
      <c r="HQJ339" s="42" t="s">
        <v>608</v>
      </c>
      <c r="HQK339" s="42" t="s">
        <v>608</v>
      </c>
      <c r="HQL339" s="42" t="s">
        <v>608</v>
      </c>
      <c r="HQM339" s="42" t="s">
        <v>608</v>
      </c>
      <c r="HQN339" s="42" t="s">
        <v>608</v>
      </c>
      <c r="HQO339" s="42" t="s">
        <v>608</v>
      </c>
      <c r="HQP339" s="42" t="s">
        <v>608</v>
      </c>
      <c r="HQQ339" s="42" t="s">
        <v>608</v>
      </c>
      <c r="HQR339" s="42" t="s">
        <v>608</v>
      </c>
      <c r="HQS339" s="42" t="s">
        <v>608</v>
      </c>
      <c r="HQT339" s="42" t="s">
        <v>608</v>
      </c>
      <c r="HQU339" s="42" t="s">
        <v>608</v>
      </c>
      <c r="HQV339" s="42" t="s">
        <v>608</v>
      </c>
      <c r="HQW339" s="42" t="s">
        <v>608</v>
      </c>
      <c r="HQX339" s="42" t="s">
        <v>608</v>
      </c>
      <c r="HQY339" s="42" t="s">
        <v>608</v>
      </c>
      <c r="HQZ339" s="42" t="s">
        <v>608</v>
      </c>
      <c r="HRA339" s="42" t="s">
        <v>608</v>
      </c>
      <c r="HRB339" s="42" t="s">
        <v>608</v>
      </c>
      <c r="HRC339" s="42" t="s">
        <v>608</v>
      </c>
      <c r="HRD339" s="42" t="s">
        <v>608</v>
      </c>
      <c r="HRE339" s="42" t="s">
        <v>608</v>
      </c>
      <c r="HRF339" s="42" t="s">
        <v>608</v>
      </c>
      <c r="HRG339" s="42" t="s">
        <v>608</v>
      </c>
      <c r="HRH339" s="42" t="s">
        <v>608</v>
      </c>
      <c r="HRI339" s="42" t="s">
        <v>608</v>
      </c>
      <c r="HRJ339" s="42" t="s">
        <v>608</v>
      </c>
      <c r="HRK339" s="42" t="s">
        <v>608</v>
      </c>
      <c r="HRL339" s="42" t="s">
        <v>608</v>
      </c>
      <c r="HRM339" s="42" t="s">
        <v>608</v>
      </c>
      <c r="HRN339" s="42" t="s">
        <v>608</v>
      </c>
      <c r="HRO339" s="42" t="s">
        <v>608</v>
      </c>
      <c r="HRP339" s="42" t="s">
        <v>608</v>
      </c>
      <c r="HRQ339" s="42" t="s">
        <v>608</v>
      </c>
      <c r="HRR339" s="42" t="s">
        <v>608</v>
      </c>
      <c r="HRS339" s="42" t="s">
        <v>608</v>
      </c>
      <c r="HRT339" s="42" t="s">
        <v>608</v>
      </c>
      <c r="HRU339" s="42" t="s">
        <v>608</v>
      </c>
      <c r="HRV339" s="42" t="s">
        <v>608</v>
      </c>
      <c r="HRW339" s="42" t="s">
        <v>608</v>
      </c>
      <c r="HRX339" s="42" t="s">
        <v>608</v>
      </c>
      <c r="HRY339" s="42" t="s">
        <v>608</v>
      </c>
      <c r="HRZ339" s="42" t="s">
        <v>608</v>
      </c>
      <c r="HSA339" s="42" t="s">
        <v>608</v>
      </c>
      <c r="HSB339" s="42" t="s">
        <v>608</v>
      </c>
      <c r="HSC339" s="42" t="s">
        <v>608</v>
      </c>
      <c r="HSD339" s="42" t="s">
        <v>608</v>
      </c>
      <c r="HSE339" s="42" t="s">
        <v>608</v>
      </c>
      <c r="HSF339" s="42" t="s">
        <v>608</v>
      </c>
      <c r="HSG339" s="42" t="s">
        <v>608</v>
      </c>
      <c r="HSH339" s="42" t="s">
        <v>608</v>
      </c>
      <c r="HSI339" s="42" t="s">
        <v>608</v>
      </c>
      <c r="HSJ339" s="42" t="s">
        <v>608</v>
      </c>
      <c r="HSK339" s="42" t="s">
        <v>608</v>
      </c>
      <c r="HSL339" s="42" t="s">
        <v>608</v>
      </c>
      <c r="HSM339" s="42" t="s">
        <v>608</v>
      </c>
      <c r="HSN339" s="42" t="s">
        <v>608</v>
      </c>
      <c r="HSO339" s="42" t="s">
        <v>608</v>
      </c>
      <c r="HSP339" s="42" t="s">
        <v>608</v>
      </c>
      <c r="HSQ339" s="42" t="s">
        <v>608</v>
      </c>
      <c r="HSR339" s="42" t="s">
        <v>608</v>
      </c>
      <c r="HSS339" s="42" t="s">
        <v>608</v>
      </c>
      <c r="HST339" s="42" t="s">
        <v>608</v>
      </c>
      <c r="HSU339" s="42" t="s">
        <v>608</v>
      </c>
      <c r="HSV339" s="42" t="s">
        <v>608</v>
      </c>
      <c r="HSW339" s="42" t="s">
        <v>608</v>
      </c>
      <c r="HSX339" s="42" t="s">
        <v>608</v>
      </c>
      <c r="HSY339" s="42" t="s">
        <v>608</v>
      </c>
      <c r="HSZ339" s="42" t="s">
        <v>608</v>
      </c>
      <c r="HTA339" s="42" t="s">
        <v>608</v>
      </c>
      <c r="HTB339" s="42" t="s">
        <v>608</v>
      </c>
      <c r="HTC339" s="42" t="s">
        <v>608</v>
      </c>
      <c r="HTD339" s="42" t="s">
        <v>608</v>
      </c>
      <c r="HTE339" s="42" t="s">
        <v>608</v>
      </c>
      <c r="HTF339" s="42" t="s">
        <v>608</v>
      </c>
      <c r="HTG339" s="42" t="s">
        <v>608</v>
      </c>
      <c r="HTH339" s="42" t="s">
        <v>608</v>
      </c>
      <c r="HTI339" s="42" t="s">
        <v>608</v>
      </c>
      <c r="HTJ339" s="42" t="s">
        <v>608</v>
      </c>
      <c r="HTK339" s="42" t="s">
        <v>608</v>
      </c>
      <c r="HTL339" s="42" t="s">
        <v>608</v>
      </c>
      <c r="HTM339" s="42" t="s">
        <v>608</v>
      </c>
      <c r="HTN339" s="42" t="s">
        <v>608</v>
      </c>
      <c r="HTO339" s="42" t="s">
        <v>608</v>
      </c>
      <c r="HTP339" s="42" t="s">
        <v>608</v>
      </c>
      <c r="HTQ339" s="42" t="s">
        <v>608</v>
      </c>
      <c r="HTR339" s="42" t="s">
        <v>608</v>
      </c>
      <c r="HTS339" s="42" t="s">
        <v>608</v>
      </c>
      <c r="HTT339" s="42" t="s">
        <v>608</v>
      </c>
      <c r="HTU339" s="42" t="s">
        <v>608</v>
      </c>
      <c r="HTV339" s="42" t="s">
        <v>608</v>
      </c>
      <c r="HTW339" s="42" t="s">
        <v>608</v>
      </c>
      <c r="HTX339" s="42" t="s">
        <v>608</v>
      </c>
      <c r="HTY339" s="42" t="s">
        <v>608</v>
      </c>
      <c r="HTZ339" s="42" t="s">
        <v>608</v>
      </c>
      <c r="HUA339" s="42" t="s">
        <v>608</v>
      </c>
      <c r="HUB339" s="42" t="s">
        <v>608</v>
      </c>
      <c r="HUC339" s="42" t="s">
        <v>608</v>
      </c>
      <c r="HUD339" s="42" t="s">
        <v>608</v>
      </c>
      <c r="HUE339" s="42" t="s">
        <v>608</v>
      </c>
      <c r="HUF339" s="42" t="s">
        <v>608</v>
      </c>
      <c r="HUG339" s="42" t="s">
        <v>608</v>
      </c>
      <c r="HUH339" s="42" t="s">
        <v>608</v>
      </c>
      <c r="HUI339" s="42" t="s">
        <v>608</v>
      </c>
      <c r="HUJ339" s="42" t="s">
        <v>608</v>
      </c>
      <c r="HUK339" s="42" t="s">
        <v>608</v>
      </c>
      <c r="HUL339" s="42" t="s">
        <v>608</v>
      </c>
      <c r="HUM339" s="42" t="s">
        <v>608</v>
      </c>
      <c r="HUN339" s="42" t="s">
        <v>608</v>
      </c>
      <c r="HUO339" s="42" t="s">
        <v>608</v>
      </c>
      <c r="HUP339" s="42" t="s">
        <v>608</v>
      </c>
      <c r="HUQ339" s="42" t="s">
        <v>608</v>
      </c>
      <c r="HUR339" s="42" t="s">
        <v>608</v>
      </c>
      <c r="HUS339" s="42" t="s">
        <v>608</v>
      </c>
      <c r="HUT339" s="42" t="s">
        <v>608</v>
      </c>
      <c r="HUU339" s="42" t="s">
        <v>608</v>
      </c>
      <c r="HUV339" s="42" t="s">
        <v>608</v>
      </c>
      <c r="HUW339" s="42" t="s">
        <v>608</v>
      </c>
      <c r="HUX339" s="42" t="s">
        <v>608</v>
      </c>
      <c r="HUY339" s="42" t="s">
        <v>608</v>
      </c>
      <c r="HUZ339" s="42" t="s">
        <v>608</v>
      </c>
      <c r="HVA339" s="42" t="s">
        <v>608</v>
      </c>
      <c r="HVB339" s="42" t="s">
        <v>608</v>
      </c>
      <c r="HVC339" s="42" t="s">
        <v>608</v>
      </c>
      <c r="HVD339" s="42" t="s">
        <v>608</v>
      </c>
      <c r="HVE339" s="42" t="s">
        <v>608</v>
      </c>
      <c r="HVF339" s="42" t="s">
        <v>608</v>
      </c>
      <c r="HVG339" s="42" t="s">
        <v>608</v>
      </c>
      <c r="HVH339" s="42" t="s">
        <v>608</v>
      </c>
      <c r="HVI339" s="42" t="s">
        <v>608</v>
      </c>
      <c r="HVJ339" s="42" t="s">
        <v>608</v>
      </c>
      <c r="HVK339" s="42" t="s">
        <v>608</v>
      </c>
      <c r="HVL339" s="42" t="s">
        <v>608</v>
      </c>
      <c r="HVM339" s="42" t="s">
        <v>608</v>
      </c>
      <c r="HVN339" s="42" t="s">
        <v>608</v>
      </c>
      <c r="HVO339" s="42" t="s">
        <v>608</v>
      </c>
      <c r="HVP339" s="42" t="s">
        <v>608</v>
      </c>
      <c r="HVQ339" s="42" t="s">
        <v>608</v>
      </c>
      <c r="HVR339" s="42" t="s">
        <v>608</v>
      </c>
      <c r="HVS339" s="42" t="s">
        <v>608</v>
      </c>
      <c r="HVT339" s="42" t="s">
        <v>608</v>
      </c>
      <c r="HVU339" s="42" t="s">
        <v>608</v>
      </c>
      <c r="HVV339" s="42" t="s">
        <v>608</v>
      </c>
      <c r="HVW339" s="42" t="s">
        <v>608</v>
      </c>
      <c r="HVX339" s="42" t="s">
        <v>608</v>
      </c>
      <c r="HVY339" s="42" t="s">
        <v>608</v>
      </c>
      <c r="HVZ339" s="42" t="s">
        <v>608</v>
      </c>
      <c r="HWA339" s="42" t="s">
        <v>608</v>
      </c>
      <c r="HWB339" s="42" t="s">
        <v>608</v>
      </c>
      <c r="HWC339" s="42" t="s">
        <v>608</v>
      </c>
      <c r="HWD339" s="42" t="s">
        <v>608</v>
      </c>
      <c r="HWE339" s="42" t="s">
        <v>608</v>
      </c>
      <c r="HWF339" s="42" t="s">
        <v>608</v>
      </c>
      <c r="HWG339" s="42" t="s">
        <v>608</v>
      </c>
      <c r="HWH339" s="42" t="s">
        <v>608</v>
      </c>
      <c r="HWI339" s="42" t="s">
        <v>608</v>
      </c>
      <c r="HWJ339" s="42" t="s">
        <v>608</v>
      </c>
      <c r="HWK339" s="42" t="s">
        <v>608</v>
      </c>
      <c r="HWL339" s="42" t="s">
        <v>608</v>
      </c>
      <c r="HWM339" s="42" t="s">
        <v>608</v>
      </c>
      <c r="HWN339" s="42" t="s">
        <v>608</v>
      </c>
      <c r="HWO339" s="42" t="s">
        <v>608</v>
      </c>
      <c r="HWP339" s="42" t="s">
        <v>608</v>
      </c>
      <c r="HWQ339" s="42" t="s">
        <v>608</v>
      </c>
      <c r="HWR339" s="42" t="s">
        <v>608</v>
      </c>
      <c r="HWS339" s="42" t="s">
        <v>608</v>
      </c>
      <c r="HWT339" s="42" t="s">
        <v>608</v>
      </c>
      <c r="HWU339" s="42" t="s">
        <v>608</v>
      </c>
      <c r="HWV339" s="42" t="s">
        <v>608</v>
      </c>
      <c r="HWW339" s="42" t="s">
        <v>608</v>
      </c>
      <c r="HWX339" s="42" t="s">
        <v>608</v>
      </c>
      <c r="HWY339" s="42" t="s">
        <v>608</v>
      </c>
      <c r="HWZ339" s="42" t="s">
        <v>608</v>
      </c>
      <c r="HXA339" s="42" t="s">
        <v>608</v>
      </c>
      <c r="HXB339" s="42" t="s">
        <v>608</v>
      </c>
      <c r="HXC339" s="42" t="s">
        <v>608</v>
      </c>
      <c r="HXD339" s="42" t="s">
        <v>608</v>
      </c>
      <c r="HXE339" s="42" t="s">
        <v>608</v>
      </c>
      <c r="HXF339" s="42" t="s">
        <v>608</v>
      </c>
      <c r="HXG339" s="42" t="s">
        <v>608</v>
      </c>
      <c r="HXH339" s="42" t="s">
        <v>608</v>
      </c>
      <c r="HXI339" s="42" t="s">
        <v>608</v>
      </c>
      <c r="HXJ339" s="42" t="s">
        <v>608</v>
      </c>
      <c r="HXK339" s="42" t="s">
        <v>608</v>
      </c>
      <c r="HXL339" s="42" t="s">
        <v>608</v>
      </c>
      <c r="HXM339" s="42" t="s">
        <v>608</v>
      </c>
      <c r="HXN339" s="42" t="s">
        <v>608</v>
      </c>
      <c r="HXO339" s="42" t="s">
        <v>608</v>
      </c>
      <c r="HXP339" s="42" t="s">
        <v>608</v>
      </c>
      <c r="HXQ339" s="42" t="s">
        <v>608</v>
      </c>
      <c r="HXR339" s="42" t="s">
        <v>608</v>
      </c>
      <c r="HXS339" s="42" t="s">
        <v>608</v>
      </c>
      <c r="HXT339" s="42" t="s">
        <v>608</v>
      </c>
      <c r="HXU339" s="42" t="s">
        <v>608</v>
      </c>
      <c r="HXV339" s="42" t="s">
        <v>608</v>
      </c>
      <c r="HXW339" s="42" t="s">
        <v>608</v>
      </c>
      <c r="HXX339" s="42" t="s">
        <v>608</v>
      </c>
      <c r="HXY339" s="42" t="s">
        <v>608</v>
      </c>
      <c r="HXZ339" s="42" t="s">
        <v>608</v>
      </c>
      <c r="HYA339" s="42" t="s">
        <v>608</v>
      </c>
      <c r="HYB339" s="42" t="s">
        <v>608</v>
      </c>
      <c r="HYC339" s="42" t="s">
        <v>608</v>
      </c>
      <c r="HYD339" s="42" t="s">
        <v>608</v>
      </c>
      <c r="HYE339" s="42" t="s">
        <v>608</v>
      </c>
      <c r="HYF339" s="42" t="s">
        <v>608</v>
      </c>
      <c r="HYG339" s="42" t="s">
        <v>608</v>
      </c>
      <c r="HYH339" s="42" t="s">
        <v>608</v>
      </c>
      <c r="HYI339" s="42" t="s">
        <v>608</v>
      </c>
      <c r="HYJ339" s="42" t="s">
        <v>608</v>
      </c>
      <c r="HYK339" s="42" t="s">
        <v>608</v>
      </c>
      <c r="HYL339" s="42" t="s">
        <v>608</v>
      </c>
      <c r="HYM339" s="42" t="s">
        <v>608</v>
      </c>
      <c r="HYN339" s="42" t="s">
        <v>608</v>
      </c>
      <c r="HYO339" s="42" t="s">
        <v>608</v>
      </c>
      <c r="HYP339" s="42" t="s">
        <v>608</v>
      </c>
      <c r="HYQ339" s="42" t="s">
        <v>608</v>
      </c>
      <c r="HYR339" s="42" t="s">
        <v>608</v>
      </c>
      <c r="HYS339" s="42" t="s">
        <v>608</v>
      </c>
      <c r="HYT339" s="42" t="s">
        <v>608</v>
      </c>
      <c r="HYU339" s="42" t="s">
        <v>608</v>
      </c>
      <c r="HYV339" s="42" t="s">
        <v>608</v>
      </c>
      <c r="HYW339" s="42" t="s">
        <v>608</v>
      </c>
      <c r="HYX339" s="42" t="s">
        <v>608</v>
      </c>
      <c r="HYY339" s="42" t="s">
        <v>608</v>
      </c>
      <c r="HYZ339" s="42" t="s">
        <v>608</v>
      </c>
      <c r="HZA339" s="42" t="s">
        <v>608</v>
      </c>
      <c r="HZB339" s="42" t="s">
        <v>608</v>
      </c>
      <c r="HZC339" s="42" t="s">
        <v>608</v>
      </c>
      <c r="HZD339" s="42" t="s">
        <v>608</v>
      </c>
      <c r="HZE339" s="42" t="s">
        <v>608</v>
      </c>
      <c r="HZF339" s="42" t="s">
        <v>608</v>
      </c>
      <c r="HZG339" s="42" t="s">
        <v>608</v>
      </c>
      <c r="HZH339" s="42" t="s">
        <v>608</v>
      </c>
      <c r="HZI339" s="42" t="s">
        <v>608</v>
      </c>
      <c r="HZJ339" s="42" t="s">
        <v>608</v>
      </c>
      <c r="HZK339" s="42" t="s">
        <v>608</v>
      </c>
      <c r="HZL339" s="42" t="s">
        <v>608</v>
      </c>
      <c r="HZM339" s="42" t="s">
        <v>608</v>
      </c>
      <c r="HZN339" s="42" t="s">
        <v>608</v>
      </c>
      <c r="HZO339" s="42" t="s">
        <v>608</v>
      </c>
      <c r="HZP339" s="42" t="s">
        <v>608</v>
      </c>
      <c r="HZQ339" s="42" t="s">
        <v>608</v>
      </c>
      <c r="HZR339" s="42" t="s">
        <v>608</v>
      </c>
      <c r="HZS339" s="42" t="s">
        <v>608</v>
      </c>
      <c r="HZT339" s="42" t="s">
        <v>608</v>
      </c>
      <c r="HZU339" s="42" t="s">
        <v>608</v>
      </c>
      <c r="HZV339" s="42" t="s">
        <v>608</v>
      </c>
      <c r="HZW339" s="42" t="s">
        <v>608</v>
      </c>
      <c r="HZX339" s="42" t="s">
        <v>608</v>
      </c>
      <c r="HZY339" s="42" t="s">
        <v>608</v>
      </c>
      <c r="HZZ339" s="42" t="s">
        <v>608</v>
      </c>
      <c r="IAA339" s="42" t="s">
        <v>608</v>
      </c>
      <c r="IAB339" s="42" t="s">
        <v>608</v>
      </c>
      <c r="IAC339" s="42" t="s">
        <v>608</v>
      </c>
      <c r="IAD339" s="42" t="s">
        <v>608</v>
      </c>
      <c r="IAE339" s="42" t="s">
        <v>608</v>
      </c>
      <c r="IAF339" s="42" t="s">
        <v>608</v>
      </c>
      <c r="IAG339" s="42" t="s">
        <v>608</v>
      </c>
      <c r="IAH339" s="42" t="s">
        <v>608</v>
      </c>
      <c r="IAI339" s="42" t="s">
        <v>608</v>
      </c>
      <c r="IAJ339" s="42" t="s">
        <v>608</v>
      </c>
      <c r="IAK339" s="42" t="s">
        <v>608</v>
      </c>
      <c r="IAL339" s="42" t="s">
        <v>608</v>
      </c>
      <c r="IAM339" s="42" t="s">
        <v>608</v>
      </c>
      <c r="IAN339" s="42" t="s">
        <v>608</v>
      </c>
      <c r="IAO339" s="42" t="s">
        <v>608</v>
      </c>
      <c r="IAP339" s="42" t="s">
        <v>608</v>
      </c>
      <c r="IAQ339" s="42" t="s">
        <v>608</v>
      </c>
      <c r="IAR339" s="42" t="s">
        <v>608</v>
      </c>
      <c r="IAS339" s="42" t="s">
        <v>608</v>
      </c>
      <c r="IAT339" s="42" t="s">
        <v>608</v>
      </c>
      <c r="IAU339" s="42" t="s">
        <v>608</v>
      </c>
      <c r="IAV339" s="42" t="s">
        <v>608</v>
      </c>
      <c r="IAW339" s="42" t="s">
        <v>608</v>
      </c>
      <c r="IAX339" s="42" t="s">
        <v>608</v>
      </c>
      <c r="IAY339" s="42" t="s">
        <v>608</v>
      </c>
      <c r="IAZ339" s="42" t="s">
        <v>608</v>
      </c>
      <c r="IBA339" s="42" t="s">
        <v>608</v>
      </c>
      <c r="IBB339" s="42" t="s">
        <v>608</v>
      </c>
      <c r="IBC339" s="42" t="s">
        <v>608</v>
      </c>
      <c r="IBD339" s="42" t="s">
        <v>608</v>
      </c>
      <c r="IBE339" s="42" t="s">
        <v>608</v>
      </c>
      <c r="IBF339" s="42" t="s">
        <v>608</v>
      </c>
      <c r="IBG339" s="42" t="s">
        <v>608</v>
      </c>
      <c r="IBH339" s="42" t="s">
        <v>608</v>
      </c>
      <c r="IBI339" s="42" t="s">
        <v>608</v>
      </c>
      <c r="IBJ339" s="42" t="s">
        <v>608</v>
      </c>
      <c r="IBK339" s="42" t="s">
        <v>608</v>
      </c>
      <c r="IBL339" s="42" t="s">
        <v>608</v>
      </c>
      <c r="IBM339" s="42" t="s">
        <v>608</v>
      </c>
      <c r="IBN339" s="42" t="s">
        <v>608</v>
      </c>
      <c r="IBO339" s="42" t="s">
        <v>608</v>
      </c>
      <c r="IBP339" s="42" t="s">
        <v>608</v>
      </c>
      <c r="IBQ339" s="42" t="s">
        <v>608</v>
      </c>
      <c r="IBR339" s="42" t="s">
        <v>608</v>
      </c>
      <c r="IBS339" s="42" t="s">
        <v>608</v>
      </c>
      <c r="IBT339" s="42" t="s">
        <v>608</v>
      </c>
      <c r="IBU339" s="42" t="s">
        <v>608</v>
      </c>
      <c r="IBV339" s="42" t="s">
        <v>608</v>
      </c>
      <c r="IBW339" s="42" t="s">
        <v>608</v>
      </c>
      <c r="IBX339" s="42" t="s">
        <v>608</v>
      </c>
      <c r="IBY339" s="42" t="s">
        <v>608</v>
      </c>
      <c r="IBZ339" s="42" t="s">
        <v>608</v>
      </c>
      <c r="ICA339" s="42" t="s">
        <v>608</v>
      </c>
      <c r="ICB339" s="42" t="s">
        <v>608</v>
      </c>
      <c r="ICC339" s="42" t="s">
        <v>608</v>
      </c>
      <c r="ICD339" s="42" t="s">
        <v>608</v>
      </c>
      <c r="ICE339" s="42" t="s">
        <v>608</v>
      </c>
      <c r="ICF339" s="42" t="s">
        <v>608</v>
      </c>
      <c r="ICG339" s="42" t="s">
        <v>608</v>
      </c>
      <c r="ICH339" s="42" t="s">
        <v>608</v>
      </c>
      <c r="ICI339" s="42" t="s">
        <v>608</v>
      </c>
      <c r="ICJ339" s="42" t="s">
        <v>608</v>
      </c>
      <c r="ICK339" s="42" t="s">
        <v>608</v>
      </c>
      <c r="ICL339" s="42" t="s">
        <v>608</v>
      </c>
      <c r="ICM339" s="42" t="s">
        <v>608</v>
      </c>
      <c r="ICN339" s="42" t="s">
        <v>608</v>
      </c>
      <c r="ICO339" s="42" t="s">
        <v>608</v>
      </c>
      <c r="ICP339" s="42" t="s">
        <v>608</v>
      </c>
      <c r="ICQ339" s="42" t="s">
        <v>608</v>
      </c>
      <c r="ICR339" s="42" t="s">
        <v>608</v>
      </c>
      <c r="ICS339" s="42" t="s">
        <v>608</v>
      </c>
      <c r="ICT339" s="42" t="s">
        <v>608</v>
      </c>
      <c r="ICU339" s="42" t="s">
        <v>608</v>
      </c>
      <c r="ICV339" s="42" t="s">
        <v>608</v>
      </c>
      <c r="ICW339" s="42" t="s">
        <v>608</v>
      </c>
      <c r="ICX339" s="42" t="s">
        <v>608</v>
      </c>
      <c r="ICY339" s="42" t="s">
        <v>608</v>
      </c>
      <c r="ICZ339" s="42" t="s">
        <v>608</v>
      </c>
      <c r="IDA339" s="42" t="s">
        <v>608</v>
      </c>
      <c r="IDB339" s="42" t="s">
        <v>608</v>
      </c>
      <c r="IDC339" s="42" t="s">
        <v>608</v>
      </c>
      <c r="IDD339" s="42" t="s">
        <v>608</v>
      </c>
      <c r="IDE339" s="42" t="s">
        <v>608</v>
      </c>
      <c r="IDF339" s="42" t="s">
        <v>608</v>
      </c>
      <c r="IDG339" s="42" t="s">
        <v>608</v>
      </c>
      <c r="IDH339" s="42" t="s">
        <v>608</v>
      </c>
      <c r="IDI339" s="42" t="s">
        <v>608</v>
      </c>
      <c r="IDJ339" s="42" t="s">
        <v>608</v>
      </c>
      <c r="IDK339" s="42" t="s">
        <v>608</v>
      </c>
      <c r="IDL339" s="42" t="s">
        <v>608</v>
      </c>
      <c r="IDM339" s="42" t="s">
        <v>608</v>
      </c>
      <c r="IDN339" s="42" t="s">
        <v>608</v>
      </c>
      <c r="IDO339" s="42" t="s">
        <v>608</v>
      </c>
      <c r="IDP339" s="42" t="s">
        <v>608</v>
      </c>
      <c r="IDQ339" s="42" t="s">
        <v>608</v>
      </c>
      <c r="IDR339" s="42" t="s">
        <v>608</v>
      </c>
      <c r="IDS339" s="42" t="s">
        <v>608</v>
      </c>
      <c r="IDT339" s="42" t="s">
        <v>608</v>
      </c>
      <c r="IDU339" s="42" t="s">
        <v>608</v>
      </c>
      <c r="IDV339" s="42" t="s">
        <v>608</v>
      </c>
      <c r="IDW339" s="42" t="s">
        <v>608</v>
      </c>
      <c r="IDX339" s="42" t="s">
        <v>608</v>
      </c>
      <c r="IDY339" s="42" t="s">
        <v>608</v>
      </c>
      <c r="IDZ339" s="42" t="s">
        <v>608</v>
      </c>
      <c r="IEA339" s="42" t="s">
        <v>608</v>
      </c>
      <c r="IEB339" s="42" t="s">
        <v>608</v>
      </c>
      <c r="IEC339" s="42" t="s">
        <v>608</v>
      </c>
      <c r="IED339" s="42" t="s">
        <v>608</v>
      </c>
      <c r="IEE339" s="42" t="s">
        <v>608</v>
      </c>
      <c r="IEF339" s="42" t="s">
        <v>608</v>
      </c>
      <c r="IEG339" s="42" t="s">
        <v>608</v>
      </c>
      <c r="IEH339" s="42" t="s">
        <v>608</v>
      </c>
      <c r="IEI339" s="42" t="s">
        <v>608</v>
      </c>
      <c r="IEJ339" s="42" t="s">
        <v>608</v>
      </c>
      <c r="IEK339" s="42" t="s">
        <v>608</v>
      </c>
      <c r="IEL339" s="42" t="s">
        <v>608</v>
      </c>
      <c r="IEM339" s="42" t="s">
        <v>608</v>
      </c>
      <c r="IEN339" s="42" t="s">
        <v>608</v>
      </c>
      <c r="IEO339" s="42" t="s">
        <v>608</v>
      </c>
      <c r="IEP339" s="42" t="s">
        <v>608</v>
      </c>
      <c r="IEQ339" s="42" t="s">
        <v>608</v>
      </c>
      <c r="IER339" s="42" t="s">
        <v>608</v>
      </c>
      <c r="IES339" s="42" t="s">
        <v>608</v>
      </c>
      <c r="IET339" s="42" t="s">
        <v>608</v>
      </c>
      <c r="IEU339" s="42" t="s">
        <v>608</v>
      </c>
      <c r="IEV339" s="42" t="s">
        <v>608</v>
      </c>
      <c r="IEW339" s="42" t="s">
        <v>608</v>
      </c>
      <c r="IEX339" s="42" t="s">
        <v>608</v>
      </c>
      <c r="IEY339" s="42" t="s">
        <v>608</v>
      </c>
      <c r="IEZ339" s="42" t="s">
        <v>608</v>
      </c>
      <c r="IFA339" s="42" t="s">
        <v>608</v>
      </c>
      <c r="IFB339" s="42" t="s">
        <v>608</v>
      </c>
      <c r="IFC339" s="42" t="s">
        <v>608</v>
      </c>
      <c r="IFD339" s="42" t="s">
        <v>608</v>
      </c>
      <c r="IFE339" s="42" t="s">
        <v>608</v>
      </c>
      <c r="IFF339" s="42" t="s">
        <v>608</v>
      </c>
      <c r="IFG339" s="42" t="s">
        <v>608</v>
      </c>
      <c r="IFH339" s="42" t="s">
        <v>608</v>
      </c>
      <c r="IFI339" s="42" t="s">
        <v>608</v>
      </c>
      <c r="IFJ339" s="42" t="s">
        <v>608</v>
      </c>
      <c r="IFK339" s="42" t="s">
        <v>608</v>
      </c>
      <c r="IFL339" s="42" t="s">
        <v>608</v>
      </c>
      <c r="IFM339" s="42" t="s">
        <v>608</v>
      </c>
      <c r="IFN339" s="42" t="s">
        <v>608</v>
      </c>
      <c r="IFO339" s="42" t="s">
        <v>608</v>
      </c>
      <c r="IFP339" s="42" t="s">
        <v>608</v>
      </c>
      <c r="IFQ339" s="42" t="s">
        <v>608</v>
      </c>
      <c r="IFR339" s="42" t="s">
        <v>608</v>
      </c>
      <c r="IFS339" s="42" t="s">
        <v>608</v>
      </c>
      <c r="IFT339" s="42" t="s">
        <v>608</v>
      </c>
      <c r="IFU339" s="42" t="s">
        <v>608</v>
      </c>
      <c r="IFV339" s="42" t="s">
        <v>608</v>
      </c>
      <c r="IFW339" s="42" t="s">
        <v>608</v>
      </c>
      <c r="IFX339" s="42" t="s">
        <v>608</v>
      </c>
      <c r="IFY339" s="42" t="s">
        <v>608</v>
      </c>
      <c r="IFZ339" s="42" t="s">
        <v>608</v>
      </c>
      <c r="IGA339" s="42" t="s">
        <v>608</v>
      </c>
      <c r="IGB339" s="42" t="s">
        <v>608</v>
      </c>
      <c r="IGC339" s="42" t="s">
        <v>608</v>
      </c>
      <c r="IGD339" s="42" t="s">
        <v>608</v>
      </c>
      <c r="IGE339" s="42" t="s">
        <v>608</v>
      </c>
      <c r="IGF339" s="42" t="s">
        <v>608</v>
      </c>
      <c r="IGG339" s="42" t="s">
        <v>608</v>
      </c>
      <c r="IGH339" s="42" t="s">
        <v>608</v>
      </c>
      <c r="IGI339" s="42" t="s">
        <v>608</v>
      </c>
      <c r="IGJ339" s="42" t="s">
        <v>608</v>
      </c>
      <c r="IGK339" s="42" t="s">
        <v>608</v>
      </c>
      <c r="IGL339" s="42" t="s">
        <v>608</v>
      </c>
      <c r="IGM339" s="42" t="s">
        <v>608</v>
      </c>
      <c r="IGN339" s="42" t="s">
        <v>608</v>
      </c>
      <c r="IGO339" s="42" t="s">
        <v>608</v>
      </c>
      <c r="IGP339" s="42" t="s">
        <v>608</v>
      </c>
      <c r="IGQ339" s="42" t="s">
        <v>608</v>
      </c>
      <c r="IGR339" s="42" t="s">
        <v>608</v>
      </c>
      <c r="IGS339" s="42" t="s">
        <v>608</v>
      </c>
      <c r="IGT339" s="42" t="s">
        <v>608</v>
      </c>
      <c r="IGU339" s="42" t="s">
        <v>608</v>
      </c>
      <c r="IGV339" s="42" t="s">
        <v>608</v>
      </c>
      <c r="IGW339" s="42" t="s">
        <v>608</v>
      </c>
      <c r="IGX339" s="42" t="s">
        <v>608</v>
      </c>
      <c r="IGY339" s="42" t="s">
        <v>608</v>
      </c>
      <c r="IGZ339" s="42" t="s">
        <v>608</v>
      </c>
      <c r="IHA339" s="42" t="s">
        <v>608</v>
      </c>
      <c r="IHB339" s="42" t="s">
        <v>608</v>
      </c>
      <c r="IHC339" s="42" t="s">
        <v>608</v>
      </c>
      <c r="IHD339" s="42" t="s">
        <v>608</v>
      </c>
      <c r="IHE339" s="42" t="s">
        <v>608</v>
      </c>
      <c r="IHF339" s="42" t="s">
        <v>608</v>
      </c>
      <c r="IHG339" s="42" t="s">
        <v>608</v>
      </c>
      <c r="IHH339" s="42" t="s">
        <v>608</v>
      </c>
      <c r="IHI339" s="42" t="s">
        <v>608</v>
      </c>
      <c r="IHJ339" s="42" t="s">
        <v>608</v>
      </c>
      <c r="IHK339" s="42" t="s">
        <v>608</v>
      </c>
      <c r="IHL339" s="42" t="s">
        <v>608</v>
      </c>
      <c r="IHM339" s="42" t="s">
        <v>608</v>
      </c>
      <c r="IHN339" s="42" t="s">
        <v>608</v>
      </c>
      <c r="IHO339" s="42" t="s">
        <v>608</v>
      </c>
      <c r="IHP339" s="42" t="s">
        <v>608</v>
      </c>
      <c r="IHQ339" s="42" t="s">
        <v>608</v>
      </c>
      <c r="IHR339" s="42" t="s">
        <v>608</v>
      </c>
      <c r="IHS339" s="42" t="s">
        <v>608</v>
      </c>
      <c r="IHT339" s="42" t="s">
        <v>608</v>
      </c>
      <c r="IHU339" s="42" t="s">
        <v>608</v>
      </c>
      <c r="IHV339" s="42" t="s">
        <v>608</v>
      </c>
      <c r="IHW339" s="42" t="s">
        <v>608</v>
      </c>
      <c r="IHX339" s="42" t="s">
        <v>608</v>
      </c>
      <c r="IHY339" s="42" t="s">
        <v>608</v>
      </c>
      <c r="IHZ339" s="42" t="s">
        <v>608</v>
      </c>
      <c r="IIA339" s="42" t="s">
        <v>608</v>
      </c>
      <c r="IIB339" s="42" t="s">
        <v>608</v>
      </c>
      <c r="IIC339" s="42" t="s">
        <v>608</v>
      </c>
      <c r="IID339" s="42" t="s">
        <v>608</v>
      </c>
      <c r="IIE339" s="42" t="s">
        <v>608</v>
      </c>
      <c r="IIF339" s="42" t="s">
        <v>608</v>
      </c>
      <c r="IIG339" s="42" t="s">
        <v>608</v>
      </c>
      <c r="IIH339" s="42" t="s">
        <v>608</v>
      </c>
      <c r="III339" s="42" t="s">
        <v>608</v>
      </c>
      <c r="IIJ339" s="42" t="s">
        <v>608</v>
      </c>
      <c r="IIK339" s="42" t="s">
        <v>608</v>
      </c>
      <c r="IIL339" s="42" t="s">
        <v>608</v>
      </c>
      <c r="IIM339" s="42" t="s">
        <v>608</v>
      </c>
      <c r="IIN339" s="42" t="s">
        <v>608</v>
      </c>
      <c r="IIO339" s="42" t="s">
        <v>608</v>
      </c>
      <c r="IIP339" s="42" t="s">
        <v>608</v>
      </c>
      <c r="IIQ339" s="42" t="s">
        <v>608</v>
      </c>
      <c r="IIR339" s="42" t="s">
        <v>608</v>
      </c>
      <c r="IIS339" s="42" t="s">
        <v>608</v>
      </c>
      <c r="IIT339" s="42" t="s">
        <v>608</v>
      </c>
      <c r="IIU339" s="42" t="s">
        <v>608</v>
      </c>
      <c r="IIV339" s="42" t="s">
        <v>608</v>
      </c>
      <c r="IIW339" s="42" t="s">
        <v>608</v>
      </c>
      <c r="IIX339" s="42" t="s">
        <v>608</v>
      </c>
      <c r="IIY339" s="42" t="s">
        <v>608</v>
      </c>
      <c r="IIZ339" s="42" t="s">
        <v>608</v>
      </c>
      <c r="IJA339" s="42" t="s">
        <v>608</v>
      </c>
      <c r="IJB339" s="42" t="s">
        <v>608</v>
      </c>
      <c r="IJC339" s="42" t="s">
        <v>608</v>
      </c>
      <c r="IJD339" s="42" t="s">
        <v>608</v>
      </c>
      <c r="IJE339" s="42" t="s">
        <v>608</v>
      </c>
      <c r="IJF339" s="42" t="s">
        <v>608</v>
      </c>
      <c r="IJG339" s="42" t="s">
        <v>608</v>
      </c>
      <c r="IJH339" s="42" t="s">
        <v>608</v>
      </c>
      <c r="IJI339" s="42" t="s">
        <v>608</v>
      </c>
      <c r="IJJ339" s="42" t="s">
        <v>608</v>
      </c>
      <c r="IJK339" s="42" t="s">
        <v>608</v>
      </c>
      <c r="IJL339" s="42" t="s">
        <v>608</v>
      </c>
      <c r="IJM339" s="42" t="s">
        <v>608</v>
      </c>
      <c r="IJN339" s="42" t="s">
        <v>608</v>
      </c>
      <c r="IJO339" s="42" t="s">
        <v>608</v>
      </c>
      <c r="IJP339" s="42" t="s">
        <v>608</v>
      </c>
      <c r="IJQ339" s="42" t="s">
        <v>608</v>
      </c>
      <c r="IJR339" s="42" t="s">
        <v>608</v>
      </c>
      <c r="IJS339" s="42" t="s">
        <v>608</v>
      </c>
      <c r="IJT339" s="42" t="s">
        <v>608</v>
      </c>
      <c r="IJU339" s="42" t="s">
        <v>608</v>
      </c>
      <c r="IJV339" s="42" t="s">
        <v>608</v>
      </c>
      <c r="IJW339" s="42" t="s">
        <v>608</v>
      </c>
      <c r="IJX339" s="42" t="s">
        <v>608</v>
      </c>
      <c r="IJY339" s="42" t="s">
        <v>608</v>
      </c>
      <c r="IJZ339" s="42" t="s">
        <v>608</v>
      </c>
      <c r="IKA339" s="42" t="s">
        <v>608</v>
      </c>
      <c r="IKB339" s="42" t="s">
        <v>608</v>
      </c>
      <c r="IKC339" s="42" t="s">
        <v>608</v>
      </c>
      <c r="IKD339" s="42" t="s">
        <v>608</v>
      </c>
      <c r="IKE339" s="42" t="s">
        <v>608</v>
      </c>
      <c r="IKF339" s="42" t="s">
        <v>608</v>
      </c>
      <c r="IKG339" s="42" t="s">
        <v>608</v>
      </c>
      <c r="IKH339" s="42" t="s">
        <v>608</v>
      </c>
      <c r="IKI339" s="42" t="s">
        <v>608</v>
      </c>
      <c r="IKJ339" s="42" t="s">
        <v>608</v>
      </c>
      <c r="IKK339" s="42" t="s">
        <v>608</v>
      </c>
      <c r="IKL339" s="42" t="s">
        <v>608</v>
      </c>
      <c r="IKM339" s="42" t="s">
        <v>608</v>
      </c>
      <c r="IKN339" s="42" t="s">
        <v>608</v>
      </c>
      <c r="IKO339" s="42" t="s">
        <v>608</v>
      </c>
      <c r="IKP339" s="42" t="s">
        <v>608</v>
      </c>
      <c r="IKQ339" s="42" t="s">
        <v>608</v>
      </c>
      <c r="IKR339" s="42" t="s">
        <v>608</v>
      </c>
      <c r="IKS339" s="42" t="s">
        <v>608</v>
      </c>
      <c r="IKT339" s="42" t="s">
        <v>608</v>
      </c>
      <c r="IKU339" s="42" t="s">
        <v>608</v>
      </c>
      <c r="IKV339" s="42" t="s">
        <v>608</v>
      </c>
      <c r="IKW339" s="42" t="s">
        <v>608</v>
      </c>
      <c r="IKX339" s="42" t="s">
        <v>608</v>
      </c>
      <c r="IKY339" s="42" t="s">
        <v>608</v>
      </c>
      <c r="IKZ339" s="42" t="s">
        <v>608</v>
      </c>
      <c r="ILA339" s="42" t="s">
        <v>608</v>
      </c>
      <c r="ILB339" s="42" t="s">
        <v>608</v>
      </c>
      <c r="ILC339" s="42" t="s">
        <v>608</v>
      </c>
      <c r="ILD339" s="42" t="s">
        <v>608</v>
      </c>
      <c r="ILE339" s="42" t="s">
        <v>608</v>
      </c>
      <c r="ILF339" s="42" t="s">
        <v>608</v>
      </c>
      <c r="ILG339" s="42" t="s">
        <v>608</v>
      </c>
      <c r="ILH339" s="42" t="s">
        <v>608</v>
      </c>
      <c r="ILI339" s="42" t="s">
        <v>608</v>
      </c>
      <c r="ILJ339" s="42" t="s">
        <v>608</v>
      </c>
      <c r="ILK339" s="42" t="s">
        <v>608</v>
      </c>
      <c r="ILL339" s="42" t="s">
        <v>608</v>
      </c>
      <c r="ILM339" s="42" t="s">
        <v>608</v>
      </c>
      <c r="ILN339" s="42" t="s">
        <v>608</v>
      </c>
      <c r="ILO339" s="42" t="s">
        <v>608</v>
      </c>
      <c r="ILP339" s="42" t="s">
        <v>608</v>
      </c>
      <c r="ILQ339" s="42" t="s">
        <v>608</v>
      </c>
      <c r="ILR339" s="42" t="s">
        <v>608</v>
      </c>
      <c r="ILS339" s="42" t="s">
        <v>608</v>
      </c>
      <c r="ILT339" s="42" t="s">
        <v>608</v>
      </c>
      <c r="ILU339" s="42" t="s">
        <v>608</v>
      </c>
      <c r="ILV339" s="42" t="s">
        <v>608</v>
      </c>
      <c r="ILW339" s="42" t="s">
        <v>608</v>
      </c>
      <c r="ILX339" s="42" t="s">
        <v>608</v>
      </c>
      <c r="ILY339" s="42" t="s">
        <v>608</v>
      </c>
      <c r="ILZ339" s="42" t="s">
        <v>608</v>
      </c>
      <c r="IMA339" s="42" t="s">
        <v>608</v>
      </c>
      <c r="IMB339" s="42" t="s">
        <v>608</v>
      </c>
      <c r="IMC339" s="42" t="s">
        <v>608</v>
      </c>
      <c r="IMD339" s="42" t="s">
        <v>608</v>
      </c>
      <c r="IME339" s="42" t="s">
        <v>608</v>
      </c>
      <c r="IMF339" s="42" t="s">
        <v>608</v>
      </c>
      <c r="IMG339" s="42" t="s">
        <v>608</v>
      </c>
      <c r="IMH339" s="42" t="s">
        <v>608</v>
      </c>
      <c r="IMI339" s="42" t="s">
        <v>608</v>
      </c>
      <c r="IMJ339" s="42" t="s">
        <v>608</v>
      </c>
      <c r="IMK339" s="42" t="s">
        <v>608</v>
      </c>
      <c r="IML339" s="42" t="s">
        <v>608</v>
      </c>
      <c r="IMM339" s="42" t="s">
        <v>608</v>
      </c>
      <c r="IMN339" s="42" t="s">
        <v>608</v>
      </c>
      <c r="IMO339" s="42" t="s">
        <v>608</v>
      </c>
      <c r="IMP339" s="42" t="s">
        <v>608</v>
      </c>
      <c r="IMQ339" s="42" t="s">
        <v>608</v>
      </c>
      <c r="IMR339" s="42" t="s">
        <v>608</v>
      </c>
      <c r="IMS339" s="42" t="s">
        <v>608</v>
      </c>
      <c r="IMT339" s="42" t="s">
        <v>608</v>
      </c>
      <c r="IMU339" s="42" t="s">
        <v>608</v>
      </c>
      <c r="IMV339" s="42" t="s">
        <v>608</v>
      </c>
      <c r="IMW339" s="42" t="s">
        <v>608</v>
      </c>
      <c r="IMX339" s="42" t="s">
        <v>608</v>
      </c>
      <c r="IMY339" s="42" t="s">
        <v>608</v>
      </c>
      <c r="IMZ339" s="42" t="s">
        <v>608</v>
      </c>
      <c r="INA339" s="42" t="s">
        <v>608</v>
      </c>
      <c r="INB339" s="42" t="s">
        <v>608</v>
      </c>
      <c r="INC339" s="42" t="s">
        <v>608</v>
      </c>
      <c r="IND339" s="42" t="s">
        <v>608</v>
      </c>
      <c r="INE339" s="42" t="s">
        <v>608</v>
      </c>
      <c r="INF339" s="42" t="s">
        <v>608</v>
      </c>
      <c r="ING339" s="42" t="s">
        <v>608</v>
      </c>
      <c r="INH339" s="42" t="s">
        <v>608</v>
      </c>
      <c r="INI339" s="42" t="s">
        <v>608</v>
      </c>
      <c r="INJ339" s="42" t="s">
        <v>608</v>
      </c>
      <c r="INK339" s="42" t="s">
        <v>608</v>
      </c>
      <c r="INL339" s="42" t="s">
        <v>608</v>
      </c>
      <c r="INM339" s="42" t="s">
        <v>608</v>
      </c>
      <c r="INN339" s="42" t="s">
        <v>608</v>
      </c>
      <c r="INO339" s="42" t="s">
        <v>608</v>
      </c>
      <c r="INP339" s="42" t="s">
        <v>608</v>
      </c>
      <c r="INQ339" s="42" t="s">
        <v>608</v>
      </c>
      <c r="INR339" s="42" t="s">
        <v>608</v>
      </c>
      <c r="INS339" s="42" t="s">
        <v>608</v>
      </c>
      <c r="INT339" s="42" t="s">
        <v>608</v>
      </c>
      <c r="INU339" s="42" t="s">
        <v>608</v>
      </c>
      <c r="INV339" s="42" t="s">
        <v>608</v>
      </c>
      <c r="INW339" s="42" t="s">
        <v>608</v>
      </c>
      <c r="INX339" s="42" t="s">
        <v>608</v>
      </c>
      <c r="INY339" s="42" t="s">
        <v>608</v>
      </c>
      <c r="INZ339" s="42" t="s">
        <v>608</v>
      </c>
      <c r="IOA339" s="42" t="s">
        <v>608</v>
      </c>
      <c r="IOB339" s="42" t="s">
        <v>608</v>
      </c>
      <c r="IOC339" s="42" t="s">
        <v>608</v>
      </c>
      <c r="IOD339" s="42" t="s">
        <v>608</v>
      </c>
      <c r="IOE339" s="42" t="s">
        <v>608</v>
      </c>
      <c r="IOF339" s="42" t="s">
        <v>608</v>
      </c>
      <c r="IOG339" s="42" t="s">
        <v>608</v>
      </c>
      <c r="IOH339" s="42" t="s">
        <v>608</v>
      </c>
      <c r="IOI339" s="42" t="s">
        <v>608</v>
      </c>
      <c r="IOJ339" s="42" t="s">
        <v>608</v>
      </c>
      <c r="IOK339" s="42" t="s">
        <v>608</v>
      </c>
      <c r="IOL339" s="42" t="s">
        <v>608</v>
      </c>
      <c r="IOM339" s="42" t="s">
        <v>608</v>
      </c>
      <c r="ION339" s="42" t="s">
        <v>608</v>
      </c>
      <c r="IOO339" s="42" t="s">
        <v>608</v>
      </c>
      <c r="IOP339" s="42" t="s">
        <v>608</v>
      </c>
      <c r="IOQ339" s="42" t="s">
        <v>608</v>
      </c>
      <c r="IOR339" s="42" t="s">
        <v>608</v>
      </c>
      <c r="IOS339" s="42" t="s">
        <v>608</v>
      </c>
      <c r="IOT339" s="42" t="s">
        <v>608</v>
      </c>
      <c r="IOU339" s="42" t="s">
        <v>608</v>
      </c>
      <c r="IOV339" s="42" t="s">
        <v>608</v>
      </c>
      <c r="IOW339" s="42" t="s">
        <v>608</v>
      </c>
      <c r="IOX339" s="42" t="s">
        <v>608</v>
      </c>
      <c r="IOY339" s="42" t="s">
        <v>608</v>
      </c>
      <c r="IOZ339" s="42" t="s">
        <v>608</v>
      </c>
      <c r="IPA339" s="42" t="s">
        <v>608</v>
      </c>
      <c r="IPB339" s="42" t="s">
        <v>608</v>
      </c>
      <c r="IPC339" s="42" t="s">
        <v>608</v>
      </c>
      <c r="IPD339" s="42" t="s">
        <v>608</v>
      </c>
      <c r="IPE339" s="42" t="s">
        <v>608</v>
      </c>
      <c r="IPF339" s="42" t="s">
        <v>608</v>
      </c>
      <c r="IPG339" s="42" t="s">
        <v>608</v>
      </c>
      <c r="IPH339" s="42" t="s">
        <v>608</v>
      </c>
      <c r="IPI339" s="42" t="s">
        <v>608</v>
      </c>
      <c r="IPJ339" s="42" t="s">
        <v>608</v>
      </c>
      <c r="IPK339" s="42" t="s">
        <v>608</v>
      </c>
      <c r="IPL339" s="42" t="s">
        <v>608</v>
      </c>
      <c r="IPM339" s="42" t="s">
        <v>608</v>
      </c>
      <c r="IPN339" s="42" t="s">
        <v>608</v>
      </c>
      <c r="IPO339" s="42" t="s">
        <v>608</v>
      </c>
      <c r="IPP339" s="42" t="s">
        <v>608</v>
      </c>
      <c r="IPQ339" s="42" t="s">
        <v>608</v>
      </c>
      <c r="IPR339" s="42" t="s">
        <v>608</v>
      </c>
      <c r="IPS339" s="42" t="s">
        <v>608</v>
      </c>
      <c r="IPT339" s="42" t="s">
        <v>608</v>
      </c>
      <c r="IPU339" s="42" t="s">
        <v>608</v>
      </c>
      <c r="IPV339" s="42" t="s">
        <v>608</v>
      </c>
      <c r="IPW339" s="42" t="s">
        <v>608</v>
      </c>
      <c r="IPX339" s="42" t="s">
        <v>608</v>
      </c>
      <c r="IPY339" s="42" t="s">
        <v>608</v>
      </c>
      <c r="IPZ339" s="42" t="s">
        <v>608</v>
      </c>
      <c r="IQA339" s="42" t="s">
        <v>608</v>
      </c>
      <c r="IQB339" s="42" t="s">
        <v>608</v>
      </c>
      <c r="IQC339" s="42" t="s">
        <v>608</v>
      </c>
      <c r="IQD339" s="42" t="s">
        <v>608</v>
      </c>
      <c r="IQE339" s="42" t="s">
        <v>608</v>
      </c>
      <c r="IQF339" s="42" t="s">
        <v>608</v>
      </c>
      <c r="IQG339" s="42" t="s">
        <v>608</v>
      </c>
      <c r="IQH339" s="42" t="s">
        <v>608</v>
      </c>
      <c r="IQI339" s="42" t="s">
        <v>608</v>
      </c>
      <c r="IQJ339" s="42" t="s">
        <v>608</v>
      </c>
      <c r="IQK339" s="42" t="s">
        <v>608</v>
      </c>
      <c r="IQL339" s="42" t="s">
        <v>608</v>
      </c>
      <c r="IQM339" s="42" t="s">
        <v>608</v>
      </c>
      <c r="IQN339" s="42" t="s">
        <v>608</v>
      </c>
      <c r="IQO339" s="42" t="s">
        <v>608</v>
      </c>
      <c r="IQP339" s="42" t="s">
        <v>608</v>
      </c>
      <c r="IQQ339" s="42" t="s">
        <v>608</v>
      </c>
      <c r="IQR339" s="42" t="s">
        <v>608</v>
      </c>
      <c r="IQS339" s="42" t="s">
        <v>608</v>
      </c>
      <c r="IQT339" s="42" t="s">
        <v>608</v>
      </c>
      <c r="IQU339" s="42" t="s">
        <v>608</v>
      </c>
      <c r="IQV339" s="42" t="s">
        <v>608</v>
      </c>
      <c r="IQW339" s="42" t="s">
        <v>608</v>
      </c>
      <c r="IQX339" s="42" t="s">
        <v>608</v>
      </c>
      <c r="IQY339" s="42" t="s">
        <v>608</v>
      </c>
      <c r="IQZ339" s="42" t="s">
        <v>608</v>
      </c>
      <c r="IRA339" s="42" t="s">
        <v>608</v>
      </c>
      <c r="IRB339" s="42" t="s">
        <v>608</v>
      </c>
      <c r="IRC339" s="42" t="s">
        <v>608</v>
      </c>
      <c r="IRD339" s="42" t="s">
        <v>608</v>
      </c>
      <c r="IRE339" s="42" t="s">
        <v>608</v>
      </c>
      <c r="IRF339" s="42" t="s">
        <v>608</v>
      </c>
      <c r="IRG339" s="42" t="s">
        <v>608</v>
      </c>
      <c r="IRH339" s="42" t="s">
        <v>608</v>
      </c>
      <c r="IRI339" s="42" t="s">
        <v>608</v>
      </c>
      <c r="IRJ339" s="42" t="s">
        <v>608</v>
      </c>
      <c r="IRK339" s="42" t="s">
        <v>608</v>
      </c>
      <c r="IRL339" s="42" t="s">
        <v>608</v>
      </c>
      <c r="IRM339" s="42" t="s">
        <v>608</v>
      </c>
      <c r="IRN339" s="42" t="s">
        <v>608</v>
      </c>
      <c r="IRO339" s="42" t="s">
        <v>608</v>
      </c>
      <c r="IRP339" s="42" t="s">
        <v>608</v>
      </c>
      <c r="IRQ339" s="42" t="s">
        <v>608</v>
      </c>
      <c r="IRR339" s="42" t="s">
        <v>608</v>
      </c>
      <c r="IRS339" s="42" t="s">
        <v>608</v>
      </c>
      <c r="IRT339" s="42" t="s">
        <v>608</v>
      </c>
      <c r="IRU339" s="42" t="s">
        <v>608</v>
      </c>
      <c r="IRV339" s="42" t="s">
        <v>608</v>
      </c>
      <c r="IRW339" s="42" t="s">
        <v>608</v>
      </c>
      <c r="IRX339" s="42" t="s">
        <v>608</v>
      </c>
      <c r="IRY339" s="42" t="s">
        <v>608</v>
      </c>
      <c r="IRZ339" s="42" t="s">
        <v>608</v>
      </c>
      <c r="ISA339" s="42" t="s">
        <v>608</v>
      </c>
      <c r="ISB339" s="42" t="s">
        <v>608</v>
      </c>
      <c r="ISC339" s="42" t="s">
        <v>608</v>
      </c>
      <c r="ISD339" s="42" t="s">
        <v>608</v>
      </c>
      <c r="ISE339" s="42" t="s">
        <v>608</v>
      </c>
      <c r="ISF339" s="42" t="s">
        <v>608</v>
      </c>
      <c r="ISG339" s="42" t="s">
        <v>608</v>
      </c>
      <c r="ISH339" s="42" t="s">
        <v>608</v>
      </c>
      <c r="ISI339" s="42" t="s">
        <v>608</v>
      </c>
      <c r="ISJ339" s="42" t="s">
        <v>608</v>
      </c>
      <c r="ISK339" s="42" t="s">
        <v>608</v>
      </c>
      <c r="ISL339" s="42" t="s">
        <v>608</v>
      </c>
      <c r="ISM339" s="42" t="s">
        <v>608</v>
      </c>
      <c r="ISN339" s="42" t="s">
        <v>608</v>
      </c>
      <c r="ISO339" s="42" t="s">
        <v>608</v>
      </c>
      <c r="ISP339" s="42" t="s">
        <v>608</v>
      </c>
      <c r="ISQ339" s="42" t="s">
        <v>608</v>
      </c>
      <c r="ISR339" s="42" t="s">
        <v>608</v>
      </c>
      <c r="ISS339" s="42" t="s">
        <v>608</v>
      </c>
      <c r="IST339" s="42" t="s">
        <v>608</v>
      </c>
      <c r="ISU339" s="42" t="s">
        <v>608</v>
      </c>
      <c r="ISV339" s="42" t="s">
        <v>608</v>
      </c>
      <c r="ISW339" s="42" t="s">
        <v>608</v>
      </c>
      <c r="ISX339" s="42" t="s">
        <v>608</v>
      </c>
      <c r="ISY339" s="42" t="s">
        <v>608</v>
      </c>
      <c r="ISZ339" s="42" t="s">
        <v>608</v>
      </c>
      <c r="ITA339" s="42" t="s">
        <v>608</v>
      </c>
      <c r="ITB339" s="42" t="s">
        <v>608</v>
      </c>
      <c r="ITC339" s="42" t="s">
        <v>608</v>
      </c>
      <c r="ITD339" s="42" t="s">
        <v>608</v>
      </c>
      <c r="ITE339" s="42" t="s">
        <v>608</v>
      </c>
      <c r="ITF339" s="42" t="s">
        <v>608</v>
      </c>
      <c r="ITG339" s="42" t="s">
        <v>608</v>
      </c>
      <c r="ITH339" s="42" t="s">
        <v>608</v>
      </c>
      <c r="ITI339" s="42" t="s">
        <v>608</v>
      </c>
      <c r="ITJ339" s="42" t="s">
        <v>608</v>
      </c>
      <c r="ITK339" s="42" t="s">
        <v>608</v>
      </c>
      <c r="ITL339" s="42" t="s">
        <v>608</v>
      </c>
      <c r="ITM339" s="42" t="s">
        <v>608</v>
      </c>
      <c r="ITN339" s="42" t="s">
        <v>608</v>
      </c>
      <c r="ITO339" s="42" t="s">
        <v>608</v>
      </c>
      <c r="ITP339" s="42" t="s">
        <v>608</v>
      </c>
      <c r="ITQ339" s="42" t="s">
        <v>608</v>
      </c>
      <c r="ITR339" s="42" t="s">
        <v>608</v>
      </c>
      <c r="ITS339" s="42" t="s">
        <v>608</v>
      </c>
      <c r="ITT339" s="42" t="s">
        <v>608</v>
      </c>
      <c r="ITU339" s="42" t="s">
        <v>608</v>
      </c>
      <c r="ITV339" s="42" t="s">
        <v>608</v>
      </c>
      <c r="ITW339" s="42" t="s">
        <v>608</v>
      </c>
      <c r="ITX339" s="42" t="s">
        <v>608</v>
      </c>
      <c r="ITY339" s="42" t="s">
        <v>608</v>
      </c>
      <c r="ITZ339" s="42" t="s">
        <v>608</v>
      </c>
      <c r="IUA339" s="42" t="s">
        <v>608</v>
      </c>
      <c r="IUB339" s="42" t="s">
        <v>608</v>
      </c>
      <c r="IUC339" s="42" t="s">
        <v>608</v>
      </c>
      <c r="IUD339" s="42" t="s">
        <v>608</v>
      </c>
      <c r="IUE339" s="42" t="s">
        <v>608</v>
      </c>
      <c r="IUF339" s="42" t="s">
        <v>608</v>
      </c>
      <c r="IUG339" s="42" t="s">
        <v>608</v>
      </c>
      <c r="IUH339" s="42" t="s">
        <v>608</v>
      </c>
      <c r="IUI339" s="42" t="s">
        <v>608</v>
      </c>
      <c r="IUJ339" s="42" t="s">
        <v>608</v>
      </c>
      <c r="IUK339" s="42" t="s">
        <v>608</v>
      </c>
      <c r="IUL339" s="42" t="s">
        <v>608</v>
      </c>
      <c r="IUM339" s="42" t="s">
        <v>608</v>
      </c>
      <c r="IUN339" s="42" t="s">
        <v>608</v>
      </c>
      <c r="IUO339" s="42" t="s">
        <v>608</v>
      </c>
      <c r="IUP339" s="42" t="s">
        <v>608</v>
      </c>
      <c r="IUQ339" s="42" t="s">
        <v>608</v>
      </c>
      <c r="IUR339" s="42" t="s">
        <v>608</v>
      </c>
      <c r="IUS339" s="42" t="s">
        <v>608</v>
      </c>
      <c r="IUT339" s="42" t="s">
        <v>608</v>
      </c>
      <c r="IUU339" s="42" t="s">
        <v>608</v>
      </c>
      <c r="IUV339" s="42" t="s">
        <v>608</v>
      </c>
      <c r="IUW339" s="42" t="s">
        <v>608</v>
      </c>
      <c r="IUX339" s="42" t="s">
        <v>608</v>
      </c>
      <c r="IUY339" s="42" t="s">
        <v>608</v>
      </c>
      <c r="IUZ339" s="42" t="s">
        <v>608</v>
      </c>
      <c r="IVA339" s="42" t="s">
        <v>608</v>
      </c>
      <c r="IVB339" s="42" t="s">
        <v>608</v>
      </c>
      <c r="IVC339" s="42" t="s">
        <v>608</v>
      </c>
      <c r="IVD339" s="42" t="s">
        <v>608</v>
      </c>
      <c r="IVE339" s="42" t="s">
        <v>608</v>
      </c>
      <c r="IVF339" s="42" t="s">
        <v>608</v>
      </c>
      <c r="IVG339" s="42" t="s">
        <v>608</v>
      </c>
      <c r="IVH339" s="42" t="s">
        <v>608</v>
      </c>
      <c r="IVI339" s="42" t="s">
        <v>608</v>
      </c>
      <c r="IVJ339" s="42" t="s">
        <v>608</v>
      </c>
      <c r="IVK339" s="42" t="s">
        <v>608</v>
      </c>
      <c r="IVL339" s="42" t="s">
        <v>608</v>
      </c>
      <c r="IVM339" s="42" t="s">
        <v>608</v>
      </c>
      <c r="IVN339" s="42" t="s">
        <v>608</v>
      </c>
      <c r="IVO339" s="42" t="s">
        <v>608</v>
      </c>
      <c r="IVP339" s="42" t="s">
        <v>608</v>
      </c>
      <c r="IVQ339" s="42" t="s">
        <v>608</v>
      </c>
      <c r="IVR339" s="42" t="s">
        <v>608</v>
      </c>
      <c r="IVS339" s="42" t="s">
        <v>608</v>
      </c>
      <c r="IVT339" s="42" t="s">
        <v>608</v>
      </c>
      <c r="IVU339" s="42" t="s">
        <v>608</v>
      </c>
      <c r="IVV339" s="42" t="s">
        <v>608</v>
      </c>
      <c r="IVW339" s="42" t="s">
        <v>608</v>
      </c>
      <c r="IVX339" s="42" t="s">
        <v>608</v>
      </c>
      <c r="IVY339" s="42" t="s">
        <v>608</v>
      </c>
      <c r="IVZ339" s="42" t="s">
        <v>608</v>
      </c>
      <c r="IWA339" s="42" t="s">
        <v>608</v>
      </c>
      <c r="IWB339" s="42" t="s">
        <v>608</v>
      </c>
      <c r="IWC339" s="42" t="s">
        <v>608</v>
      </c>
      <c r="IWD339" s="42" t="s">
        <v>608</v>
      </c>
      <c r="IWE339" s="42" t="s">
        <v>608</v>
      </c>
      <c r="IWF339" s="42" t="s">
        <v>608</v>
      </c>
      <c r="IWG339" s="42" t="s">
        <v>608</v>
      </c>
      <c r="IWH339" s="42" t="s">
        <v>608</v>
      </c>
      <c r="IWI339" s="42" t="s">
        <v>608</v>
      </c>
      <c r="IWJ339" s="42" t="s">
        <v>608</v>
      </c>
      <c r="IWK339" s="42" t="s">
        <v>608</v>
      </c>
      <c r="IWL339" s="42" t="s">
        <v>608</v>
      </c>
      <c r="IWM339" s="42" t="s">
        <v>608</v>
      </c>
      <c r="IWN339" s="42" t="s">
        <v>608</v>
      </c>
      <c r="IWO339" s="42" t="s">
        <v>608</v>
      </c>
      <c r="IWP339" s="42" t="s">
        <v>608</v>
      </c>
      <c r="IWQ339" s="42" t="s">
        <v>608</v>
      </c>
      <c r="IWR339" s="42" t="s">
        <v>608</v>
      </c>
      <c r="IWS339" s="42" t="s">
        <v>608</v>
      </c>
      <c r="IWT339" s="42" t="s">
        <v>608</v>
      </c>
      <c r="IWU339" s="42" t="s">
        <v>608</v>
      </c>
      <c r="IWV339" s="42" t="s">
        <v>608</v>
      </c>
      <c r="IWW339" s="42" t="s">
        <v>608</v>
      </c>
      <c r="IWX339" s="42" t="s">
        <v>608</v>
      </c>
      <c r="IWY339" s="42" t="s">
        <v>608</v>
      </c>
      <c r="IWZ339" s="42" t="s">
        <v>608</v>
      </c>
      <c r="IXA339" s="42" t="s">
        <v>608</v>
      </c>
      <c r="IXB339" s="42" t="s">
        <v>608</v>
      </c>
      <c r="IXC339" s="42" t="s">
        <v>608</v>
      </c>
      <c r="IXD339" s="42" t="s">
        <v>608</v>
      </c>
      <c r="IXE339" s="42" t="s">
        <v>608</v>
      </c>
      <c r="IXF339" s="42" t="s">
        <v>608</v>
      </c>
      <c r="IXG339" s="42" t="s">
        <v>608</v>
      </c>
      <c r="IXH339" s="42" t="s">
        <v>608</v>
      </c>
      <c r="IXI339" s="42" t="s">
        <v>608</v>
      </c>
      <c r="IXJ339" s="42" t="s">
        <v>608</v>
      </c>
      <c r="IXK339" s="42" t="s">
        <v>608</v>
      </c>
      <c r="IXL339" s="42" t="s">
        <v>608</v>
      </c>
      <c r="IXM339" s="42" t="s">
        <v>608</v>
      </c>
      <c r="IXN339" s="42" t="s">
        <v>608</v>
      </c>
      <c r="IXO339" s="42" t="s">
        <v>608</v>
      </c>
      <c r="IXP339" s="42" t="s">
        <v>608</v>
      </c>
      <c r="IXQ339" s="42" t="s">
        <v>608</v>
      </c>
      <c r="IXR339" s="42" t="s">
        <v>608</v>
      </c>
      <c r="IXS339" s="42" t="s">
        <v>608</v>
      </c>
      <c r="IXT339" s="42" t="s">
        <v>608</v>
      </c>
      <c r="IXU339" s="42" t="s">
        <v>608</v>
      </c>
      <c r="IXV339" s="42" t="s">
        <v>608</v>
      </c>
      <c r="IXW339" s="42" t="s">
        <v>608</v>
      </c>
      <c r="IXX339" s="42" t="s">
        <v>608</v>
      </c>
      <c r="IXY339" s="42" t="s">
        <v>608</v>
      </c>
      <c r="IXZ339" s="42" t="s">
        <v>608</v>
      </c>
      <c r="IYA339" s="42" t="s">
        <v>608</v>
      </c>
      <c r="IYB339" s="42" t="s">
        <v>608</v>
      </c>
      <c r="IYC339" s="42" t="s">
        <v>608</v>
      </c>
      <c r="IYD339" s="42" t="s">
        <v>608</v>
      </c>
      <c r="IYE339" s="42" t="s">
        <v>608</v>
      </c>
      <c r="IYF339" s="42" t="s">
        <v>608</v>
      </c>
      <c r="IYG339" s="42" t="s">
        <v>608</v>
      </c>
      <c r="IYH339" s="42" t="s">
        <v>608</v>
      </c>
      <c r="IYI339" s="42" t="s">
        <v>608</v>
      </c>
      <c r="IYJ339" s="42" t="s">
        <v>608</v>
      </c>
      <c r="IYK339" s="42" t="s">
        <v>608</v>
      </c>
      <c r="IYL339" s="42" t="s">
        <v>608</v>
      </c>
      <c r="IYM339" s="42" t="s">
        <v>608</v>
      </c>
      <c r="IYN339" s="42" t="s">
        <v>608</v>
      </c>
      <c r="IYO339" s="42" t="s">
        <v>608</v>
      </c>
      <c r="IYP339" s="42" t="s">
        <v>608</v>
      </c>
      <c r="IYQ339" s="42" t="s">
        <v>608</v>
      </c>
      <c r="IYR339" s="42" t="s">
        <v>608</v>
      </c>
      <c r="IYS339" s="42" t="s">
        <v>608</v>
      </c>
      <c r="IYT339" s="42" t="s">
        <v>608</v>
      </c>
      <c r="IYU339" s="42" t="s">
        <v>608</v>
      </c>
      <c r="IYV339" s="42" t="s">
        <v>608</v>
      </c>
      <c r="IYW339" s="42" t="s">
        <v>608</v>
      </c>
      <c r="IYX339" s="42" t="s">
        <v>608</v>
      </c>
      <c r="IYY339" s="42" t="s">
        <v>608</v>
      </c>
      <c r="IYZ339" s="42" t="s">
        <v>608</v>
      </c>
      <c r="IZA339" s="42" t="s">
        <v>608</v>
      </c>
      <c r="IZB339" s="42" t="s">
        <v>608</v>
      </c>
      <c r="IZC339" s="42" t="s">
        <v>608</v>
      </c>
      <c r="IZD339" s="42" t="s">
        <v>608</v>
      </c>
      <c r="IZE339" s="42" t="s">
        <v>608</v>
      </c>
      <c r="IZF339" s="42" t="s">
        <v>608</v>
      </c>
      <c r="IZG339" s="42" t="s">
        <v>608</v>
      </c>
      <c r="IZH339" s="42" t="s">
        <v>608</v>
      </c>
      <c r="IZI339" s="42" t="s">
        <v>608</v>
      </c>
      <c r="IZJ339" s="42" t="s">
        <v>608</v>
      </c>
      <c r="IZK339" s="42" t="s">
        <v>608</v>
      </c>
      <c r="IZL339" s="42" t="s">
        <v>608</v>
      </c>
      <c r="IZM339" s="42" t="s">
        <v>608</v>
      </c>
      <c r="IZN339" s="42" t="s">
        <v>608</v>
      </c>
      <c r="IZO339" s="42" t="s">
        <v>608</v>
      </c>
      <c r="IZP339" s="42" t="s">
        <v>608</v>
      </c>
      <c r="IZQ339" s="42" t="s">
        <v>608</v>
      </c>
      <c r="IZR339" s="42" t="s">
        <v>608</v>
      </c>
      <c r="IZS339" s="42" t="s">
        <v>608</v>
      </c>
      <c r="IZT339" s="42" t="s">
        <v>608</v>
      </c>
      <c r="IZU339" s="42" t="s">
        <v>608</v>
      </c>
      <c r="IZV339" s="42" t="s">
        <v>608</v>
      </c>
      <c r="IZW339" s="42" t="s">
        <v>608</v>
      </c>
      <c r="IZX339" s="42" t="s">
        <v>608</v>
      </c>
      <c r="IZY339" s="42" t="s">
        <v>608</v>
      </c>
      <c r="IZZ339" s="42" t="s">
        <v>608</v>
      </c>
      <c r="JAA339" s="42" t="s">
        <v>608</v>
      </c>
      <c r="JAB339" s="42" t="s">
        <v>608</v>
      </c>
      <c r="JAC339" s="42" t="s">
        <v>608</v>
      </c>
      <c r="JAD339" s="42" t="s">
        <v>608</v>
      </c>
      <c r="JAE339" s="42" t="s">
        <v>608</v>
      </c>
      <c r="JAF339" s="42" t="s">
        <v>608</v>
      </c>
      <c r="JAG339" s="42" t="s">
        <v>608</v>
      </c>
      <c r="JAH339" s="42" t="s">
        <v>608</v>
      </c>
      <c r="JAI339" s="42" t="s">
        <v>608</v>
      </c>
      <c r="JAJ339" s="42" t="s">
        <v>608</v>
      </c>
      <c r="JAK339" s="42" t="s">
        <v>608</v>
      </c>
      <c r="JAL339" s="42" t="s">
        <v>608</v>
      </c>
      <c r="JAM339" s="42" t="s">
        <v>608</v>
      </c>
      <c r="JAN339" s="42" t="s">
        <v>608</v>
      </c>
      <c r="JAO339" s="42" t="s">
        <v>608</v>
      </c>
      <c r="JAP339" s="42" t="s">
        <v>608</v>
      </c>
      <c r="JAQ339" s="42" t="s">
        <v>608</v>
      </c>
      <c r="JAR339" s="42" t="s">
        <v>608</v>
      </c>
      <c r="JAS339" s="42" t="s">
        <v>608</v>
      </c>
      <c r="JAT339" s="42" t="s">
        <v>608</v>
      </c>
      <c r="JAU339" s="42" t="s">
        <v>608</v>
      </c>
      <c r="JAV339" s="42" t="s">
        <v>608</v>
      </c>
      <c r="JAW339" s="42" t="s">
        <v>608</v>
      </c>
      <c r="JAX339" s="42" t="s">
        <v>608</v>
      </c>
      <c r="JAY339" s="42" t="s">
        <v>608</v>
      </c>
      <c r="JAZ339" s="42" t="s">
        <v>608</v>
      </c>
      <c r="JBA339" s="42" t="s">
        <v>608</v>
      </c>
      <c r="JBB339" s="42" t="s">
        <v>608</v>
      </c>
      <c r="JBC339" s="42" t="s">
        <v>608</v>
      </c>
      <c r="JBD339" s="42" t="s">
        <v>608</v>
      </c>
      <c r="JBE339" s="42" t="s">
        <v>608</v>
      </c>
      <c r="JBF339" s="42" t="s">
        <v>608</v>
      </c>
      <c r="JBG339" s="42" t="s">
        <v>608</v>
      </c>
      <c r="JBH339" s="42" t="s">
        <v>608</v>
      </c>
      <c r="JBI339" s="42" t="s">
        <v>608</v>
      </c>
      <c r="JBJ339" s="42" t="s">
        <v>608</v>
      </c>
      <c r="JBK339" s="42" t="s">
        <v>608</v>
      </c>
      <c r="JBL339" s="42" t="s">
        <v>608</v>
      </c>
      <c r="JBM339" s="42" t="s">
        <v>608</v>
      </c>
      <c r="JBN339" s="42" t="s">
        <v>608</v>
      </c>
      <c r="JBO339" s="42" t="s">
        <v>608</v>
      </c>
      <c r="JBP339" s="42" t="s">
        <v>608</v>
      </c>
      <c r="JBQ339" s="42" t="s">
        <v>608</v>
      </c>
      <c r="JBR339" s="42" t="s">
        <v>608</v>
      </c>
      <c r="JBS339" s="42" t="s">
        <v>608</v>
      </c>
      <c r="JBT339" s="42" t="s">
        <v>608</v>
      </c>
      <c r="JBU339" s="42" t="s">
        <v>608</v>
      </c>
      <c r="JBV339" s="42" t="s">
        <v>608</v>
      </c>
      <c r="JBW339" s="42" t="s">
        <v>608</v>
      </c>
      <c r="JBX339" s="42" t="s">
        <v>608</v>
      </c>
      <c r="JBY339" s="42" t="s">
        <v>608</v>
      </c>
      <c r="JBZ339" s="42" t="s">
        <v>608</v>
      </c>
      <c r="JCA339" s="42" t="s">
        <v>608</v>
      </c>
      <c r="JCB339" s="42" t="s">
        <v>608</v>
      </c>
      <c r="JCC339" s="42" t="s">
        <v>608</v>
      </c>
      <c r="JCD339" s="42" t="s">
        <v>608</v>
      </c>
      <c r="JCE339" s="42" t="s">
        <v>608</v>
      </c>
      <c r="JCF339" s="42" t="s">
        <v>608</v>
      </c>
      <c r="JCG339" s="42" t="s">
        <v>608</v>
      </c>
      <c r="JCH339" s="42" t="s">
        <v>608</v>
      </c>
      <c r="JCI339" s="42" t="s">
        <v>608</v>
      </c>
      <c r="JCJ339" s="42" t="s">
        <v>608</v>
      </c>
      <c r="JCK339" s="42" t="s">
        <v>608</v>
      </c>
      <c r="JCL339" s="42" t="s">
        <v>608</v>
      </c>
      <c r="JCM339" s="42" t="s">
        <v>608</v>
      </c>
      <c r="JCN339" s="42" t="s">
        <v>608</v>
      </c>
      <c r="JCO339" s="42" t="s">
        <v>608</v>
      </c>
      <c r="JCP339" s="42" t="s">
        <v>608</v>
      </c>
      <c r="JCQ339" s="42" t="s">
        <v>608</v>
      </c>
      <c r="JCR339" s="42" t="s">
        <v>608</v>
      </c>
      <c r="JCS339" s="42" t="s">
        <v>608</v>
      </c>
      <c r="JCT339" s="42" t="s">
        <v>608</v>
      </c>
      <c r="JCU339" s="42" t="s">
        <v>608</v>
      </c>
      <c r="JCV339" s="42" t="s">
        <v>608</v>
      </c>
      <c r="JCW339" s="42" t="s">
        <v>608</v>
      </c>
      <c r="JCX339" s="42" t="s">
        <v>608</v>
      </c>
      <c r="JCY339" s="42" t="s">
        <v>608</v>
      </c>
      <c r="JCZ339" s="42" t="s">
        <v>608</v>
      </c>
      <c r="JDA339" s="42" t="s">
        <v>608</v>
      </c>
      <c r="JDB339" s="42" t="s">
        <v>608</v>
      </c>
      <c r="JDC339" s="42" t="s">
        <v>608</v>
      </c>
      <c r="JDD339" s="42" t="s">
        <v>608</v>
      </c>
      <c r="JDE339" s="42" t="s">
        <v>608</v>
      </c>
      <c r="JDF339" s="42" t="s">
        <v>608</v>
      </c>
      <c r="JDG339" s="42" t="s">
        <v>608</v>
      </c>
      <c r="JDH339" s="42" t="s">
        <v>608</v>
      </c>
      <c r="JDI339" s="42" t="s">
        <v>608</v>
      </c>
      <c r="JDJ339" s="42" t="s">
        <v>608</v>
      </c>
      <c r="JDK339" s="42" t="s">
        <v>608</v>
      </c>
      <c r="JDL339" s="42" t="s">
        <v>608</v>
      </c>
      <c r="JDM339" s="42" t="s">
        <v>608</v>
      </c>
      <c r="JDN339" s="42" t="s">
        <v>608</v>
      </c>
      <c r="JDO339" s="42" t="s">
        <v>608</v>
      </c>
      <c r="JDP339" s="42" t="s">
        <v>608</v>
      </c>
      <c r="JDQ339" s="42" t="s">
        <v>608</v>
      </c>
      <c r="JDR339" s="42" t="s">
        <v>608</v>
      </c>
      <c r="JDS339" s="42" t="s">
        <v>608</v>
      </c>
      <c r="JDT339" s="42" t="s">
        <v>608</v>
      </c>
      <c r="JDU339" s="42" t="s">
        <v>608</v>
      </c>
      <c r="JDV339" s="42" t="s">
        <v>608</v>
      </c>
      <c r="JDW339" s="42" t="s">
        <v>608</v>
      </c>
      <c r="JDX339" s="42" t="s">
        <v>608</v>
      </c>
      <c r="JDY339" s="42" t="s">
        <v>608</v>
      </c>
      <c r="JDZ339" s="42" t="s">
        <v>608</v>
      </c>
      <c r="JEA339" s="42" t="s">
        <v>608</v>
      </c>
      <c r="JEB339" s="42" t="s">
        <v>608</v>
      </c>
      <c r="JEC339" s="42" t="s">
        <v>608</v>
      </c>
      <c r="JED339" s="42" t="s">
        <v>608</v>
      </c>
      <c r="JEE339" s="42" t="s">
        <v>608</v>
      </c>
      <c r="JEF339" s="42" t="s">
        <v>608</v>
      </c>
      <c r="JEG339" s="42" t="s">
        <v>608</v>
      </c>
      <c r="JEH339" s="42" t="s">
        <v>608</v>
      </c>
      <c r="JEI339" s="42" t="s">
        <v>608</v>
      </c>
      <c r="JEJ339" s="42" t="s">
        <v>608</v>
      </c>
      <c r="JEK339" s="42" t="s">
        <v>608</v>
      </c>
      <c r="JEL339" s="42" t="s">
        <v>608</v>
      </c>
      <c r="JEM339" s="42" t="s">
        <v>608</v>
      </c>
      <c r="JEN339" s="42" t="s">
        <v>608</v>
      </c>
      <c r="JEO339" s="42" t="s">
        <v>608</v>
      </c>
      <c r="JEP339" s="42" t="s">
        <v>608</v>
      </c>
      <c r="JEQ339" s="42" t="s">
        <v>608</v>
      </c>
      <c r="JER339" s="42" t="s">
        <v>608</v>
      </c>
      <c r="JES339" s="42" t="s">
        <v>608</v>
      </c>
      <c r="JET339" s="42" t="s">
        <v>608</v>
      </c>
      <c r="JEU339" s="42" t="s">
        <v>608</v>
      </c>
      <c r="JEV339" s="42" t="s">
        <v>608</v>
      </c>
      <c r="JEW339" s="42" t="s">
        <v>608</v>
      </c>
      <c r="JEX339" s="42" t="s">
        <v>608</v>
      </c>
      <c r="JEY339" s="42" t="s">
        <v>608</v>
      </c>
      <c r="JEZ339" s="42" t="s">
        <v>608</v>
      </c>
      <c r="JFA339" s="42" t="s">
        <v>608</v>
      </c>
      <c r="JFB339" s="42" t="s">
        <v>608</v>
      </c>
      <c r="JFC339" s="42" t="s">
        <v>608</v>
      </c>
      <c r="JFD339" s="42" t="s">
        <v>608</v>
      </c>
      <c r="JFE339" s="42" t="s">
        <v>608</v>
      </c>
      <c r="JFF339" s="42" t="s">
        <v>608</v>
      </c>
      <c r="JFG339" s="42" t="s">
        <v>608</v>
      </c>
      <c r="JFH339" s="42" t="s">
        <v>608</v>
      </c>
      <c r="JFI339" s="42" t="s">
        <v>608</v>
      </c>
      <c r="JFJ339" s="42" t="s">
        <v>608</v>
      </c>
      <c r="JFK339" s="42" t="s">
        <v>608</v>
      </c>
      <c r="JFL339" s="42" t="s">
        <v>608</v>
      </c>
      <c r="JFM339" s="42" t="s">
        <v>608</v>
      </c>
      <c r="JFN339" s="42" t="s">
        <v>608</v>
      </c>
      <c r="JFO339" s="42" t="s">
        <v>608</v>
      </c>
      <c r="JFP339" s="42" t="s">
        <v>608</v>
      </c>
      <c r="JFQ339" s="42" t="s">
        <v>608</v>
      </c>
      <c r="JFR339" s="42" t="s">
        <v>608</v>
      </c>
      <c r="JFS339" s="42" t="s">
        <v>608</v>
      </c>
      <c r="JFT339" s="42" t="s">
        <v>608</v>
      </c>
      <c r="JFU339" s="42" t="s">
        <v>608</v>
      </c>
      <c r="JFV339" s="42" t="s">
        <v>608</v>
      </c>
      <c r="JFW339" s="42" t="s">
        <v>608</v>
      </c>
      <c r="JFX339" s="42" t="s">
        <v>608</v>
      </c>
      <c r="JFY339" s="42" t="s">
        <v>608</v>
      </c>
      <c r="JFZ339" s="42" t="s">
        <v>608</v>
      </c>
      <c r="JGA339" s="42" t="s">
        <v>608</v>
      </c>
      <c r="JGB339" s="42" t="s">
        <v>608</v>
      </c>
      <c r="JGC339" s="42" t="s">
        <v>608</v>
      </c>
      <c r="JGD339" s="42" t="s">
        <v>608</v>
      </c>
      <c r="JGE339" s="42" t="s">
        <v>608</v>
      </c>
      <c r="JGF339" s="42" t="s">
        <v>608</v>
      </c>
      <c r="JGG339" s="42" t="s">
        <v>608</v>
      </c>
      <c r="JGH339" s="42" t="s">
        <v>608</v>
      </c>
      <c r="JGI339" s="42" t="s">
        <v>608</v>
      </c>
      <c r="JGJ339" s="42" t="s">
        <v>608</v>
      </c>
      <c r="JGK339" s="42" t="s">
        <v>608</v>
      </c>
      <c r="JGL339" s="42" t="s">
        <v>608</v>
      </c>
      <c r="JGM339" s="42" t="s">
        <v>608</v>
      </c>
      <c r="JGN339" s="42" t="s">
        <v>608</v>
      </c>
      <c r="JGO339" s="42" t="s">
        <v>608</v>
      </c>
      <c r="JGP339" s="42" t="s">
        <v>608</v>
      </c>
      <c r="JGQ339" s="42" t="s">
        <v>608</v>
      </c>
      <c r="JGR339" s="42" t="s">
        <v>608</v>
      </c>
      <c r="JGS339" s="42" t="s">
        <v>608</v>
      </c>
      <c r="JGT339" s="42" t="s">
        <v>608</v>
      </c>
      <c r="JGU339" s="42" t="s">
        <v>608</v>
      </c>
      <c r="JGV339" s="42" t="s">
        <v>608</v>
      </c>
      <c r="JGW339" s="42" t="s">
        <v>608</v>
      </c>
      <c r="JGX339" s="42" t="s">
        <v>608</v>
      </c>
      <c r="JGY339" s="42" t="s">
        <v>608</v>
      </c>
      <c r="JGZ339" s="42" t="s">
        <v>608</v>
      </c>
      <c r="JHA339" s="42" t="s">
        <v>608</v>
      </c>
      <c r="JHB339" s="42" t="s">
        <v>608</v>
      </c>
      <c r="JHC339" s="42" t="s">
        <v>608</v>
      </c>
      <c r="JHD339" s="42" t="s">
        <v>608</v>
      </c>
      <c r="JHE339" s="42" t="s">
        <v>608</v>
      </c>
      <c r="JHF339" s="42" t="s">
        <v>608</v>
      </c>
      <c r="JHG339" s="42" t="s">
        <v>608</v>
      </c>
      <c r="JHH339" s="42" t="s">
        <v>608</v>
      </c>
      <c r="JHI339" s="42" t="s">
        <v>608</v>
      </c>
      <c r="JHJ339" s="42" t="s">
        <v>608</v>
      </c>
      <c r="JHK339" s="42" t="s">
        <v>608</v>
      </c>
      <c r="JHL339" s="42" t="s">
        <v>608</v>
      </c>
      <c r="JHM339" s="42" t="s">
        <v>608</v>
      </c>
      <c r="JHN339" s="42" t="s">
        <v>608</v>
      </c>
      <c r="JHO339" s="42" t="s">
        <v>608</v>
      </c>
      <c r="JHP339" s="42" t="s">
        <v>608</v>
      </c>
      <c r="JHQ339" s="42" t="s">
        <v>608</v>
      </c>
      <c r="JHR339" s="42" t="s">
        <v>608</v>
      </c>
      <c r="JHS339" s="42" t="s">
        <v>608</v>
      </c>
      <c r="JHT339" s="42" t="s">
        <v>608</v>
      </c>
      <c r="JHU339" s="42" t="s">
        <v>608</v>
      </c>
      <c r="JHV339" s="42" t="s">
        <v>608</v>
      </c>
      <c r="JHW339" s="42" t="s">
        <v>608</v>
      </c>
      <c r="JHX339" s="42" t="s">
        <v>608</v>
      </c>
      <c r="JHY339" s="42" t="s">
        <v>608</v>
      </c>
      <c r="JHZ339" s="42" t="s">
        <v>608</v>
      </c>
      <c r="JIA339" s="42" t="s">
        <v>608</v>
      </c>
      <c r="JIB339" s="42" t="s">
        <v>608</v>
      </c>
      <c r="JIC339" s="42" t="s">
        <v>608</v>
      </c>
      <c r="JID339" s="42" t="s">
        <v>608</v>
      </c>
      <c r="JIE339" s="42" t="s">
        <v>608</v>
      </c>
      <c r="JIF339" s="42" t="s">
        <v>608</v>
      </c>
      <c r="JIG339" s="42" t="s">
        <v>608</v>
      </c>
      <c r="JIH339" s="42" t="s">
        <v>608</v>
      </c>
      <c r="JII339" s="42" t="s">
        <v>608</v>
      </c>
      <c r="JIJ339" s="42" t="s">
        <v>608</v>
      </c>
      <c r="JIK339" s="42" t="s">
        <v>608</v>
      </c>
      <c r="JIL339" s="42" t="s">
        <v>608</v>
      </c>
      <c r="JIM339" s="42" t="s">
        <v>608</v>
      </c>
      <c r="JIN339" s="42" t="s">
        <v>608</v>
      </c>
      <c r="JIO339" s="42" t="s">
        <v>608</v>
      </c>
      <c r="JIP339" s="42" t="s">
        <v>608</v>
      </c>
      <c r="JIQ339" s="42" t="s">
        <v>608</v>
      </c>
      <c r="JIR339" s="42" t="s">
        <v>608</v>
      </c>
      <c r="JIS339" s="42" t="s">
        <v>608</v>
      </c>
      <c r="JIT339" s="42" t="s">
        <v>608</v>
      </c>
      <c r="JIU339" s="42" t="s">
        <v>608</v>
      </c>
      <c r="JIV339" s="42" t="s">
        <v>608</v>
      </c>
      <c r="JIW339" s="42" t="s">
        <v>608</v>
      </c>
      <c r="JIX339" s="42" t="s">
        <v>608</v>
      </c>
      <c r="JIY339" s="42" t="s">
        <v>608</v>
      </c>
      <c r="JIZ339" s="42" t="s">
        <v>608</v>
      </c>
      <c r="JJA339" s="42" t="s">
        <v>608</v>
      </c>
      <c r="JJB339" s="42" t="s">
        <v>608</v>
      </c>
      <c r="JJC339" s="42" t="s">
        <v>608</v>
      </c>
      <c r="JJD339" s="42" t="s">
        <v>608</v>
      </c>
      <c r="JJE339" s="42" t="s">
        <v>608</v>
      </c>
      <c r="JJF339" s="42" t="s">
        <v>608</v>
      </c>
      <c r="JJG339" s="42" t="s">
        <v>608</v>
      </c>
      <c r="JJH339" s="42" t="s">
        <v>608</v>
      </c>
      <c r="JJI339" s="42" t="s">
        <v>608</v>
      </c>
      <c r="JJJ339" s="42" t="s">
        <v>608</v>
      </c>
      <c r="JJK339" s="42" t="s">
        <v>608</v>
      </c>
      <c r="JJL339" s="42" t="s">
        <v>608</v>
      </c>
      <c r="JJM339" s="42" t="s">
        <v>608</v>
      </c>
      <c r="JJN339" s="42" t="s">
        <v>608</v>
      </c>
      <c r="JJO339" s="42" t="s">
        <v>608</v>
      </c>
      <c r="JJP339" s="42" t="s">
        <v>608</v>
      </c>
      <c r="JJQ339" s="42" t="s">
        <v>608</v>
      </c>
      <c r="JJR339" s="42" t="s">
        <v>608</v>
      </c>
      <c r="JJS339" s="42" t="s">
        <v>608</v>
      </c>
      <c r="JJT339" s="42" t="s">
        <v>608</v>
      </c>
      <c r="JJU339" s="42" t="s">
        <v>608</v>
      </c>
      <c r="JJV339" s="42" t="s">
        <v>608</v>
      </c>
      <c r="JJW339" s="42" t="s">
        <v>608</v>
      </c>
      <c r="JJX339" s="42" t="s">
        <v>608</v>
      </c>
      <c r="JJY339" s="42" t="s">
        <v>608</v>
      </c>
      <c r="JJZ339" s="42" t="s">
        <v>608</v>
      </c>
      <c r="JKA339" s="42" t="s">
        <v>608</v>
      </c>
      <c r="JKB339" s="42" t="s">
        <v>608</v>
      </c>
      <c r="JKC339" s="42" t="s">
        <v>608</v>
      </c>
      <c r="JKD339" s="42" t="s">
        <v>608</v>
      </c>
      <c r="JKE339" s="42" t="s">
        <v>608</v>
      </c>
      <c r="JKF339" s="42" t="s">
        <v>608</v>
      </c>
      <c r="JKG339" s="42" t="s">
        <v>608</v>
      </c>
      <c r="JKH339" s="42" t="s">
        <v>608</v>
      </c>
      <c r="JKI339" s="42" t="s">
        <v>608</v>
      </c>
      <c r="JKJ339" s="42" t="s">
        <v>608</v>
      </c>
      <c r="JKK339" s="42" t="s">
        <v>608</v>
      </c>
      <c r="JKL339" s="42" t="s">
        <v>608</v>
      </c>
      <c r="JKM339" s="42" t="s">
        <v>608</v>
      </c>
      <c r="JKN339" s="42" t="s">
        <v>608</v>
      </c>
      <c r="JKO339" s="42" t="s">
        <v>608</v>
      </c>
      <c r="JKP339" s="42" t="s">
        <v>608</v>
      </c>
      <c r="JKQ339" s="42" t="s">
        <v>608</v>
      </c>
      <c r="JKR339" s="42" t="s">
        <v>608</v>
      </c>
      <c r="JKS339" s="42" t="s">
        <v>608</v>
      </c>
      <c r="JKT339" s="42" t="s">
        <v>608</v>
      </c>
      <c r="JKU339" s="42" t="s">
        <v>608</v>
      </c>
      <c r="JKV339" s="42" t="s">
        <v>608</v>
      </c>
      <c r="JKW339" s="42" t="s">
        <v>608</v>
      </c>
      <c r="JKX339" s="42" t="s">
        <v>608</v>
      </c>
      <c r="JKY339" s="42" t="s">
        <v>608</v>
      </c>
      <c r="JKZ339" s="42" t="s">
        <v>608</v>
      </c>
      <c r="JLA339" s="42" t="s">
        <v>608</v>
      </c>
      <c r="JLB339" s="42" t="s">
        <v>608</v>
      </c>
      <c r="JLC339" s="42" t="s">
        <v>608</v>
      </c>
      <c r="JLD339" s="42" t="s">
        <v>608</v>
      </c>
      <c r="JLE339" s="42" t="s">
        <v>608</v>
      </c>
      <c r="JLF339" s="42" t="s">
        <v>608</v>
      </c>
      <c r="JLG339" s="42" t="s">
        <v>608</v>
      </c>
      <c r="JLH339" s="42" t="s">
        <v>608</v>
      </c>
      <c r="JLI339" s="42" t="s">
        <v>608</v>
      </c>
      <c r="JLJ339" s="42" t="s">
        <v>608</v>
      </c>
      <c r="JLK339" s="42" t="s">
        <v>608</v>
      </c>
      <c r="JLL339" s="42" t="s">
        <v>608</v>
      </c>
      <c r="JLM339" s="42" t="s">
        <v>608</v>
      </c>
      <c r="JLN339" s="42" t="s">
        <v>608</v>
      </c>
      <c r="JLO339" s="42" t="s">
        <v>608</v>
      </c>
      <c r="JLP339" s="42" t="s">
        <v>608</v>
      </c>
      <c r="JLQ339" s="42" t="s">
        <v>608</v>
      </c>
      <c r="JLR339" s="42" t="s">
        <v>608</v>
      </c>
      <c r="JLS339" s="42" t="s">
        <v>608</v>
      </c>
      <c r="JLT339" s="42" t="s">
        <v>608</v>
      </c>
      <c r="JLU339" s="42" t="s">
        <v>608</v>
      </c>
      <c r="JLV339" s="42" t="s">
        <v>608</v>
      </c>
      <c r="JLW339" s="42" t="s">
        <v>608</v>
      </c>
      <c r="JLX339" s="42" t="s">
        <v>608</v>
      </c>
      <c r="JLY339" s="42" t="s">
        <v>608</v>
      </c>
      <c r="JLZ339" s="42" t="s">
        <v>608</v>
      </c>
      <c r="JMA339" s="42" t="s">
        <v>608</v>
      </c>
      <c r="JMB339" s="42" t="s">
        <v>608</v>
      </c>
      <c r="JMC339" s="42" t="s">
        <v>608</v>
      </c>
      <c r="JMD339" s="42" t="s">
        <v>608</v>
      </c>
      <c r="JME339" s="42" t="s">
        <v>608</v>
      </c>
      <c r="JMF339" s="42" t="s">
        <v>608</v>
      </c>
      <c r="JMG339" s="42" t="s">
        <v>608</v>
      </c>
      <c r="JMH339" s="42" t="s">
        <v>608</v>
      </c>
      <c r="JMI339" s="42" t="s">
        <v>608</v>
      </c>
      <c r="JMJ339" s="42" t="s">
        <v>608</v>
      </c>
      <c r="JMK339" s="42" t="s">
        <v>608</v>
      </c>
      <c r="JML339" s="42" t="s">
        <v>608</v>
      </c>
      <c r="JMM339" s="42" t="s">
        <v>608</v>
      </c>
      <c r="JMN339" s="42" t="s">
        <v>608</v>
      </c>
      <c r="JMO339" s="42" t="s">
        <v>608</v>
      </c>
      <c r="JMP339" s="42" t="s">
        <v>608</v>
      </c>
      <c r="JMQ339" s="42" t="s">
        <v>608</v>
      </c>
      <c r="JMR339" s="42" t="s">
        <v>608</v>
      </c>
      <c r="JMS339" s="42" t="s">
        <v>608</v>
      </c>
      <c r="JMT339" s="42" t="s">
        <v>608</v>
      </c>
      <c r="JMU339" s="42" t="s">
        <v>608</v>
      </c>
      <c r="JMV339" s="42" t="s">
        <v>608</v>
      </c>
      <c r="JMW339" s="42" t="s">
        <v>608</v>
      </c>
      <c r="JMX339" s="42" t="s">
        <v>608</v>
      </c>
      <c r="JMY339" s="42" t="s">
        <v>608</v>
      </c>
      <c r="JMZ339" s="42" t="s">
        <v>608</v>
      </c>
      <c r="JNA339" s="42" t="s">
        <v>608</v>
      </c>
      <c r="JNB339" s="42" t="s">
        <v>608</v>
      </c>
      <c r="JNC339" s="42" t="s">
        <v>608</v>
      </c>
      <c r="JND339" s="42" t="s">
        <v>608</v>
      </c>
      <c r="JNE339" s="42" t="s">
        <v>608</v>
      </c>
      <c r="JNF339" s="42" t="s">
        <v>608</v>
      </c>
      <c r="JNG339" s="42" t="s">
        <v>608</v>
      </c>
      <c r="JNH339" s="42" t="s">
        <v>608</v>
      </c>
      <c r="JNI339" s="42" t="s">
        <v>608</v>
      </c>
      <c r="JNJ339" s="42" t="s">
        <v>608</v>
      </c>
      <c r="JNK339" s="42" t="s">
        <v>608</v>
      </c>
      <c r="JNL339" s="42" t="s">
        <v>608</v>
      </c>
      <c r="JNM339" s="42" t="s">
        <v>608</v>
      </c>
      <c r="JNN339" s="42" t="s">
        <v>608</v>
      </c>
      <c r="JNO339" s="42" t="s">
        <v>608</v>
      </c>
      <c r="JNP339" s="42" t="s">
        <v>608</v>
      </c>
      <c r="JNQ339" s="42" t="s">
        <v>608</v>
      </c>
      <c r="JNR339" s="42" t="s">
        <v>608</v>
      </c>
      <c r="JNS339" s="42" t="s">
        <v>608</v>
      </c>
      <c r="JNT339" s="42" t="s">
        <v>608</v>
      </c>
      <c r="JNU339" s="42" t="s">
        <v>608</v>
      </c>
      <c r="JNV339" s="42" t="s">
        <v>608</v>
      </c>
      <c r="JNW339" s="42" t="s">
        <v>608</v>
      </c>
      <c r="JNX339" s="42" t="s">
        <v>608</v>
      </c>
      <c r="JNY339" s="42" t="s">
        <v>608</v>
      </c>
      <c r="JNZ339" s="42" t="s">
        <v>608</v>
      </c>
      <c r="JOA339" s="42" t="s">
        <v>608</v>
      </c>
      <c r="JOB339" s="42" t="s">
        <v>608</v>
      </c>
      <c r="JOC339" s="42" t="s">
        <v>608</v>
      </c>
      <c r="JOD339" s="42" t="s">
        <v>608</v>
      </c>
      <c r="JOE339" s="42" t="s">
        <v>608</v>
      </c>
      <c r="JOF339" s="42" t="s">
        <v>608</v>
      </c>
      <c r="JOG339" s="42" t="s">
        <v>608</v>
      </c>
      <c r="JOH339" s="42" t="s">
        <v>608</v>
      </c>
      <c r="JOI339" s="42" t="s">
        <v>608</v>
      </c>
      <c r="JOJ339" s="42" t="s">
        <v>608</v>
      </c>
      <c r="JOK339" s="42" t="s">
        <v>608</v>
      </c>
      <c r="JOL339" s="42" t="s">
        <v>608</v>
      </c>
      <c r="JOM339" s="42" t="s">
        <v>608</v>
      </c>
      <c r="JON339" s="42" t="s">
        <v>608</v>
      </c>
      <c r="JOO339" s="42" t="s">
        <v>608</v>
      </c>
      <c r="JOP339" s="42" t="s">
        <v>608</v>
      </c>
      <c r="JOQ339" s="42" t="s">
        <v>608</v>
      </c>
      <c r="JOR339" s="42" t="s">
        <v>608</v>
      </c>
      <c r="JOS339" s="42" t="s">
        <v>608</v>
      </c>
      <c r="JOT339" s="42" t="s">
        <v>608</v>
      </c>
      <c r="JOU339" s="42" t="s">
        <v>608</v>
      </c>
      <c r="JOV339" s="42" t="s">
        <v>608</v>
      </c>
      <c r="JOW339" s="42" t="s">
        <v>608</v>
      </c>
      <c r="JOX339" s="42" t="s">
        <v>608</v>
      </c>
      <c r="JOY339" s="42" t="s">
        <v>608</v>
      </c>
      <c r="JOZ339" s="42" t="s">
        <v>608</v>
      </c>
      <c r="JPA339" s="42" t="s">
        <v>608</v>
      </c>
      <c r="JPB339" s="42" t="s">
        <v>608</v>
      </c>
      <c r="JPC339" s="42" t="s">
        <v>608</v>
      </c>
      <c r="JPD339" s="42" t="s">
        <v>608</v>
      </c>
      <c r="JPE339" s="42" t="s">
        <v>608</v>
      </c>
      <c r="JPF339" s="42" t="s">
        <v>608</v>
      </c>
      <c r="JPG339" s="42" t="s">
        <v>608</v>
      </c>
      <c r="JPH339" s="42" t="s">
        <v>608</v>
      </c>
      <c r="JPI339" s="42" t="s">
        <v>608</v>
      </c>
      <c r="JPJ339" s="42" t="s">
        <v>608</v>
      </c>
      <c r="JPK339" s="42" t="s">
        <v>608</v>
      </c>
      <c r="JPL339" s="42" t="s">
        <v>608</v>
      </c>
      <c r="JPM339" s="42" t="s">
        <v>608</v>
      </c>
      <c r="JPN339" s="42" t="s">
        <v>608</v>
      </c>
      <c r="JPO339" s="42" t="s">
        <v>608</v>
      </c>
      <c r="JPP339" s="42" t="s">
        <v>608</v>
      </c>
      <c r="JPQ339" s="42" t="s">
        <v>608</v>
      </c>
      <c r="JPR339" s="42" t="s">
        <v>608</v>
      </c>
      <c r="JPS339" s="42" t="s">
        <v>608</v>
      </c>
      <c r="JPT339" s="42" t="s">
        <v>608</v>
      </c>
      <c r="JPU339" s="42" t="s">
        <v>608</v>
      </c>
      <c r="JPV339" s="42" t="s">
        <v>608</v>
      </c>
      <c r="JPW339" s="42" t="s">
        <v>608</v>
      </c>
      <c r="JPX339" s="42" t="s">
        <v>608</v>
      </c>
      <c r="JPY339" s="42" t="s">
        <v>608</v>
      </c>
      <c r="JPZ339" s="42" t="s">
        <v>608</v>
      </c>
      <c r="JQA339" s="42" t="s">
        <v>608</v>
      </c>
      <c r="JQB339" s="42" t="s">
        <v>608</v>
      </c>
      <c r="JQC339" s="42" t="s">
        <v>608</v>
      </c>
      <c r="JQD339" s="42" t="s">
        <v>608</v>
      </c>
      <c r="JQE339" s="42" t="s">
        <v>608</v>
      </c>
      <c r="JQF339" s="42" t="s">
        <v>608</v>
      </c>
      <c r="JQG339" s="42" t="s">
        <v>608</v>
      </c>
      <c r="JQH339" s="42" t="s">
        <v>608</v>
      </c>
      <c r="JQI339" s="42" t="s">
        <v>608</v>
      </c>
      <c r="JQJ339" s="42" t="s">
        <v>608</v>
      </c>
      <c r="JQK339" s="42" t="s">
        <v>608</v>
      </c>
      <c r="JQL339" s="42" t="s">
        <v>608</v>
      </c>
      <c r="JQM339" s="42" t="s">
        <v>608</v>
      </c>
      <c r="JQN339" s="42" t="s">
        <v>608</v>
      </c>
      <c r="JQO339" s="42" t="s">
        <v>608</v>
      </c>
      <c r="JQP339" s="42" t="s">
        <v>608</v>
      </c>
      <c r="JQQ339" s="42" t="s">
        <v>608</v>
      </c>
      <c r="JQR339" s="42" t="s">
        <v>608</v>
      </c>
      <c r="JQS339" s="42" t="s">
        <v>608</v>
      </c>
      <c r="JQT339" s="42" t="s">
        <v>608</v>
      </c>
      <c r="JQU339" s="42" t="s">
        <v>608</v>
      </c>
      <c r="JQV339" s="42" t="s">
        <v>608</v>
      </c>
      <c r="JQW339" s="42" t="s">
        <v>608</v>
      </c>
      <c r="JQX339" s="42" t="s">
        <v>608</v>
      </c>
      <c r="JQY339" s="42" t="s">
        <v>608</v>
      </c>
      <c r="JQZ339" s="42" t="s">
        <v>608</v>
      </c>
      <c r="JRA339" s="42" t="s">
        <v>608</v>
      </c>
      <c r="JRB339" s="42" t="s">
        <v>608</v>
      </c>
      <c r="JRC339" s="42" t="s">
        <v>608</v>
      </c>
      <c r="JRD339" s="42" t="s">
        <v>608</v>
      </c>
      <c r="JRE339" s="42" t="s">
        <v>608</v>
      </c>
      <c r="JRF339" s="42" t="s">
        <v>608</v>
      </c>
      <c r="JRG339" s="42" t="s">
        <v>608</v>
      </c>
      <c r="JRH339" s="42" t="s">
        <v>608</v>
      </c>
      <c r="JRI339" s="42" t="s">
        <v>608</v>
      </c>
      <c r="JRJ339" s="42" t="s">
        <v>608</v>
      </c>
      <c r="JRK339" s="42" t="s">
        <v>608</v>
      </c>
      <c r="JRL339" s="42" t="s">
        <v>608</v>
      </c>
      <c r="JRM339" s="42" t="s">
        <v>608</v>
      </c>
      <c r="JRN339" s="42" t="s">
        <v>608</v>
      </c>
      <c r="JRO339" s="42" t="s">
        <v>608</v>
      </c>
      <c r="JRP339" s="42" t="s">
        <v>608</v>
      </c>
      <c r="JRQ339" s="42" t="s">
        <v>608</v>
      </c>
      <c r="JRR339" s="42" t="s">
        <v>608</v>
      </c>
      <c r="JRS339" s="42" t="s">
        <v>608</v>
      </c>
      <c r="JRT339" s="42" t="s">
        <v>608</v>
      </c>
      <c r="JRU339" s="42" t="s">
        <v>608</v>
      </c>
      <c r="JRV339" s="42" t="s">
        <v>608</v>
      </c>
      <c r="JRW339" s="42" t="s">
        <v>608</v>
      </c>
      <c r="JRX339" s="42" t="s">
        <v>608</v>
      </c>
      <c r="JRY339" s="42" t="s">
        <v>608</v>
      </c>
      <c r="JRZ339" s="42" t="s">
        <v>608</v>
      </c>
      <c r="JSA339" s="42" t="s">
        <v>608</v>
      </c>
      <c r="JSB339" s="42" t="s">
        <v>608</v>
      </c>
      <c r="JSC339" s="42" t="s">
        <v>608</v>
      </c>
      <c r="JSD339" s="42" t="s">
        <v>608</v>
      </c>
      <c r="JSE339" s="42" t="s">
        <v>608</v>
      </c>
      <c r="JSF339" s="42" t="s">
        <v>608</v>
      </c>
      <c r="JSG339" s="42" t="s">
        <v>608</v>
      </c>
      <c r="JSH339" s="42" t="s">
        <v>608</v>
      </c>
      <c r="JSI339" s="42" t="s">
        <v>608</v>
      </c>
      <c r="JSJ339" s="42" t="s">
        <v>608</v>
      </c>
      <c r="JSK339" s="42" t="s">
        <v>608</v>
      </c>
      <c r="JSL339" s="42" t="s">
        <v>608</v>
      </c>
      <c r="JSM339" s="42" t="s">
        <v>608</v>
      </c>
      <c r="JSN339" s="42" t="s">
        <v>608</v>
      </c>
      <c r="JSO339" s="42" t="s">
        <v>608</v>
      </c>
      <c r="JSP339" s="42" t="s">
        <v>608</v>
      </c>
      <c r="JSQ339" s="42" t="s">
        <v>608</v>
      </c>
      <c r="JSR339" s="42" t="s">
        <v>608</v>
      </c>
      <c r="JSS339" s="42" t="s">
        <v>608</v>
      </c>
      <c r="JST339" s="42" t="s">
        <v>608</v>
      </c>
      <c r="JSU339" s="42" t="s">
        <v>608</v>
      </c>
      <c r="JSV339" s="42" t="s">
        <v>608</v>
      </c>
      <c r="JSW339" s="42" t="s">
        <v>608</v>
      </c>
      <c r="JSX339" s="42" t="s">
        <v>608</v>
      </c>
      <c r="JSY339" s="42" t="s">
        <v>608</v>
      </c>
      <c r="JSZ339" s="42" t="s">
        <v>608</v>
      </c>
      <c r="JTA339" s="42" t="s">
        <v>608</v>
      </c>
      <c r="JTB339" s="42" t="s">
        <v>608</v>
      </c>
      <c r="JTC339" s="42" t="s">
        <v>608</v>
      </c>
      <c r="JTD339" s="42" t="s">
        <v>608</v>
      </c>
      <c r="JTE339" s="42" t="s">
        <v>608</v>
      </c>
      <c r="JTF339" s="42" t="s">
        <v>608</v>
      </c>
      <c r="JTG339" s="42" t="s">
        <v>608</v>
      </c>
      <c r="JTH339" s="42" t="s">
        <v>608</v>
      </c>
      <c r="JTI339" s="42" t="s">
        <v>608</v>
      </c>
      <c r="JTJ339" s="42" t="s">
        <v>608</v>
      </c>
      <c r="JTK339" s="42" t="s">
        <v>608</v>
      </c>
      <c r="JTL339" s="42" t="s">
        <v>608</v>
      </c>
      <c r="JTM339" s="42" t="s">
        <v>608</v>
      </c>
      <c r="JTN339" s="42" t="s">
        <v>608</v>
      </c>
      <c r="JTO339" s="42" t="s">
        <v>608</v>
      </c>
      <c r="JTP339" s="42" t="s">
        <v>608</v>
      </c>
      <c r="JTQ339" s="42" t="s">
        <v>608</v>
      </c>
      <c r="JTR339" s="42" t="s">
        <v>608</v>
      </c>
      <c r="JTS339" s="42" t="s">
        <v>608</v>
      </c>
      <c r="JTT339" s="42" t="s">
        <v>608</v>
      </c>
      <c r="JTU339" s="42" t="s">
        <v>608</v>
      </c>
      <c r="JTV339" s="42" t="s">
        <v>608</v>
      </c>
      <c r="JTW339" s="42" t="s">
        <v>608</v>
      </c>
      <c r="JTX339" s="42" t="s">
        <v>608</v>
      </c>
      <c r="JTY339" s="42" t="s">
        <v>608</v>
      </c>
      <c r="JTZ339" s="42" t="s">
        <v>608</v>
      </c>
      <c r="JUA339" s="42" t="s">
        <v>608</v>
      </c>
      <c r="JUB339" s="42" t="s">
        <v>608</v>
      </c>
      <c r="JUC339" s="42" t="s">
        <v>608</v>
      </c>
      <c r="JUD339" s="42" t="s">
        <v>608</v>
      </c>
      <c r="JUE339" s="42" t="s">
        <v>608</v>
      </c>
      <c r="JUF339" s="42" t="s">
        <v>608</v>
      </c>
      <c r="JUG339" s="42" t="s">
        <v>608</v>
      </c>
      <c r="JUH339" s="42" t="s">
        <v>608</v>
      </c>
      <c r="JUI339" s="42" t="s">
        <v>608</v>
      </c>
      <c r="JUJ339" s="42" t="s">
        <v>608</v>
      </c>
      <c r="JUK339" s="42" t="s">
        <v>608</v>
      </c>
      <c r="JUL339" s="42" t="s">
        <v>608</v>
      </c>
      <c r="JUM339" s="42" t="s">
        <v>608</v>
      </c>
      <c r="JUN339" s="42" t="s">
        <v>608</v>
      </c>
      <c r="JUO339" s="42" t="s">
        <v>608</v>
      </c>
      <c r="JUP339" s="42" t="s">
        <v>608</v>
      </c>
      <c r="JUQ339" s="42" t="s">
        <v>608</v>
      </c>
      <c r="JUR339" s="42" t="s">
        <v>608</v>
      </c>
      <c r="JUS339" s="42" t="s">
        <v>608</v>
      </c>
      <c r="JUT339" s="42" t="s">
        <v>608</v>
      </c>
      <c r="JUU339" s="42" t="s">
        <v>608</v>
      </c>
      <c r="JUV339" s="42" t="s">
        <v>608</v>
      </c>
      <c r="JUW339" s="42" t="s">
        <v>608</v>
      </c>
      <c r="JUX339" s="42" t="s">
        <v>608</v>
      </c>
      <c r="JUY339" s="42" t="s">
        <v>608</v>
      </c>
      <c r="JUZ339" s="42" t="s">
        <v>608</v>
      </c>
      <c r="JVA339" s="42" t="s">
        <v>608</v>
      </c>
      <c r="JVB339" s="42" t="s">
        <v>608</v>
      </c>
      <c r="JVC339" s="42" t="s">
        <v>608</v>
      </c>
      <c r="JVD339" s="42" t="s">
        <v>608</v>
      </c>
      <c r="JVE339" s="42" t="s">
        <v>608</v>
      </c>
      <c r="JVF339" s="42" t="s">
        <v>608</v>
      </c>
      <c r="JVG339" s="42" t="s">
        <v>608</v>
      </c>
      <c r="JVH339" s="42" t="s">
        <v>608</v>
      </c>
      <c r="JVI339" s="42" t="s">
        <v>608</v>
      </c>
      <c r="JVJ339" s="42" t="s">
        <v>608</v>
      </c>
      <c r="JVK339" s="42" t="s">
        <v>608</v>
      </c>
      <c r="JVL339" s="42" t="s">
        <v>608</v>
      </c>
      <c r="JVM339" s="42" t="s">
        <v>608</v>
      </c>
      <c r="JVN339" s="42" t="s">
        <v>608</v>
      </c>
      <c r="JVO339" s="42" t="s">
        <v>608</v>
      </c>
      <c r="JVP339" s="42" t="s">
        <v>608</v>
      </c>
      <c r="JVQ339" s="42" t="s">
        <v>608</v>
      </c>
      <c r="JVR339" s="42" t="s">
        <v>608</v>
      </c>
      <c r="JVS339" s="42" t="s">
        <v>608</v>
      </c>
      <c r="JVT339" s="42" t="s">
        <v>608</v>
      </c>
      <c r="JVU339" s="42" t="s">
        <v>608</v>
      </c>
      <c r="JVV339" s="42" t="s">
        <v>608</v>
      </c>
      <c r="JVW339" s="42" t="s">
        <v>608</v>
      </c>
      <c r="JVX339" s="42" t="s">
        <v>608</v>
      </c>
      <c r="JVY339" s="42" t="s">
        <v>608</v>
      </c>
      <c r="JVZ339" s="42" t="s">
        <v>608</v>
      </c>
      <c r="JWA339" s="42" t="s">
        <v>608</v>
      </c>
      <c r="JWB339" s="42" t="s">
        <v>608</v>
      </c>
      <c r="JWC339" s="42" t="s">
        <v>608</v>
      </c>
      <c r="JWD339" s="42" t="s">
        <v>608</v>
      </c>
      <c r="JWE339" s="42" t="s">
        <v>608</v>
      </c>
      <c r="JWF339" s="42" t="s">
        <v>608</v>
      </c>
      <c r="JWG339" s="42" t="s">
        <v>608</v>
      </c>
      <c r="JWH339" s="42" t="s">
        <v>608</v>
      </c>
      <c r="JWI339" s="42" t="s">
        <v>608</v>
      </c>
      <c r="JWJ339" s="42" t="s">
        <v>608</v>
      </c>
      <c r="JWK339" s="42" t="s">
        <v>608</v>
      </c>
      <c r="JWL339" s="42" t="s">
        <v>608</v>
      </c>
      <c r="JWM339" s="42" t="s">
        <v>608</v>
      </c>
      <c r="JWN339" s="42" t="s">
        <v>608</v>
      </c>
      <c r="JWO339" s="42" t="s">
        <v>608</v>
      </c>
      <c r="JWP339" s="42" t="s">
        <v>608</v>
      </c>
      <c r="JWQ339" s="42" t="s">
        <v>608</v>
      </c>
      <c r="JWR339" s="42" t="s">
        <v>608</v>
      </c>
      <c r="JWS339" s="42" t="s">
        <v>608</v>
      </c>
      <c r="JWT339" s="42" t="s">
        <v>608</v>
      </c>
      <c r="JWU339" s="42" t="s">
        <v>608</v>
      </c>
      <c r="JWV339" s="42" t="s">
        <v>608</v>
      </c>
      <c r="JWW339" s="42" t="s">
        <v>608</v>
      </c>
      <c r="JWX339" s="42" t="s">
        <v>608</v>
      </c>
      <c r="JWY339" s="42" t="s">
        <v>608</v>
      </c>
      <c r="JWZ339" s="42" t="s">
        <v>608</v>
      </c>
      <c r="JXA339" s="42" t="s">
        <v>608</v>
      </c>
      <c r="JXB339" s="42" t="s">
        <v>608</v>
      </c>
      <c r="JXC339" s="42" t="s">
        <v>608</v>
      </c>
      <c r="JXD339" s="42" t="s">
        <v>608</v>
      </c>
      <c r="JXE339" s="42" t="s">
        <v>608</v>
      </c>
      <c r="JXF339" s="42" t="s">
        <v>608</v>
      </c>
      <c r="JXG339" s="42" t="s">
        <v>608</v>
      </c>
      <c r="JXH339" s="42" t="s">
        <v>608</v>
      </c>
      <c r="JXI339" s="42" t="s">
        <v>608</v>
      </c>
      <c r="JXJ339" s="42" t="s">
        <v>608</v>
      </c>
      <c r="JXK339" s="42" t="s">
        <v>608</v>
      </c>
      <c r="JXL339" s="42" t="s">
        <v>608</v>
      </c>
      <c r="JXM339" s="42" t="s">
        <v>608</v>
      </c>
      <c r="JXN339" s="42" t="s">
        <v>608</v>
      </c>
      <c r="JXO339" s="42" t="s">
        <v>608</v>
      </c>
      <c r="JXP339" s="42" t="s">
        <v>608</v>
      </c>
      <c r="JXQ339" s="42" t="s">
        <v>608</v>
      </c>
      <c r="JXR339" s="42" t="s">
        <v>608</v>
      </c>
      <c r="JXS339" s="42" t="s">
        <v>608</v>
      </c>
      <c r="JXT339" s="42" t="s">
        <v>608</v>
      </c>
      <c r="JXU339" s="42" t="s">
        <v>608</v>
      </c>
      <c r="JXV339" s="42" t="s">
        <v>608</v>
      </c>
      <c r="JXW339" s="42" t="s">
        <v>608</v>
      </c>
      <c r="JXX339" s="42" t="s">
        <v>608</v>
      </c>
      <c r="JXY339" s="42" t="s">
        <v>608</v>
      </c>
      <c r="JXZ339" s="42" t="s">
        <v>608</v>
      </c>
      <c r="JYA339" s="42" t="s">
        <v>608</v>
      </c>
      <c r="JYB339" s="42" t="s">
        <v>608</v>
      </c>
      <c r="JYC339" s="42" t="s">
        <v>608</v>
      </c>
      <c r="JYD339" s="42" t="s">
        <v>608</v>
      </c>
      <c r="JYE339" s="42" t="s">
        <v>608</v>
      </c>
      <c r="JYF339" s="42" t="s">
        <v>608</v>
      </c>
      <c r="JYG339" s="42" t="s">
        <v>608</v>
      </c>
      <c r="JYH339" s="42" t="s">
        <v>608</v>
      </c>
      <c r="JYI339" s="42" t="s">
        <v>608</v>
      </c>
      <c r="JYJ339" s="42" t="s">
        <v>608</v>
      </c>
      <c r="JYK339" s="42" t="s">
        <v>608</v>
      </c>
      <c r="JYL339" s="42" t="s">
        <v>608</v>
      </c>
      <c r="JYM339" s="42" t="s">
        <v>608</v>
      </c>
      <c r="JYN339" s="42" t="s">
        <v>608</v>
      </c>
      <c r="JYO339" s="42" t="s">
        <v>608</v>
      </c>
      <c r="JYP339" s="42" t="s">
        <v>608</v>
      </c>
      <c r="JYQ339" s="42" t="s">
        <v>608</v>
      </c>
      <c r="JYR339" s="42" t="s">
        <v>608</v>
      </c>
      <c r="JYS339" s="42" t="s">
        <v>608</v>
      </c>
      <c r="JYT339" s="42" t="s">
        <v>608</v>
      </c>
      <c r="JYU339" s="42" t="s">
        <v>608</v>
      </c>
      <c r="JYV339" s="42" t="s">
        <v>608</v>
      </c>
      <c r="JYW339" s="42" t="s">
        <v>608</v>
      </c>
      <c r="JYX339" s="42" t="s">
        <v>608</v>
      </c>
      <c r="JYY339" s="42" t="s">
        <v>608</v>
      </c>
      <c r="JYZ339" s="42" t="s">
        <v>608</v>
      </c>
      <c r="JZA339" s="42" t="s">
        <v>608</v>
      </c>
      <c r="JZB339" s="42" t="s">
        <v>608</v>
      </c>
      <c r="JZC339" s="42" t="s">
        <v>608</v>
      </c>
      <c r="JZD339" s="42" t="s">
        <v>608</v>
      </c>
      <c r="JZE339" s="42" t="s">
        <v>608</v>
      </c>
      <c r="JZF339" s="42" t="s">
        <v>608</v>
      </c>
      <c r="JZG339" s="42" t="s">
        <v>608</v>
      </c>
      <c r="JZH339" s="42" t="s">
        <v>608</v>
      </c>
      <c r="JZI339" s="42" t="s">
        <v>608</v>
      </c>
      <c r="JZJ339" s="42" t="s">
        <v>608</v>
      </c>
      <c r="JZK339" s="42" t="s">
        <v>608</v>
      </c>
      <c r="JZL339" s="42" t="s">
        <v>608</v>
      </c>
      <c r="JZM339" s="42" t="s">
        <v>608</v>
      </c>
      <c r="JZN339" s="42" t="s">
        <v>608</v>
      </c>
      <c r="JZO339" s="42" t="s">
        <v>608</v>
      </c>
      <c r="JZP339" s="42" t="s">
        <v>608</v>
      </c>
      <c r="JZQ339" s="42" t="s">
        <v>608</v>
      </c>
      <c r="JZR339" s="42" t="s">
        <v>608</v>
      </c>
      <c r="JZS339" s="42" t="s">
        <v>608</v>
      </c>
      <c r="JZT339" s="42" t="s">
        <v>608</v>
      </c>
      <c r="JZU339" s="42" t="s">
        <v>608</v>
      </c>
      <c r="JZV339" s="42" t="s">
        <v>608</v>
      </c>
      <c r="JZW339" s="42" t="s">
        <v>608</v>
      </c>
      <c r="JZX339" s="42" t="s">
        <v>608</v>
      </c>
      <c r="JZY339" s="42" t="s">
        <v>608</v>
      </c>
      <c r="JZZ339" s="42" t="s">
        <v>608</v>
      </c>
      <c r="KAA339" s="42" t="s">
        <v>608</v>
      </c>
      <c r="KAB339" s="42" t="s">
        <v>608</v>
      </c>
      <c r="KAC339" s="42" t="s">
        <v>608</v>
      </c>
      <c r="KAD339" s="42" t="s">
        <v>608</v>
      </c>
      <c r="KAE339" s="42" t="s">
        <v>608</v>
      </c>
      <c r="KAF339" s="42" t="s">
        <v>608</v>
      </c>
      <c r="KAG339" s="42" t="s">
        <v>608</v>
      </c>
      <c r="KAH339" s="42" t="s">
        <v>608</v>
      </c>
      <c r="KAI339" s="42" t="s">
        <v>608</v>
      </c>
      <c r="KAJ339" s="42" t="s">
        <v>608</v>
      </c>
      <c r="KAK339" s="42" t="s">
        <v>608</v>
      </c>
      <c r="KAL339" s="42" t="s">
        <v>608</v>
      </c>
      <c r="KAM339" s="42" t="s">
        <v>608</v>
      </c>
      <c r="KAN339" s="42" t="s">
        <v>608</v>
      </c>
      <c r="KAO339" s="42" t="s">
        <v>608</v>
      </c>
      <c r="KAP339" s="42" t="s">
        <v>608</v>
      </c>
      <c r="KAQ339" s="42" t="s">
        <v>608</v>
      </c>
      <c r="KAR339" s="42" t="s">
        <v>608</v>
      </c>
      <c r="KAS339" s="42" t="s">
        <v>608</v>
      </c>
      <c r="KAT339" s="42" t="s">
        <v>608</v>
      </c>
      <c r="KAU339" s="42" t="s">
        <v>608</v>
      </c>
      <c r="KAV339" s="42" t="s">
        <v>608</v>
      </c>
      <c r="KAW339" s="42" t="s">
        <v>608</v>
      </c>
      <c r="KAX339" s="42" t="s">
        <v>608</v>
      </c>
      <c r="KAY339" s="42" t="s">
        <v>608</v>
      </c>
      <c r="KAZ339" s="42" t="s">
        <v>608</v>
      </c>
      <c r="KBA339" s="42" t="s">
        <v>608</v>
      </c>
      <c r="KBB339" s="42" t="s">
        <v>608</v>
      </c>
      <c r="KBC339" s="42" t="s">
        <v>608</v>
      </c>
      <c r="KBD339" s="42" t="s">
        <v>608</v>
      </c>
      <c r="KBE339" s="42" t="s">
        <v>608</v>
      </c>
      <c r="KBF339" s="42" t="s">
        <v>608</v>
      </c>
      <c r="KBG339" s="42" t="s">
        <v>608</v>
      </c>
      <c r="KBH339" s="42" t="s">
        <v>608</v>
      </c>
      <c r="KBI339" s="42" t="s">
        <v>608</v>
      </c>
      <c r="KBJ339" s="42" t="s">
        <v>608</v>
      </c>
      <c r="KBK339" s="42" t="s">
        <v>608</v>
      </c>
      <c r="KBL339" s="42" t="s">
        <v>608</v>
      </c>
      <c r="KBM339" s="42" t="s">
        <v>608</v>
      </c>
      <c r="KBN339" s="42" t="s">
        <v>608</v>
      </c>
      <c r="KBO339" s="42" t="s">
        <v>608</v>
      </c>
      <c r="KBP339" s="42" t="s">
        <v>608</v>
      </c>
      <c r="KBQ339" s="42" t="s">
        <v>608</v>
      </c>
      <c r="KBR339" s="42" t="s">
        <v>608</v>
      </c>
      <c r="KBS339" s="42" t="s">
        <v>608</v>
      </c>
      <c r="KBT339" s="42" t="s">
        <v>608</v>
      </c>
      <c r="KBU339" s="42" t="s">
        <v>608</v>
      </c>
      <c r="KBV339" s="42" t="s">
        <v>608</v>
      </c>
      <c r="KBW339" s="42" t="s">
        <v>608</v>
      </c>
      <c r="KBX339" s="42" t="s">
        <v>608</v>
      </c>
      <c r="KBY339" s="42" t="s">
        <v>608</v>
      </c>
      <c r="KBZ339" s="42" t="s">
        <v>608</v>
      </c>
      <c r="KCA339" s="42" t="s">
        <v>608</v>
      </c>
      <c r="KCB339" s="42" t="s">
        <v>608</v>
      </c>
      <c r="KCC339" s="42" t="s">
        <v>608</v>
      </c>
      <c r="KCD339" s="42" t="s">
        <v>608</v>
      </c>
      <c r="KCE339" s="42" t="s">
        <v>608</v>
      </c>
      <c r="KCF339" s="42" t="s">
        <v>608</v>
      </c>
      <c r="KCG339" s="42" t="s">
        <v>608</v>
      </c>
      <c r="KCH339" s="42" t="s">
        <v>608</v>
      </c>
      <c r="KCI339" s="42" t="s">
        <v>608</v>
      </c>
      <c r="KCJ339" s="42" t="s">
        <v>608</v>
      </c>
      <c r="KCK339" s="42" t="s">
        <v>608</v>
      </c>
      <c r="KCL339" s="42" t="s">
        <v>608</v>
      </c>
      <c r="KCM339" s="42" t="s">
        <v>608</v>
      </c>
      <c r="KCN339" s="42" t="s">
        <v>608</v>
      </c>
      <c r="KCO339" s="42" t="s">
        <v>608</v>
      </c>
      <c r="KCP339" s="42" t="s">
        <v>608</v>
      </c>
      <c r="KCQ339" s="42" t="s">
        <v>608</v>
      </c>
      <c r="KCR339" s="42" t="s">
        <v>608</v>
      </c>
      <c r="KCS339" s="42" t="s">
        <v>608</v>
      </c>
      <c r="KCT339" s="42" t="s">
        <v>608</v>
      </c>
      <c r="KCU339" s="42" t="s">
        <v>608</v>
      </c>
      <c r="KCV339" s="42" t="s">
        <v>608</v>
      </c>
      <c r="KCW339" s="42" t="s">
        <v>608</v>
      </c>
      <c r="KCX339" s="42" t="s">
        <v>608</v>
      </c>
      <c r="KCY339" s="42" t="s">
        <v>608</v>
      </c>
      <c r="KCZ339" s="42" t="s">
        <v>608</v>
      </c>
      <c r="KDA339" s="42" t="s">
        <v>608</v>
      </c>
      <c r="KDB339" s="42" t="s">
        <v>608</v>
      </c>
      <c r="KDC339" s="42" t="s">
        <v>608</v>
      </c>
      <c r="KDD339" s="42" t="s">
        <v>608</v>
      </c>
      <c r="KDE339" s="42" t="s">
        <v>608</v>
      </c>
      <c r="KDF339" s="42" t="s">
        <v>608</v>
      </c>
      <c r="KDG339" s="42" t="s">
        <v>608</v>
      </c>
      <c r="KDH339" s="42" t="s">
        <v>608</v>
      </c>
      <c r="KDI339" s="42" t="s">
        <v>608</v>
      </c>
      <c r="KDJ339" s="42" t="s">
        <v>608</v>
      </c>
      <c r="KDK339" s="42" t="s">
        <v>608</v>
      </c>
      <c r="KDL339" s="42" t="s">
        <v>608</v>
      </c>
      <c r="KDM339" s="42" t="s">
        <v>608</v>
      </c>
      <c r="KDN339" s="42" t="s">
        <v>608</v>
      </c>
      <c r="KDO339" s="42" t="s">
        <v>608</v>
      </c>
      <c r="KDP339" s="42" t="s">
        <v>608</v>
      </c>
      <c r="KDQ339" s="42" t="s">
        <v>608</v>
      </c>
      <c r="KDR339" s="42" t="s">
        <v>608</v>
      </c>
      <c r="KDS339" s="42" t="s">
        <v>608</v>
      </c>
      <c r="KDT339" s="42" t="s">
        <v>608</v>
      </c>
      <c r="KDU339" s="42" t="s">
        <v>608</v>
      </c>
      <c r="KDV339" s="42" t="s">
        <v>608</v>
      </c>
      <c r="KDW339" s="42" t="s">
        <v>608</v>
      </c>
      <c r="KDX339" s="42" t="s">
        <v>608</v>
      </c>
      <c r="KDY339" s="42" t="s">
        <v>608</v>
      </c>
      <c r="KDZ339" s="42" t="s">
        <v>608</v>
      </c>
      <c r="KEA339" s="42" t="s">
        <v>608</v>
      </c>
      <c r="KEB339" s="42" t="s">
        <v>608</v>
      </c>
      <c r="KEC339" s="42" t="s">
        <v>608</v>
      </c>
      <c r="KED339" s="42" t="s">
        <v>608</v>
      </c>
      <c r="KEE339" s="42" t="s">
        <v>608</v>
      </c>
      <c r="KEF339" s="42" t="s">
        <v>608</v>
      </c>
      <c r="KEG339" s="42" t="s">
        <v>608</v>
      </c>
      <c r="KEH339" s="42" t="s">
        <v>608</v>
      </c>
      <c r="KEI339" s="42" t="s">
        <v>608</v>
      </c>
      <c r="KEJ339" s="42" t="s">
        <v>608</v>
      </c>
      <c r="KEK339" s="42" t="s">
        <v>608</v>
      </c>
      <c r="KEL339" s="42" t="s">
        <v>608</v>
      </c>
      <c r="KEM339" s="42" t="s">
        <v>608</v>
      </c>
      <c r="KEN339" s="42" t="s">
        <v>608</v>
      </c>
      <c r="KEO339" s="42" t="s">
        <v>608</v>
      </c>
      <c r="KEP339" s="42" t="s">
        <v>608</v>
      </c>
      <c r="KEQ339" s="42" t="s">
        <v>608</v>
      </c>
      <c r="KER339" s="42" t="s">
        <v>608</v>
      </c>
      <c r="KES339" s="42" t="s">
        <v>608</v>
      </c>
      <c r="KET339" s="42" t="s">
        <v>608</v>
      </c>
      <c r="KEU339" s="42" t="s">
        <v>608</v>
      </c>
      <c r="KEV339" s="42" t="s">
        <v>608</v>
      </c>
      <c r="KEW339" s="42" t="s">
        <v>608</v>
      </c>
      <c r="KEX339" s="42" t="s">
        <v>608</v>
      </c>
      <c r="KEY339" s="42" t="s">
        <v>608</v>
      </c>
      <c r="KEZ339" s="42" t="s">
        <v>608</v>
      </c>
      <c r="KFA339" s="42" t="s">
        <v>608</v>
      </c>
      <c r="KFB339" s="42" t="s">
        <v>608</v>
      </c>
      <c r="KFC339" s="42" t="s">
        <v>608</v>
      </c>
      <c r="KFD339" s="42" t="s">
        <v>608</v>
      </c>
      <c r="KFE339" s="42" t="s">
        <v>608</v>
      </c>
      <c r="KFF339" s="42" t="s">
        <v>608</v>
      </c>
      <c r="KFG339" s="42" t="s">
        <v>608</v>
      </c>
      <c r="KFH339" s="42" t="s">
        <v>608</v>
      </c>
      <c r="KFI339" s="42" t="s">
        <v>608</v>
      </c>
      <c r="KFJ339" s="42" t="s">
        <v>608</v>
      </c>
      <c r="KFK339" s="42" t="s">
        <v>608</v>
      </c>
      <c r="KFL339" s="42" t="s">
        <v>608</v>
      </c>
      <c r="KFM339" s="42" t="s">
        <v>608</v>
      </c>
      <c r="KFN339" s="42" t="s">
        <v>608</v>
      </c>
      <c r="KFO339" s="42" t="s">
        <v>608</v>
      </c>
      <c r="KFP339" s="42" t="s">
        <v>608</v>
      </c>
      <c r="KFQ339" s="42" t="s">
        <v>608</v>
      </c>
      <c r="KFR339" s="42" t="s">
        <v>608</v>
      </c>
      <c r="KFS339" s="42" t="s">
        <v>608</v>
      </c>
      <c r="KFT339" s="42" t="s">
        <v>608</v>
      </c>
      <c r="KFU339" s="42" t="s">
        <v>608</v>
      </c>
      <c r="KFV339" s="42" t="s">
        <v>608</v>
      </c>
      <c r="KFW339" s="42" t="s">
        <v>608</v>
      </c>
      <c r="KFX339" s="42" t="s">
        <v>608</v>
      </c>
      <c r="KFY339" s="42" t="s">
        <v>608</v>
      </c>
      <c r="KFZ339" s="42" t="s">
        <v>608</v>
      </c>
      <c r="KGA339" s="42" t="s">
        <v>608</v>
      </c>
      <c r="KGB339" s="42" t="s">
        <v>608</v>
      </c>
      <c r="KGC339" s="42" t="s">
        <v>608</v>
      </c>
      <c r="KGD339" s="42" t="s">
        <v>608</v>
      </c>
      <c r="KGE339" s="42" t="s">
        <v>608</v>
      </c>
      <c r="KGF339" s="42" t="s">
        <v>608</v>
      </c>
      <c r="KGG339" s="42" t="s">
        <v>608</v>
      </c>
      <c r="KGH339" s="42" t="s">
        <v>608</v>
      </c>
      <c r="KGI339" s="42" t="s">
        <v>608</v>
      </c>
      <c r="KGJ339" s="42" t="s">
        <v>608</v>
      </c>
      <c r="KGK339" s="42" t="s">
        <v>608</v>
      </c>
      <c r="KGL339" s="42" t="s">
        <v>608</v>
      </c>
      <c r="KGM339" s="42" t="s">
        <v>608</v>
      </c>
      <c r="KGN339" s="42" t="s">
        <v>608</v>
      </c>
      <c r="KGO339" s="42" t="s">
        <v>608</v>
      </c>
      <c r="KGP339" s="42" t="s">
        <v>608</v>
      </c>
      <c r="KGQ339" s="42" t="s">
        <v>608</v>
      </c>
      <c r="KGR339" s="42" t="s">
        <v>608</v>
      </c>
      <c r="KGS339" s="42" t="s">
        <v>608</v>
      </c>
      <c r="KGT339" s="42" t="s">
        <v>608</v>
      </c>
      <c r="KGU339" s="42" t="s">
        <v>608</v>
      </c>
      <c r="KGV339" s="42" t="s">
        <v>608</v>
      </c>
      <c r="KGW339" s="42" t="s">
        <v>608</v>
      </c>
      <c r="KGX339" s="42" t="s">
        <v>608</v>
      </c>
      <c r="KGY339" s="42" t="s">
        <v>608</v>
      </c>
      <c r="KGZ339" s="42" t="s">
        <v>608</v>
      </c>
      <c r="KHA339" s="42" t="s">
        <v>608</v>
      </c>
      <c r="KHB339" s="42" t="s">
        <v>608</v>
      </c>
      <c r="KHC339" s="42" t="s">
        <v>608</v>
      </c>
      <c r="KHD339" s="42" t="s">
        <v>608</v>
      </c>
      <c r="KHE339" s="42" t="s">
        <v>608</v>
      </c>
      <c r="KHF339" s="42" t="s">
        <v>608</v>
      </c>
      <c r="KHG339" s="42" t="s">
        <v>608</v>
      </c>
      <c r="KHH339" s="42" t="s">
        <v>608</v>
      </c>
      <c r="KHI339" s="42" t="s">
        <v>608</v>
      </c>
      <c r="KHJ339" s="42" t="s">
        <v>608</v>
      </c>
      <c r="KHK339" s="42" t="s">
        <v>608</v>
      </c>
      <c r="KHL339" s="42" t="s">
        <v>608</v>
      </c>
      <c r="KHM339" s="42" t="s">
        <v>608</v>
      </c>
      <c r="KHN339" s="42" t="s">
        <v>608</v>
      </c>
      <c r="KHO339" s="42" t="s">
        <v>608</v>
      </c>
      <c r="KHP339" s="42" t="s">
        <v>608</v>
      </c>
      <c r="KHQ339" s="42" t="s">
        <v>608</v>
      </c>
      <c r="KHR339" s="42" t="s">
        <v>608</v>
      </c>
      <c r="KHS339" s="42" t="s">
        <v>608</v>
      </c>
      <c r="KHT339" s="42" t="s">
        <v>608</v>
      </c>
      <c r="KHU339" s="42" t="s">
        <v>608</v>
      </c>
      <c r="KHV339" s="42" t="s">
        <v>608</v>
      </c>
      <c r="KHW339" s="42" t="s">
        <v>608</v>
      </c>
      <c r="KHX339" s="42" t="s">
        <v>608</v>
      </c>
      <c r="KHY339" s="42" t="s">
        <v>608</v>
      </c>
      <c r="KHZ339" s="42" t="s">
        <v>608</v>
      </c>
      <c r="KIA339" s="42" t="s">
        <v>608</v>
      </c>
      <c r="KIB339" s="42" t="s">
        <v>608</v>
      </c>
      <c r="KIC339" s="42" t="s">
        <v>608</v>
      </c>
      <c r="KID339" s="42" t="s">
        <v>608</v>
      </c>
      <c r="KIE339" s="42" t="s">
        <v>608</v>
      </c>
      <c r="KIF339" s="42" t="s">
        <v>608</v>
      </c>
      <c r="KIG339" s="42" t="s">
        <v>608</v>
      </c>
      <c r="KIH339" s="42" t="s">
        <v>608</v>
      </c>
      <c r="KII339" s="42" t="s">
        <v>608</v>
      </c>
      <c r="KIJ339" s="42" t="s">
        <v>608</v>
      </c>
      <c r="KIK339" s="42" t="s">
        <v>608</v>
      </c>
      <c r="KIL339" s="42" t="s">
        <v>608</v>
      </c>
      <c r="KIM339" s="42" t="s">
        <v>608</v>
      </c>
      <c r="KIN339" s="42" t="s">
        <v>608</v>
      </c>
      <c r="KIO339" s="42" t="s">
        <v>608</v>
      </c>
      <c r="KIP339" s="42" t="s">
        <v>608</v>
      </c>
      <c r="KIQ339" s="42" t="s">
        <v>608</v>
      </c>
      <c r="KIR339" s="42" t="s">
        <v>608</v>
      </c>
      <c r="KIS339" s="42" t="s">
        <v>608</v>
      </c>
      <c r="KIT339" s="42" t="s">
        <v>608</v>
      </c>
      <c r="KIU339" s="42" t="s">
        <v>608</v>
      </c>
      <c r="KIV339" s="42" t="s">
        <v>608</v>
      </c>
      <c r="KIW339" s="42" t="s">
        <v>608</v>
      </c>
      <c r="KIX339" s="42" t="s">
        <v>608</v>
      </c>
      <c r="KIY339" s="42" t="s">
        <v>608</v>
      </c>
      <c r="KIZ339" s="42" t="s">
        <v>608</v>
      </c>
      <c r="KJA339" s="42" t="s">
        <v>608</v>
      </c>
      <c r="KJB339" s="42" t="s">
        <v>608</v>
      </c>
      <c r="KJC339" s="42" t="s">
        <v>608</v>
      </c>
      <c r="KJD339" s="42" t="s">
        <v>608</v>
      </c>
      <c r="KJE339" s="42" t="s">
        <v>608</v>
      </c>
      <c r="KJF339" s="42" t="s">
        <v>608</v>
      </c>
      <c r="KJG339" s="42" t="s">
        <v>608</v>
      </c>
      <c r="KJH339" s="42" t="s">
        <v>608</v>
      </c>
      <c r="KJI339" s="42" t="s">
        <v>608</v>
      </c>
      <c r="KJJ339" s="42" t="s">
        <v>608</v>
      </c>
      <c r="KJK339" s="42" t="s">
        <v>608</v>
      </c>
      <c r="KJL339" s="42" t="s">
        <v>608</v>
      </c>
      <c r="KJM339" s="42" t="s">
        <v>608</v>
      </c>
      <c r="KJN339" s="42" t="s">
        <v>608</v>
      </c>
      <c r="KJO339" s="42" t="s">
        <v>608</v>
      </c>
      <c r="KJP339" s="42" t="s">
        <v>608</v>
      </c>
      <c r="KJQ339" s="42" t="s">
        <v>608</v>
      </c>
      <c r="KJR339" s="42" t="s">
        <v>608</v>
      </c>
      <c r="KJS339" s="42" t="s">
        <v>608</v>
      </c>
      <c r="KJT339" s="42" t="s">
        <v>608</v>
      </c>
      <c r="KJU339" s="42" t="s">
        <v>608</v>
      </c>
      <c r="KJV339" s="42" t="s">
        <v>608</v>
      </c>
      <c r="KJW339" s="42" t="s">
        <v>608</v>
      </c>
      <c r="KJX339" s="42" t="s">
        <v>608</v>
      </c>
      <c r="KJY339" s="42" t="s">
        <v>608</v>
      </c>
      <c r="KJZ339" s="42" t="s">
        <v>608</v>
      </c>
      <c r="KKA339" s="42" t="s">
        <v>608</v>
      </c>
      <c r="KKB339" s="42" t="s">
        <v>608</v>
      </c>
      <c r="KKC339" s="42" t="s">
        <v>608</v>
      </c>
      <c r="KKD339" s="42" t="s">
        <v>608</v>
      </c>
      <c r="KKE339" s="42" t="s">
        <v>608</v>
      </c>
      <c r="KKF339" s="42" t="s">
        <v>608</v>
      </c>
      <c r="KKG339" s="42" t="s">
        <v>608</v>
      </c>
      <c r="KKH339" s="42" t="s">
        <v>608</v>
      </c>
      <c r="KKI339" s="42" t="s">
        <v>608</v>
      </c>
      <c r="KKJ339" s="42" t="s">
        <v>608</v>
      </c>
      <c r="KKK339" s="42" t="s">
        <v>608</v>
      </c>
      <c r="KKL339" s="42" t="s">
        <v>608</v>
      </c>
      <c r="KKM339" s="42" t="s">
        <v>608</v>
      </c>
      <c r="KKN339" s="42" t="s">
        <v>608</v>
      </c>
      <c r="KKO339" s="42" t="s">
        <v>608</v>
      </c>
      <c r="KKP339" s="42" t="s">
        <v>608</v>
      </c>
      <c r="KKQ339" s="42" t="s">
        <v>608</v>
      </c>
      <c r="KKR339" s="42" t="s">
        <v>608</v>
      </c>
      <c r="KKS339" s="42" t="s">
        <v>608</v>
      </c>
      <c r="KKT339" s="42" t="s">
        <v>608</v>
      </c>
      <c r="KKU339" s="42" t="s">
        <v>608</v>
      </c>
      <c r="KKV339" s="42" t="s">
        <v>608</v>
      </c>
      <c r="KKW339" s="42" t="s">
        <v>608</v>
      </c>
      <c r="KKX339" s="42" t="s">
        <v>608</v>
      </c>
      <c r="KKY339" s="42" t="s">
        <v>608</v>
      </c>
      <c r="KKZ339" s="42" t="s">
        <v>608</v>
      </c>
      <c r="KLA339" s="42" t="s">
        <v>608</v>
      </c>
      <c r="KLB339" s="42" t="s">
        <v>608</v>
      </c>
      <c r="KLC339" s="42" t="s">
        <v>608</v>
      </c>
      <c r="KLD339" s="42" t="s">
        <v>608</v>
      </c>
      <c r="KLE339" s="42" t="s">
        <v>608</v>
      </c>
      <c r="KLF339" s="42" t="s">
        <v>608</v>
      </c>
      <c r="KLG339" s="42" t="s">
        <v>608</v>
      </c>
      <c r="KLH339" s="42" t="s">
        <v>608</v>
      </c>
      <c r="KLI339" s="42" t="s">
        <v>608</v>
      </c>
      <c r="KLJ339" s="42" t="s">
        <v>608</v>
      </c>
      <c r="KLK339" s="42" t="s">
        <v>608</v>
      </c>
      <c r="KLL339" s="42" t="s">
        <v>608</v>
      </c>
      <c r="KLM339" s="42" t="s">
        <v>608</v>
      </c>
      <c r="KLN339" s="42" t="s">
        <v>608</v>
      </c>
      <c r="KLO339" s="42" t="s">
        <v>608</v>
      </c>
      <c r="KLP339" s="42" t="s">
        <v>608</v>
      </c>
      <c r="KLQ339" s="42" t="s">
        <v>608</v>
      </c>
      <c r="KLR339" s="42" t="s">
        <v>608</v>
      </c>
      <c r="KLS339" s="42" t="s">
        <v>608</v>
      </c>
      <c r="KLT339" s="42" t="s">
        <v>608</v>
      </c>
      <c r="KLU339" s="42" t="s">
        <v>608</v>
      </c>
      <c r="KLV339" s="42" t="s">
        <v>608</v>
      </c>
      <c r="KLW339" s="42" t="s">
        <v>608</v>
      </c>
      <c r="KLX339" s="42" t="s">
        <v>608</v>
      </c>
      <c r="KLY339" s="42" t="s">
        <v>608</v>
      </c>
      <c r="KLZ339" s="42" t="s">
        <v>608</v>
      </c>
      <c r="KMA339" s="42" t="s">
        <v>608</v>
      </c>
      <c r="KMB339" s="42" t="s">
        <v>608</v>
      </c>
      <c r="KMC339" s="42" t="s">
        <v>608</v>
      </c>
      <c r="KMD339" s="42" t="s">
        <v>608</v>
      </c>
      <c r="KME339" s="42" t="s">
        <v>608</v>
      </c>
      <c r="KMF339" s="42" t="s">
        <v>608</v>
      </c>
      <c r="KMG339" s="42" t="s">
        <v>608</v>
      </c>
      <c r="KMH339" s="42" t="s">
        <v>608</v>
      </c>
      <c r="KMI339" s="42" t="s">
        <v>608</v>
      </c>
      <c r="KMJ339" s="42" t="s">
        <v>608</v>
      </c>
      <c r="KMK339" s="42" t="s">
        <v>608</v>
      </c>
      <c r="KML339" s="42" t="s">
        <v>608</v>
      </c>
      <c r="KMM339" s="42" t="s">
        <v>608</v>
      </c>
      <c r="KMN339" s="42" t="s">
        <v>608</v>
      </c>
      <c r="KMO339" s="42" t="s">
        <v>608</v>
      </c>
      <c r="KMP339" s="42" t="s">
        <v>608</v>
      </c>
      <c r="KMQ339" s="42" t="s">
        <v>608</v>
      </c>
      <c r="KMR339" s="42" t="s">
        <v>608</v>
      </c>
      <c r="KMS339" s="42" t="s">
        <v>608</v>
      </c>
      <c r="KMT339" s="42" t="s">
        <v>608</v>
      </c>
      <c r="KMU339" s="42" t="s">
        <v>608</v>
      </c>
      <c r="KMV339" s="42" t="s">
        <v>608</v>
      </c>
      <c r="KMW339" s="42" t="s">
        <v>608</v>
      </c>
      <c r="KMX339" s="42" t="s">
        <v>608</v>
      </c>
      <c r="KMY339" s="42" t="s">
        <v>608</v>
      </c>
      <c r="KMZ339" s="42" t="s">
        <v>608</v>
      </c>
      <c r="KNA339" s="42" t="s">
        <v>608</v>
      </c>
      <c r="KNB339" s="42" t="s">
        <v>608</v>
      </c>
      <c r="KNC339" s="42" t="s">
        <v>608</v>
      </c>
      <c r="KND339" s="42" t="s">
        <v>608</v>
      </c>
      <c r="KNE339" s="42" t="s">
        <v>608</v>
      </c>
      <c r="KNF339" s="42" t="s">
        <v>608</v>
      </c>
      <c r="KNG339" s="42" t="s">
        <v>608</v>
      </c>
      <c r="KNH339" s="42" t="s">
        <v>608</v>
      </c>
      <c r="KNI339" s="42" t="s">
        <v>608</v>
      </c>
      <c r="KNJ339" s="42" t="s">
        <v>608</v>
      </c>
      <c r="KNK339" s="42" t="s">
        <v>608</v>
      </c>
      <c r="KNL339" s="42" t="s">
        <v>608</v>
      </c>
      <c r="KNM339" s="42" t="s">
        <v>608</v>
      </c>
      <c r="KNN339" s="42" t="s">
        <v>608</v>
      </c>
      <c r="KNO339" s="42" t="s">
        <v>608</v>
      </c>
      <c r="KNP339" s="42" t="s">
        <v>608</v>
      </c>
      <c r="KNQ339" s="42" t="s">
        <v>608</v>
      </c>
      <c r="KNR339" s="42" t="s">
        <v>608</v>
      </c>
      <c r="KNS339" s="42" t="s">
        <v>608</v>
      </c>
      <c r="KNT339" s="42" t="s">
        <v>608</v>
      </c>
      <c r="KNU339" s="42" t="s">
        <v>608</v>
      </c>
      <c r="KNV339" s="42" t="s">
        <v>608</v>
      </c>
      <c r="KNW339" s="42" t="s">
        <v>608</v>
      </c>
      <c r="KNX339" s="42" t="s">
        <v>608</v>
      </c>
      <c r="KNY339" s="42" t="s">
        <v>608</v>
      </c>
      <c r="KNZ339" s="42" t="s">
        <v>608</v>
      </c>
      <c r="KOA339" s="42" t="s">
        <v>608</v>
      </c>
      <c r="KOB339" s="42" t="s">
        <v>608</v>
      </c>
      <c r="KOC339" s="42" t="s">
        <v>608</v>
      </c>
      <c r="KOD339" s="42" t="s">
        <v>608</v>
      </c>
      <c r="KOE339" s="42" t="s">
        <v>608</v>
      </c>
      <c r="KOF339" s="42" t="s">
        <v>608</v>
      </c>
      <c r="KOG339" s="42" t="s">
        <v>608</v>
      </c>
      <c r="KOH339" s="42" t="s">
        <v>608</v>
      </c>
      <c r="KOI339" s="42" t="s">
        <v>608</v>
      </c>
      <c r="KOJ339" s="42" t="s">
        <v>608</v>
      </c>
      <c r="KOK339" s="42" t="s">
        <v>608</v>
      </c>
      <c r="KOL339" s="42" t="s">
        <v>608</v>
      </c>
      <c r="KOM339" s="42" t="s">
        <v>608</v>
      </c>
      <c r="KON339" s="42" t="s">
        <v>608</v>
      </c>
      <c r="KOO339" s="42" t="s">
        <v>608</v>
      </c>
      <c r="KOP339" s="42" t="s">
        <v>608</v>
      </c>
      <c r="KOQ339" s="42" t="s">
        <v>608</v>
      </c>
      <c r="KOR339" s="42" t="s">
        <v>608</v>
      </c>
      <c r="KOS339" s="42" t="s">
        <v>608</v>
      </c>
      <c r="KOT339" s="42" t="s">
        <v>608</v>
      </c>
      <c r="KOU339" s="42" t="s">
        <v>608</v>
      </c>
      <c r="KOV339" s="42" t="s">
        <v>608</v>
      </c>
      <c r="KOW339" s="42" t="s">
        <v>608</v>
      </c>
      <c r="KOX339" s="42" t="s">
        <v>608</v>
      </c>
      <c r="KOY339" s="42" t="s">
        <v>608</v>
      </c>
      <c r="KOZ339" s="42" t="s">
        <v>608</v>
      </c>
      <c r="KPA339" s="42" t="s">
        <v>608</v>
      </c>
      <c r="KPB339" s="42" t="s">
        <v>608</v>
      </c>
      <c r="KPC339" s="42" t="s">
        <v>608</v>
      </c>
      <c r="KPD339" s="42" t="s">
        <v>608</v>
      </c>
      <c r="KPE339" s="42" t="s">
        <v>608</v>
      </c>
      <c r="KPF339" s="42" t="s">
        <v>608</v>
      </c>
      <c r="KPG339" s="42" t="s">
        <v>608</v>
      </c>
      <c r="KPH339" s="42" t="s">
        <v>608</v>
      </c>
      <c r="KPI339" s="42" t="s">
        <v>608</v>
      </c>
      <c r="KPJ339" s="42" t="s">
        <v>608</v>
      </c>
      <c r="KPK339" s="42" t="s">
        <v>608</v>
      </c>
      <c r="KPL339" s="42" t="s">
        <v>608</v>
      </c>
      <c r="KPM339" s="42" t="s">
        <v>608</v>
      </c>
      <c r="KPN339" s="42" t="s">
        <v>608</v>
      </c>
      <c r="KPO339" s="42" t="s">
        <v>608</v>
      </c>
      <c r="KPP339" s="42" t="s">
        <v>608</v>
      </c>
      <c r="KPQ339" s="42" t="s">
        <v>608</v>
      </c>
      <c r="KPR339" s="42" t="s">
        <v>608</v>
      </c>
      <c r="KPS339" s="42" t="s">
        <v>608</v>
      </c>
      <c r="KPT339" s="42" t="s">
        <v>608</v>
      </c>
      <c r="KPU339" s="42" t="s">
        <v>608</v>
      </c>
      <c r="KPV339" s="42" t="s">
        <v>608</v>
      </c>
      <c r="KPW339" s="42" t="s">
        <v>608</v>
      </c>
      <c r="KPX339" s="42" t="s">
        <v>608</v>
      </c>
      <c r="KPY339" s="42" t="s">
        <v>608</v>
      </c>
      <c r="KPZ339" s="42" t="s">
        <v>608</v>
      </c>
      <c r="KQA339" s="42" t="s">
        <v>608</v>
      </c>
      <c r="KQB339" s="42" t="s">
        <v>608</v>
      </c>
      <c r="KQC339" s="42" t="s">
        <v>608</v>
      </c>
      <c r="KQD339" s="42" t="s">
        <v>608</v>
      </c>
      <c r="KQE339" s="42" t="s">
        <v>608</v>
      </c>
      <c r="KQF339" s="42" t="s">
        <v>608</v>
      </c>
      <c r="KQG339" s="42" t="s">
        <v>608</v>
      </c>
      <c r="KQH339" s="42" t="s">
        <v>608</v>
      </c>
      <c r="KQI339" s="42" t="s">
        <v>608</v>
      </c>
      <c r="KQJ339" s="42" t="s">
        <v>608</v>
      </c>
      <c r="KQK339" s="42" t="s">
        <v>608</v>
      </c>
      <c r="KQL339" s="42" t="s">
        <v>608</v>
      </c>
      <c r="KQM339" s="42" t="s">
        <v>608</v>
      </c>
      <c r="KQN339" s="42" t="s">
        <v>608</v>
      </c>
      <c r="KQO339" s="42" t="s">
        <v>608</v>
      </c>
      <c r="KQP339" s="42" t="s">
        <v>608</v>
      </c>
      <c r="KQQ339" s="42" t="s">
        <v>608</v>
      </c>
      <c r="KQR339" s="42" t="s">
        <v>608</v>
      </c>
      <c r="KQS339" s="42" t="s">
        <v>608</v>
      </c>
      <c r="KQT339" s="42" t="s">
        <v>608</v>
      </c>
      <c r="KQU339" s="42" t="s">
        <v>608</v>
      </c>
      <c r="KQV339" s="42" t="s">
        <v>608</v>
      </c>
      <c r="KQW339" s="42" t="s">
        <v>608</v>
      </c>
      <c r="KQX339" s="42" t="s">
        <v>608</v>
      </c>
      <c r="KQY339" s="42" t="s">
        <v>608</v>
      </c>
      <c r="KQZ339" s="42" t="s">
        <v>608</v>
      </c>
      <c r="KRA339" s="42" t="s">
        <v>608</v>
      </c>
      <c r="KRB339" s="42" t="s">
        <v>608</v>
      </c>
      <c r="KRC339" s="42" t="s">
        <v>608</v>
      </c>
      <c r="KRD339" s="42" t="s">
        <v>608</v>
      </c>
      <c r="KRE339" s="42" t="s">
        <v>608</v>
      </c>
      <c r="KRF339" s="42" t="s">
        <v>608</v>
      </c>
      <c r="KRG339" s="42" t="s">
        <v>608</v>
      </c>
      <c r="KRH339" s="42" t="s">
        <v>608</v>
      </c>
      <c r="KRI339" s="42" t="s">
        <v>608</v>
      </c>
      <c r="KRJ339" s="42" t="s">
        <v>608</v>
      </c>
      <c r="KRK339" s="42" t="s">
        <v>608</v>
      </c>
      <c r="KRL339" s="42" t="s">
        <v>608</v>
      </c>
      <c r="KRM339" s="42" t="s">
        <v>608</v>
      </c>
      <c r="KRN339" s="42" t="s">
        <v>608</v>
      </c>
      <c r="KRO339" s="42" t="s">
        <v>608</v>
      </c>
      <c r="KRP339" s="42" t="s">
        <v>608</v>
      </c>
      <c r="KRQ339" s="42" t="s">
        <v>608</v>
      </c>
      <c r="KRR339" s="42" t="s">
        <v>608</v>
      </c>
      <c r="KRS339" s="42" t="s">
        <v>608</v>
      </c>
      <c r="KRT339" s="42" t="s">
        <v>608</v>
      </c>
      <c r="KRU339" s="42" t="s">
        <v>608</v>
      </c>
      <c r="KRV339" s="42" t="s">
        <v>608</v>
      </c>
      <c r="KRW339" s="42" t="s">
        <v>608</v>
      </c>
      <c r="KRX339" s="42" t="s">
        <v>608</v>
      </c>
      <c r="KRY339" s="42" t="s">
        <v>608</v>
      </c>
      <c r="KRZ339" s="42" t="s">
        <v>608</v>
      </c>
      <c r="KSA339" s="42" t="s">
        <v>608</v>
      </c>
      <c r="KSB339" s="42" t="s">
        <v>608</v>
      </c>
      <c r="KSC339" s="42" t="s">
        <v>608</v>
      </c>
      <c r="KSD339" s="42" t="s">
        <v>608</v>
      </c>
      <c r="KSE339" s="42" t="s">
        <v>608</v>
      </c>
      <c r="KSF339" s="42" t="s">
        <v>608</v>
      </c>
      <c r="KSG339" s="42" t="s">
        <v>608</v>
      </c>
      <c r="KSH339" s="42" t="s">
        <v>608</v>
      </c>
      <c r="KSI339" s="42" t="s">
        <v>608</v>
      </c>
      <c r="KSJ339" s="42" t="s">
        <v>608</v>
      </c>
      <c r="KSK339" s="42" t="s">
        <v>608</v>
      </c>
      <c r="KSL339" s="42" t="s">
        <v>608</v>
      </c>
      <c r="KSM339" s="42" t="s">
        <v>608</v>
      </c>
      <c r="KSN339" s="42" t="s">
        <v>608</v>
      </c>
      <c r="KSO339" s="42" t="s">
        <v>608</v>
      </c>
      <c r="KSP339" s="42" t="s">
        <v>608</v>
      </c>
      <c r="KSQ339" s="42" t="s">
        <v>608</v>
      </c>
      <c r="KSR339" s="42" t="s">
        <v>608</v>
      </c>
      <c r="KSS339" s="42" t="s">
        <v>608</v>
      </c>
      <c r="KST339" s="42" t="s">
        <v>608</v>
      </c>
      <c r="KSU339" s="42" t="s">
        <v>608</v>
      </c>
      <c r="KSV339" s="42" t="s">
        <v>608</v>
      </c>
      <c r="KSW339" s="42" t="s">
        <v>608</v>
      </c>
      <c r="KSX339" s="42" t="s">
        <v>608</v>
      </c>
      <c r="KSY339" s="42" t="s">
        <v>608</v>
      </c>
      <c r="KSZ339" s="42" t="s">
        <v>608</v>
      </c>
      <c r="KTA339" s="42" t="s">
        <v>608</v>
      </c>
      <c r="KTB339" s="42" t="s">
        <v>608</v>
      </c>
      <c r="KTC339" s="42" t="s">
        <v>608</v>
      </c>
      <c r="KTD339" s="42" t="s">
        <v>608</v>
      </c>
      <c r="KTE339" s="42" t="s">
        <v>608</v>
      </c>
      <c r="KTF339" s="42" t="s">
        <v>608</v>
      </c>
      <c r="KTG339" s="42" t="s">
        <v>608</v>
      </c>
      <c r="KTH339" s="42" t="s">
        <v>608</v>
      </c>
      <c r="KTI339" s="42" t="s">
        <v>608</v>
      </c>
      <c r="KTJ339" s="42" t="s">
        <v>608</v>
      </c>
      <c r="KTK339" s="42" t="s">
        <v>608</v>
      </c>
      <c r="KTL339" s="42" t="s">
        <v>608</v>
      </c>
      <c r="KTM339" s="42" t="s">
        <v>608</v>
      </c>
      <c r="KTN339" s="42" t="s">
        <v>608</v>
      </c>
      <c r="KTO339" s="42" t="s">
        <v>608</v>
      </c>
      <c r="KTP339" s="42" t="s">
        <v>608</v>
      </c>
      <c r="KTQ339" s="42" t="s">
        <v>608</v>
      </c>
      <c r="KTR339" s="42" t="s">
        <v>608</v>
      </c>
      <c r="KTS339" s="42" t="s">
        <v>608</v>
      </c>
      <c r="KTT339" s="42" t="s">
        <v>608</v>
      </c>
      <c r="KTU339" s="42" t="s">
        <v>608</v>
      </c>
      <c r="KTV339" s="42" t="s">
        <v>608</v>
      </c>
      <c r="KTW339" s="42" t="s">
        <v>608</v>
      </c>
      <c r="KTX339" s="42" t="s">
        <v>608</v>
      </c>
      <c r="KTY339" s="42" t="s">
        <v>608</v>
      </c>
      <c r="KTZ339" s="42" t="s">
        <v>608</v>
      </c>
      <c r="KUA339" s="42" t="s">
        <v>608</v>
      </c>
      <c r="KUB339" s="42" t="s">
        <v>608</v>
      </c>
      <c r="KUC339" s="42" t="s">
        <v>608</v>
      </c>
      <c r="KUD339" s="42" t="s">
        <v>608</v>
      </c>
      <c r="KUE339" s="42" t="s">
        <v>608</v>
      </c>
      <c r="KUF339" s="42" t="s">
        <v>608</v>
      </c>
      <c r="KUG339" s="42" t="s">
        <v>608</v>
      </c>
      <c r="KUH339" s="42" t="s">
        <v>608</v>
      </c>
      <c r="KUI339" s="42" t="s">
        <v>608</v>
      </c>
      <c r="KUJ339" s="42" t="s">
        <v>608</v>
      </c>
      <c r="KUK339" s="42" t="s">
        <v>608</v>
      </c>
      <c r="KUL339" s="42" t="s">
        <v>608</v>
      </c>
      <c r="KUM339" s="42" t="s">
        <v>608</v>
      </c>
      <c r="KUN339" s="42" t="s">
        <v>608</v>
      </c>
      <c r="KUO339" s="42" t="s">
        <v>608</v>
      </c>
      <c r="KUP339" s="42" t="s">
        <v>608</v>
      </c>
      <c r="KUQ339" s="42" t="s">
        <v>608</v>
      </c>
      <c r="KUR339" s="42" t="s">
        <v>608</v>
      </c>
      <c r="KUS339" s="42" t="s">
        <v>608</v>
      </c>
      <c r="KUT339" s="42" t="s">
        <v>608</v>
      </c>
      <c r="KUU339" s="42" t="s">
        <v>608</v>
      </c>
      <c r="KUV339" s="42" t="s">
        <v>608</v>
      </c>
      <c r="KUW339" s="42" t="s">
        <v>608</v>
      </c>
      <c r="KUX339" s="42" t="s">
        <v>608</v>
      </c>
      <c r="KUY339" s="42" t="s">
        <v>608</v>
      </c>
      <c r="KUZ339" s="42" t="s">
        <v>608</v>
      </c>
      <c r="KVA339" s="42" t="s">
        <v>608</v>
      </c>
      <c r="KVB339" s="42" t="s">
        <v>608</v>
      </c>
      <c r="KVC339" s="42" t="s">
        <v>608</v>
      </c>
      <c r="KVD339" s="42" t="s">
        <v>608</v>
      </c>
      <c r="KVE339" s="42" t="s">
        <v>608</v>
      </c>
      <c r="KVF339" s="42" t="s">
        <v>608</v>
      </c>
      <c r="KVG339" s="42" t="s">
        <v>608</v>
      </c>
      <c r="KVH339" s="42" t="s">
        <v>608</v>
      </c>
      <c r="KVI339" s="42" t="s">
        <v>608</v>
      </c>
      <c r="KVJ339" s="42" t="s">
        <v>608</v>
      </c>
      <c r="KVK339" s="42" t="s">
        <v>608</v>
      </c>
      <c r="KVL339" s="42" t="s">
        <v>608</v>
      </c>
      <c r="KVM339" s="42" t="s">
        <v>608</v>
      </c>
      <c r="KVN339" s="42" t="s">
        <v>608</v>
      </c>
      <c r="KVO339" s="42" t="s">
        <v>608</v>
      </c>
      <c r="KVP339" s="42" t="s">
        <v>608</v>
      </c>
      <c r="KVQ339" s="42" t="s">
        <v>608</v>
      </c>
      <c r="KVR339" s="42" t="s">
        <v>608</v>
      </c>
      <c r="KVS339" s="42" t="s">
        <v>608</v>
      </c>
      <c r="KVT339" s="42" t="s">
        <v>608</v>
      </c>
      <c r="KVU339" s="42" t="s">
        <v>608</v>
      </c>
      <c r="KVV339" s="42" t="s">
        <v>608</v>
      </c>
      <c r="KVW339" s="42" t="s">
        <v>608</v>
      </c>
      <c r="KVX339" s="42" t="s">
        <v>608</v>
      </c>
      <c r="KVY339" s="42" t="s">
        <v>608</v>
      </c>
      <c r="KVZ339" s="42" t="s">
        <v>608</v>
      </c>
      <c r="KWA339" s="42" t="s">
        <v>608</v>
      </c>
      <c r="KWB339" s="42" t="s">
        <v>608</v>
      </c>
      <c r="KWC339" s="42" t="s">
        <v>608</v>
      </c>
      <c r="KWD339" s="42" t="s">
        <v>608</v>
      </c>
      <c r="KWE339" s="42" t="s">
        <v>608</v>
      </c>
      <c r="KWF339" s="42" t="s">
        <v>608</v>
      </c>
      <c r="KWG339" s="42" t="s">
        <v>608</v>
      </c>
      <c r="KWH339" s="42" t="s">
        <v>608</v>
      </c>
      <c r="KWI339" s="42" t="s">
        <v>608</v>
      </c>
      <c r="KWJ339" s="42" t="s">
        <v>608</v>
      </c>
      <c r="KWK339" s="42" t="s">
        <v>608</v>
      </c>
      <c r="KWL339" s="42" t="s">
        <v>608</v>
      </c>
      <c r="KWM339" s="42" t="s">
        <v>608</v>
      </c>
      <c r="KWN339" s="42" t="s">
        <v>608</v>
      </c>
      <c r="KWO339" s="42" t="s">
        <v>608</v>
      </c>
      <c r="KWP339" s="42" t="s">
        <v>608</v>
      </c>
      <c r="KWQ339" s="42" t="s">
        <v>608</v>
      </c>
      <c r="KWR339" s="42" t="s">
        <v>608</v>
      </c>
      <c r="KWS339" s="42" t="s">
        <v>608</v>
      </c>
      <c r="KWT339" s="42" t="s">
        <v>608</v>
      </c>
      <c r="KWU339" s="42" t="s">
        <v>608</v>
      </c>
      <c r="KWV339" s="42" t="s">
        <v>608</v>
      </c>
      <c r="KWW339" s="42" t="s">
        <v>608</v>
      </c>
      <c r="KWX339" s="42" t="s">
        <v>608</v>
      </c>
      <c r="KWY339" s="42" t="s">
        <v>608</v>
      </c>
      <c r="KWZ339" s="42" t="s">
        <v>608</v>
      </c>
      <c r="KXA339" s="42" t="s">
        <v>608</v>
      </c>
      <c r="KXB339" s="42" t="s">
        <v>608</v>
      </c>
      <c r="KXC339" s="42" t="s">
        <v>608</v>
      </c>
      <c r="KXD339" s="42" t="s">
        <v>608</v>
      </c>
      <c r="KXE339" s="42" t="s">
        <v>608</v>
      </c>
      <c r="KXF339" s="42" t="s">
        <v>608</v>
      </c>
      <c r="KXG339" s="42" t="s">
        <v>608</v>
      </c>
      <c r="KXH339" s="42" t="s">
        <v>608</v>
      </c>
      <c r="KXI339" s="42" t="s">
        <v>608</v>
      </c>
      <c r="KXJ339" s="42" t="s">
        <v>608</v>
      </c>
      <c r="KXK339" s="42" t="s">
        <v>608</v>
      </c>
      <c r="KXL339" s="42" t="s">
        <v>608</v>
      </c>
      <c r="KXM339" s="42" t="s">
        <v>608</v>
      </c>
      <c r="KXN339" s="42" t="s">
        <v>608</v>
      </c>
      <c r="KXO339" s="42" t="s">
        <v>608</v>
      </c>
      <c r="KXP339" s="42" t="s">
        <v>608</v>
      </c>
      <c r="KXQ339" s="42" t="s">
        <v>608</v>
      </c>
      <c r="KXR339" s="42" t="s">
        <v>608</v>
      </c>
      <c r="KXS339" s="42" t="s">
        <v>608</v>
      </c>
      <c r="KXT339" s="42" t="s">
        <v>608</v>
      </c>
      <c r="KXU339" s="42" t="s">
        <v>608</v>
      </c>
      <c r="KXV339" s="42" t="s">
        <v>608</v>
      </c>
      <c r="KXW339" s="42" t="s">
        <v>608</v>
      </c>
      <c r="KXX339" s="42" t="s">
        <v>608</v>
      </c>
      <c r="KXY339" s="42" t="s">
        <v>608</v>
      </c>
      <c r="KXZ339" s="42" t="s">
        <v>608</v>
      </c>
      <c r="KYA339" s="42" t="s">
        <v>608</v>
      </c>
      <c r="KYB339" s="42" t="s">
        <v>608</v>
      </c>
      <c r="KYC339" s="42" t="s">
        <v>608</v>
      </c>
      <c r="KYD339" s="42" t="s">
        <v>608</v>
      </c>
      <c r="KYE339" s="42" t="s">
        <v>608</v>
      </c>
      <c r="KYF339" s="42" t="s">
        <v>608</v>
      </c>
      <c r="KYG339" s="42" t="s">
        <v>608</v>
      </c>
      <c r="KYH339" s="42" t="s">
        <v>608</v>
      </c>
      <c r="KYI339" s="42" t="s">
        <v>608</v>
      </c>
      <c r="KYJ339" s="42" t="s">
        <v>608</v>
      </c>
      <c r="KYK339" s="42" t="s">
        <v>608</v>
      </c>
      <c r="KYL339" s="42" t="s">
        <v>608</v>
      </c>
      <c r="KYM339" s="42" t="s">
        <v>608</v>
      </c>
      <c r="KYN339" s="42" t="s">
        <v>608</v>
      </c>
      <c r="KYO339" s="42" t="s">
        <v>608</v>
      </c>
      <c r="KYP339" s="42" t="s">
        <v>608</v>
      </c>
      <c r="KYQ339" s="42" t="s">
        <v>608</v>
      </c>
      <c r="KYR339" s="42" t="s">
        <v>608</v>
      </c>
      <c r="KYS339" s="42" t="s">
        <v>608</v>
      </c>
      <c r="KYT339" s="42" t="s">
        <v>608</v>
      </c>
      <c r="KYU339" s="42" t="s">
        <v>608</v>
      </c>
      <c r="KYV339" s="42" t="s">
        <v>608</v>
      </c>
      <c r="KYW339" s="42" t="s">
        <v>608</v>
      </c>
      <c r="KYX339" s="42" t="s">
        <v>608</v>
      </c>
      <c r="KYY339" s="42" t="s">
        <v>608</v>
      </c>
      <c r="KYZ339" s="42" t="s">
        <v>608</v>
      </c>
      <c r="KZA339" s="42" t="s">
        <v>608</v>
      </c>
      <c r="KZB339" s="42" t="s">
        <v>608</v>
      </c>
      <c r="KZC339" s="42" t="s">
        <v>608</v>
      </c>
      <c r="KZD339" s="42" t="s">
        <v>608</v>
      </c>
      <c r="KZE339" s="42" t="s">
        <v>608</v>
      </c>
      <c r="KZF339" s="42" t="s">
        <v>608</v>
      </c>
      <c r="KZG339" s="42" t="s">
        <v>608</v>
      </c>
      <c r="KZH339" s="42" t="s">
        <v>608</v>
      </c>
      <c r="KZI339" s="42" t="s">
        <v>608</v>
      </c>
      <c r="KZJ339" s="42" t="s">
        <v>608</v>
      </c>
      <c r="KZK339" s="42" t="s">
        <v>608</v>
      </c>
      <c r="KZL339" s="42" t="s">
        <v>608</v>
      </c>
      <c r="KZM339" s="42" t="s">
        <v>608</v>
      </c>
      <c r="KZN339" s="42" t="s">
        <v>608</v>
      </c>
      <c r="KZO339" s="42" t="s">
        <v>608</v>
      </c>
      <c r="KZP339" s="42" t="s">
        <v>608</v>
      </c>
      <c r="KZQ339" s="42" t="s">
        <v>608</v>
      </c>
      <c r="KZR339" s="42" t="s">
        <v>608</v>
      </c>
      <c r="KZS339" s="42" t="s">
        <v>608</v>
      </c>
      <c r="KZT339" s="42" t="s">
        <v>608</v>
      </c>
      <c r="KZU339" s="42" t="s">
        <v>608</v>
      </c>
      <c r="KZV339" s="42" t="s">
        <v>608</v>
      </c>
      <c r="KZW339" s="42" t="s">
        <v>608</v>
      </c>
      <c r="KZX339" s="42" t="s">
        <v>608</v>
      </c>
      <c r="KZY339" s="42" t="s">
        <v>608</v>
      </c>
      <c r="KZZ339" s="42" t="s">
        <v>608</v>
      </c>
      <c r="LAA339" s="42" t="s">
        <v>608</v>
      </c>
      <c r="LAB339" s="42" t="s">
        <v>608</v>
      </c>
      <c r="LAC339" s="42" t="s">
        <v>608</v>
      </c>
      <c r="LAD339" s="42" t="s">
        <v>608</v>
      </c>
      <c r="LAE339" s="42" t="s">
        <v>608</v>
      </c>
      <c r="LAF339" s="42" t="s">
        <v>608</v>
      </c>
      <c r="LAG339" s="42" t="s">
        <v>608</v>
      </c>
      <c r="LAH339" s="42" t="s">
        <v>608</v>
      </c>
      <c r="LAI339" s="42" t="s">
        <v>608</v>
      </c>
      <c r="LAJ339" s="42" t="s">
        <v>608</v>
      </c>
      <c r="LAK339" s="42" t="s">
        <v>608</v>
      </c>
      <c r="LAL339" s="42" t="s">
        <v>608</v>
      </c>
      <c r="LAM339" s="42" t="s">
        <v>608</v>
      </c>
      <c r="LAN339" s="42" t="s">
        <v>608</v>
      </c>
      <c r="LAO339" s="42" t="s">
        <v>608</v>
      </c>
      <c r="LAP339" s="42" t="s">
        <v>608</v>
      </c>
      <c r="LAQ339" s="42" t="s">
        <v>608</v>
      </c>
      <c r="LAR339" s="42" t="s">
        <v>608</v>
      </c>
      <c r="LAS339" s="42" t="s">
        <v>608</v>
      </c>
      <c r="LAT339" s="42" t="s">
        <v>608</v>
      </c>
      <c r="LAU339" s="42" t="s">
        <v>608</v>
      </c>
      <c r="LAV339" s="42" t="s">
        <v>608</v>
      </c>
      <c r="LAW339" s="42" t="s">
        <v>608</v>
      </c>
      <c r="LAX339" s="42" t="s">
        <v>608</v>
      </c>
      <c r="LAY339" s="42" t="s">
        <v>608</v>
      </c>
      <c r="LAZ339" s="42" t="s">
        <v>608</v>
      </c>
      <c r="LBA339" s="42" t="s">
        <v>608</v>
      </c>
      <c r="LBB339" s="42" t="s">
        <v>608</v>
      </c>
      <c r="LBC339" s="42" t="s">
        <v>608</v>
      </c>
      <c r="LBD339" s="42" t="s">
        <v>608</v>
      </c>
      <c r="LBE339" s="42" t="s">
        <v>608</v>
      </c>
      <c r="LBF339" s="42" t="s">
        <v>608</v>
      </c>
      <c r="LBG339" s="42" t="s">
        <v>608</v>
      </c>
      <c r="LBH339" s="42" t="s">
        <v>608</v>
      </c>
      <c r="LBI339" s="42" t="s">
        <v>608</v>
      </c>
      <c r="LBJ339" s="42" t="s">
        <v>608</v>
      </c>
      <c r="LBK339" s="42" t="s">
        <v>608</v>
      </c>
      <c r="LBL339" s="42" t="s">
        <v>608</v>
      </c>
      <c r="LBM339" s="42" t="s">
        <v>608</v>
      </c>
      <c r="LBN339" s="42" t="s">
        <v>608</v>
      </c>
      <c r="LBO339" s="42" t="s">
        <v>608</v>
      </c>
      <c r="LBP339" s="42" t="s">
        <v>608</v>
      </c>
      <c r="LBQ339" s="42" t="s">
        <v>608</v>
      </c>
      <c r="LBR339" s="42" t="s">
        <v>608</v>
      </c>
      <c r="LBS339" s="42" t="s">
        <v>608</v>
      </c>
      <c r="LBT339" s="42" t="s">
        <v>608</v>
      </c>
      <c r="LBU339" s="42" t="s">
        <v>608</v>
      </c>
      <c r="LBV339" s="42" t="s">
        <v>608</v>
      </c>
      <c r="LBW339" s="42" t="s">
        <v>608</v>
      </c>
      <c r="LBX339" s="42" t="s">
        <v>608</v>
      </c>
      <c r="LBY339" s="42" t="s">
        <v>608</v>
      </c>
      <c r="LBZ339" s="42" t="s">
        <v>608</v>
      </c>
      <c r="LCA339" s="42" t="s">
        <v>608</v>
      </c>
      <c r="LCB339" s="42" t="s">
        <v>608</v>
      </c>
      <c r="LCC339" s="42" t="s">
        <v>608</v>
      </c>
      <c r="LCD339" s="42" t="s">
        <v>608</v>
      </c>
      <c r="LCE339" s="42" t="s">
        <v>608</v>
      </c>
      <c r="LCF339" s="42" t="s">
        <v>608</v>
      </c>
      <c r="LCG339" s="42" t="s">
        <v>608</v>
      </c>
      <c r="LCH339" s="42" t="s">
        <v>608</v>
      </c>
      <c r="LCI339" s="42" t="s">
        <v>608</v>
      </c>
      <c r="LCJ339" s="42" t="s">
        <v>608</v>
      </c>
      <c r="LCK339" s="42" t="s">
        <v>608</v>
      </c>
      <c r="LCL339" s="42" t="s">
        <v>608</v>
      </c>
      <c r="LCM339" s="42" t="s">
        <v>608</v>
      </c>
      <c r="LCN339" s="42" t="s">
        <v>608</v>
      </c>
      <c r="LCO339" s="42" t="s">
        <v>608</v>
      </c>
      <c r="LCP339" s="42" t="s">
        <v>608</v>
      </c>
      <c r="LCQ339" s="42" t="s">
        <v>608</v>
      </c>
      <c r="LCR339" s="42" t="s">
        <v>608</v>
      </c>
      <c r="LCS339" s="42" t="s">
        <v>608</v>
      </c>
      <c r="LCT339" s="42" t="s">
        <v>608</v>
      </c>
      <c r="LCU339" s="42" t="s">
        <v>608</v>
      </c>
      <c r="LCV339" s="42" t="s">
        <v>608</v>
      </c>
      <c r="LCW339" s="42" t="s">
        <v>608</v>
      </c>
      <c r="LCX339" s="42" t="s">
        <v>608</v>
      </c>
      <c r="LCY339" s="42" t="s">
        <v>608</v>
      </c>
      <c r="LCZ339" s="42" t="s">
        <v>608</v>
      </c>
      <c r="LDA339" s="42" t="s">
        <v>608</v>
      </c>
      <c r="LDB339" s="42" t="s">
        <v>608</v>
      </c>
      <c r="LDC339" s="42" t="s">
        <v>608</v>
      </c>
      <c r="LDD339" s="42" t="s">
        <v>608</v>
      </c>
      <c r="LDE339" s="42" t="s">
        <v>608</v>
      </c>
      <c r="LDF339" s="42" t="s">
        <v>608</v>
      </c>
      <c r="LDG339" s="42" t="s">
        <v>608</v>
      </c>
      <c r="LDH339" s="42" t="s">
        <v>608</v>
      </c>
      <c r="LDI339" s="42" t="s">
        <v>608</v>
      </c>
      <c r="LDJ339" s="42" t="s">
        <v>608</v>
      </c>
      <c r="LDK339" s="42" t="s">
        <v>608</v>
      </c>
      <c r="LDL339" s="42" t="s">
        <v>608</v>
      </c>
      <c r="LDM339" s="42" t="s">
        <v>608</v>
      </c>
      <c r="LDN339" s="42" t="s">
        <v>608</v>
      </c>
      <c r="LDO339" s="42" t="s">
        <v>608</v>
      </c>
      <c r="LDP339" s="42" t="s">
        <v>608</v>
      </c>
      <c r="LDQ339" s="42" t="s">
        <v>608</v>
      </c>
      <c r="LDR339" s="42" t="s">
        <v>608</v>
      </c>
      <c r="LDS339" s="42" t="s">
        <v>608</v>
      </c>
      <c r="LDT339" s="42" t="s">
        <v>608</v>
      </c>
      <c r="LDU339" s="42" t="s">
        <v>608</v>
      </c>
      <c r="LDV339" s="42" t="s">
        <v>608</v>
      </c>
      <c r="LDW339" s="42" t="s">
        <v>608</v>
      </c>
      <c r="LDX339" s="42" t="s">
        <v>608</v>
      </c>
      <c r="LDY339" s="42" t="s">
        <v>608</v>
      </c>
      <c r="LDZ339" s="42" t="s">
        <v>608</v>
      </c>
      <c r="LEA339" s="42" t="s">
        <v>608</v>
      </c>
      <c r="LEB339" s="42" t="s">
        <v>608</v>
      </c>
      <c r="LEC339" s="42" t="s">
        <v>608</v>
      </c>
      <c r="LED339" s="42" t="s">
        <v>608</v>
      </c>
      <c r="LEE339" s="42" t="s">
        <v>608</v>
      </c>
      <c r="LEF339" s="42" t="s">
        <v>608</v>
      </c>
      <c r="LEG339" s="42" t="s">
        <v>608</v>
      </c>
      <c r="LEH339" s="42" t="s">
        <v>608</v>
      </c>
      <c r="LEI339" s="42" t="s">
        <v>608</v>
      </c>
      <c r="LEJ339" s="42" t="s">
        <v>608</v>
      </c>
      <c r="LEK339" s="42" t="s">
        <v>608</v>
      </c>
      <c r="LEL339" s="42" t="s">
        <v>608</v>
      </c>
      <c r="LEM339" s="42" t="s">
        <v>608</v>
      </c>
      <c r="LEN339" s="42" t="s">
        <v>608</v>
      </c>
      <c r="LEO339" s="42" t="s">
        <v>608</v>
      </c>
      <c r="LEP339" s="42" t="s">
        <v>608</v>
      </c>
      <c r="LEQ339" s="42" t="s">
        <v>608</v>
      </c>
      <c r="LER339" s="42" t="s">
        <v>608</v>
      </c>
      <c r="LES339" s="42" t="s">
        <v>608</v>
      </c>
      <c r="LET339" s="42" t="s">
        <v>608</v>
      </c>
      <c r="LEU339" s="42" t="s">
        <v>608</v>
      </c>
      <c r="LEV339" s="42" t="s">
        <v>608</v>
      </c>
      <c r="LEW339" s="42" t="s">
        <v>608</v>
      </c>
      <c r="LEX339" s="42" t="s">
        <v>608</v>
      </c>
      <c r="LEY339" s="42" t="s">
        <v>608</v>
      </c>
      <c r="LEZ339" s="42" t="s">
        <v>608</v>
      </c>
      <c r="LFA339" s="42" t="s">
        <v>608</v>
      </c>
      <c r="LFB339" s="42" t="s">
        <v>608</v>
      </c>
      <c r="LFC339" s="42" t="s">
        <v>608</v>
      </c>
      <c r="LFD339" s="42" t="s">
        <v>608</v>
      </c>
      <c r="LFE339" s="42" t="s">
        <v>608</v>
      </c>
      <c r="LFF339" s="42" t="s">
        <v>608</v>
      </c>
      <c r="LFG339" s="42" t="s">
        <v>608</v>
      </c>
      <c r="LFH339" s="42" t="s">
        <v>608</v>
      </c>
      <c r="LFI339" s="42" t="s">
        <v>608</v>
      </c>
      <c r="LFJ339" s="42" t="s">
        <v>608</v>
      </c>
      <c r="LFK339" s="42" t="s">
        <v>608</v>
      </c>
      <c r="LFL339" s="42" t="s">
        <v>608</v>
      </c>
      <c r="LFM339" s="42" t="s">
        <v>608</v>
      </c>
      <c r="LFN339" s="42" t="s">
        <v>608</v>
      </c>
      <c r="LFO339" s="42" t="s">
        <v>608</v>
      </c>
      <c r="LFP339" s="42" t="s">
        <v>608</v>
      </c>
      <c r="LFQ339" s="42" t="s">
        <v>608</v>
      </c>
      <c r="LFR339" s="42" t="s">
        <v>608</v>
      </c>
      <c r="LFS339" s="42" t="s">
        <v>608</v>
      </c>
      <c r="LFT339" s="42" t="s">
        <v>608</v>
      </c>
      <c r="LFU339" s="42" t="s">
        <v>608</v>
      </c>
      <c r="LFV339" s="42" t="s">
        <v>608</v>
      </c>
      <c r="LFW339" s="42" t="s">
        <v>608</v>
      </c>
      <c r="LFX339" s="42" t="s">
        <v>608</v>
      </c>
      <c r="LFY339" s="42" t="s">
        <v>608</v>
      </c>
      <c r="LFZ339" s="42" t="s">
        <v>608</v>
      </c>
      <c r="LGA339" s="42" t="s">
        <v>608</v>
      </c>
      <c r="LGB339" s="42" t="s">
        <v>608</v>
      </c>
      <c r="LGC339" s="42" t="s">
        <v>608</v>
      </c>
      <c r="LGD339" s="42" t="s">
        <v>608</v>
      </c>
      <c r="LGE339" s="42" t="s">
        <v>608</v>
      </c>
      <c r="LGF339" s="42" t="s">
        <v>608</v>
      </c>
      <c r="LGG339" s="42" t="s">
        <v>608</v>
      </c>
      <c r="LGH339" s="42" t="s">
        <v>608</v>
      </c>
      <c r="LGI339" s="42" t="s">
        <v>608</v>
      </c>
      <c r="LGJ339" s="42" t="s">
        <v>608</v>
      </c>
      <c r="LGK339" s="42" t="s">
        <v>608</v>
      </c>
      <c r="LGL339" s="42" t="s">
        <v>608</v>
      </c>
      <c r="LGM339" s="42" t="s">
        <v>608</v>
      </c>
      <c r="LGN339" s="42" t="s">
        <v>608</v>
      </c>
      <c r="LGO339" s="42" t="s">
        <v>608</v>
      </c>
      <c r="LGP339" s="42" t="s">
        <v>608</v>
      </c>
      <c r="LGQ339" s="42" t="s">
        <v>608</v>
      </c>
      <c r="LGR339" s="42" t="s">
        <v>608</v>
      </c>
      <c r="LGS339" s="42" t="s">
        <v>608</v>
      </c>
      <c r="LGT339" s="42" t="s">
        <v>608</v>
      </c>
      <c r="LGU339" s="42" t="s">
        <v>608</v>
      </c>
      <c r="LGV339" s="42" t="s">
        <v>608</v>
      </c>
      <c r="LGW339" s="42" t="s">
        <v>608</v>
      </c>
      <c r="LGX339" s="42" t="s">
        <v>608</v>
      </c>
      <c r="LGY339" s="42" t="s">
        <v>608</v>
      </c>
      <c r="LGZ339" s="42" t="s">
        <v>608</v>
      </c>
      <c r="LHA339" s="42" t="s">
        <v>608</v>
      </c>
      <c r="LHB339" s="42" t="s">
        <v>608</v>
      </c>
      <c r="LHC339" s="42" t="s">
        <v>608</v>
      </c>
      <c r="LHD339" s="42" t="s">
        <v>608</v>
      </c>
      <c r="LHE339" s="42" t="s">
        <v>608</v>
      </c>
      <c r="LHF339" s="42" t="s">
        <v>608</v>
      </c>
      <c r="LHG339" s="42" t="s">
        <v>608</v>
      </c>
      <c r="LHH339" s="42" t="s">
        <v>608</v>
      </c>
      <c r="LHI339" s="42" t="s">
        <v>608</v>
      </c>
      <c r="LHJ339" s="42" t="s">
        <v>608</v>
      </c>
      <c r="LHK339" s="42" t="s">
        <v>608</v>
      </c>
      <c r="LHL339" s="42" t="s">
        <v>608</v>
      </c>
      <c r="LHM339" s="42" t="s">
        <v>608</v>
      </c>
      <c r="LHN339" s="42" t="s">
        <v>608</v>
      </c>
      <c r="LHO339" s="42" t="s">
        <v>608</v>
      </c>
      <c r="LHP339" s="42" t="s">
        <v>608</v>
      </c>
      <c r="LHQ339" s="42" t="s">
        <v>608</v>
      </c>
      <c r="LHR339" s="42" t="s">
        <v>608</v>
      </c>
      <c r="LHS339" s="42" t="s">
        <v>608</v>
      </c>
      <c r="LHT339" s="42" t="s">
        <v>608</v>
      </c>
      <c r="LHU339" s="42" t="s">
        <v>608</v>
      </c>
      <c r="LHV339" s="42" t="s">
        <v>608</v>
      </c>
      <c r="LHW339" s="42" t="s">
        <v>608</v>
      </c>
      <c r="LHX339" s="42" t="s">
        <v>608</v>
      </c>
      <c r="LHY339" s="42" t="s">
        <v>608</v>
      </c>
      <c r="LHZ339" s="42" t="s">
        <v>608</v>
      </c>
      <c r="LIA339" s="42" t="s">
        <v>608</v>
      </c>
      <c r="LIB339" s="42" t="s">
        <v>608</v>
      </c>
      <c r="LIC339" s="42" t="s">
        <v>608</v>
      </c>
      <c r="LID339" s="42" t="s">
        <v>608</v>
      </c>
      <c r="LIE339" s="42" t="s">
        <v>608</v>
      </c>
      <c r="LIF339" s="42" t="s">
        <v>608</v>
      </c>
      <c r="LIG339" s="42" t="s">
        <v>608</v>
      </c>
      <c r="LIH339" s="42" t="s">
        <v>608</v>
      </c>
      <c r="LII339" s="42" t="s">
        <v>608</v>
      </c>
      <c r="LIJ339" s="42" t="s">
        <v>608</v>
      </c>
      <c r="LIK339" s="42" t="s">
        <v>608</v>
      </c>
      <c r="LIL339" s="42" t="s">
        <v>608</v>
      </c>
      <c r="LIM339" s="42" t="s">
        <v>608</v>
      </c>
      <c r="LIN339" s="42" t="s">
        <v>608</v>
      </c>
      <c r="LIO339" s="42" t="s">
        <v>608</v>
      </c>
      <c r="LIP339" s="42" t="s">
        <v>608</v>
      </c>
      <c r="LIQ339" s="42" t="s">
        <v>608</v>
      </c>
      <c r="LIR339" s="42" t="s">
        <v>608</v>
      </c>
      <c r="LIS339" s="42" t="s">
        <v>608</v>
      </c>
      <c r="LIT339" s="42" t="s">
        <v>608</v>
      </c>
      <c r="LIU339" s="42" t="s">
        <v>608</v>
      </c>
      <c r="LIV339" s="42" t="s">
        <v>608</v>
      </c>
      <c r="LIW339" s="42" t="s">
        <v>608</v>
      </c>
      <c r="LIX339" s="42" t="s">
        <v>608</v>
      </c>
      <c r="LIY339" s="42" t="s">
        <v>608</v>
      </c>
      <c r="LIZ339" s="42" t="s">
        <v>608</v>
      </c>
      <c r="LJA339" s="42" t="s">
        <v>608</v>
      </c>
      <c r="LJB339" s="42" t="s">
        <v>608</v>
      </c>
      <c r="LJC339" s="42" t="s">
        <v>608</v>
      </c>
      <c r="LJD339" s="42" t="s">
        <v>608</v>
      </c>
      <c r="LJE339" s="42" t="s">
        <v>608</v>
      </c>
      <c r="LJF339" s="42" t="s">
        <v>608</v>
      </c>
      <c r="LJG339" s="42" t="s">
        <v>608</v>
      </c>
      <c r="LJH339" s="42" t="s">
        <v>608</v>
      </c>
      <c r="LJI339" s="42" t="s">
        <v>608</v>
      </c>
      <c r="LJJ339" s="42" t="s">
        <v>608</v>
      </c>
      <c r="LJK339" s="42" t="s">
        <v>608</v>
      </c>
      <c r="LJL339" s="42" t="s">
        <v>608</v>
      </c>
      <c r="LJM339" s="42" t="s">
        <v>608</v>
      </c>
      <c r="LJN339" s="42" t="s">
        <v>608</v>
      </c>
      <c r="LJO339" s="42" t="s">
        <v>608</v>
      </c>
      <c r="LJP339" s="42" t="s">
        <v>608</v>
      </c>
      <c r="LJQ339" s="42" t="s">
        <v>608</v>
      </c>
      <c r="LJR339" s="42" t="s">
        <v>608</v>
      </c>
      <c r="LJS339" s="42" t="s">
        <v>608</v>
      </c>
      <c r="LJT339" s="42" t="s">
        <v>608</v>
      </c>
      <c r="LJU339" s="42" t="s">
        <v>608</v>
      </c>
      <c r="LJV339" s="42" t="s">
        <v>608</v>
      </c>
      <c r="LJW339" s="42" t="s">
        <v>608</v>
      </c>
      <c r="LJX339" s="42" t="s">
        <v>608</v>
      </c>
      <c r="LJY339" s="42" t="s">
        <v>608</v>
      </c>
      <c r="LJZ339" s="42" t="s">
        <v>608</v>
      </c>
      <c r="LKA339" s="42" t="s">
        <v>608</v>
      </c>
      <c r="LKB339" s="42" t="s">
        <v>608</v>
      </c>
      <c r="LKC339" s="42" t="s">
        <v>608</v>
      </c>
      <c r="LKD339" s="42" t="s">
        <v>608</v>
      </c>
      <c r="LKE339" s="42" t="s">
        <v>608</v>
      </c>
      <c r="LKF339" s="42" t="s">
        <v>608</v>
      </c>
      <c r="LKG339" s="42" t="s">
        <v>608</v>
      </c>
      <c r="LKH339" s="42" t="s">
        <v>608</v>
      </c>
      <c r="LKI339" s="42" t="s">
        <v>608</v>
      </c>
      <c r="LKJ339" s="42" t="s">
        <v>608</v>
      </c>
      <c r="LKK339" s="42" t="s">
        <v>608</v>
      </c>
      <c r="LKL339" s="42" t="s">
        <v>608</v>
      </c>
      <c r="LKM339" s="42" t="s">
        <v>608</v>
      </c>
      <c r="LKN339" s="42" t="s">
        <v>608</v>
      </c>
      <c r="LKO339" s="42" t="s">
        <v>608</v>
      </c>
      <c r="LKP339" s="42" t="s">
        <v>608</v>
      </c>
      <c r="LKQ339" s="42" t="s">
        <v>608</v>
      </c>
      <c r="LKR339" s="42" t="s">
        <v>608</v>
      </c>
      <c r="LKS339" s="42" t="s">
        <v>608</v>
      </c>
      <c r="LKT339" s="42" t="s">
        <v>608</v>
      </c>
      <c r="LKU339" s="42" t="s">
        <v>608</v>
      </c>
      <c r="LKV339" s="42" t="s">
        <v>608</v>
      </c>
      <c r="LKW339" s="42" t="s">
        <v>608</v>
      </c>
      <c r="LKX339" s="42" t="s">
        <v>608</v>
      </c>
      <c r="LKY339" s="42" t="s">
        <v>608</v>
      </c>
      <c r="LKZ339" s="42" t="s">
        <v>608</v>
      </c>
      <c r="LLA339" s="42" t="s">
        <v>608</v>
      </c>
      <c r="LLB339" s="42" t="s">
        <v>608</v>
      </c>
      <c r="LLC339" s="42" t="s">
        <v>608</v>
      </c>
      <c r="LLD339" s="42" t="s">
        <v>608</v>
      </c>
      <c r="LLE339" s="42" t="s">
        <v>608</v>
      </c>
      <c r="LLF339" s="42" t="s">
        <v>608</v>
      </c>
      <c r="LLG339" s="42" t="s">
        <v>608</v>
      </c>
      <c r="LLH339" s="42" t="s">
        <v>608</v>
      </c>
      <c r="LLI339" s="42" t="s">
        <v>608</v>
      </c>
      <c r="LLJ339" s="42" t="s">
        <v>608</v>
      </c>
      <c r="LLK339" s="42" t="s">
        <v>608</v>
      </c>
      <c r="LLL339" s="42" t="s">
        <v>608</v>
      </c>
      <c r="LLM339" s="42" t="s">
        <v>608</v>
      </c>
      <c r="LLN339" s="42" t="s">
        <v>608</v>
      </c>
      <c r="LLO339" s="42" t="s">
        <v>608</v>
      </c>
      <c r="LLP339" s="42" t="s">
        <v>608</v>
      </c>
      <c r="LLQ339" s="42" t="s">
        <v>608</v>
      </c>
      <c r="LLR339" s="42" t="s">
        <v>608</v>
      </c>
      <c r="LLS339" s="42" t="s">
        <v>608</v>
      </c>
      <c r="LLT339" s="42" t="s">
        <v>608</v>
      </c>
      <c r="LLU339" s="42" t="s">
        <v>608</v>
      </c>
      <c r="LLV339" s="42" t="s">
        <v>608</v>
      </c>
      <c r="LLW339" s="42" t="s">
        <v>608</v>
      </c>
      <c r="LLX339" s="42" t="s">
        <v>608</v>
      </c>
      <c r="LLY339" s="42" t="s">
        <v>608</v>
      </c>
      <c r="LLZ339" s="42" t="s">
        <v>608</v>
      </c>
      <c r="LMA339" s="42" t="s">
        <v>608</v>
      </c>
      <c r="LMB339" s="42" t="s">
        <v>608</v>
      </c>
      <c r="LMC339" s="42" t="s">
        <v>608</v>
      </c>
      <c r="LMD339" s="42" t="s">
        <v>608</v>
      </c>
      <c r="LME339" s="42" t="s">
        <v>608</v>
      </c>
      <c r="LMF339" s="42" t="s">
        <v>608</v>
      </c>
      <c r="LMG339" s="42" t="s">
        <v>608</v>
      </c>
      <c r="LMH339" s="42" t="s">
        <v>608</v>
      </c>
      <c r="LMI339" s="42" t="s">
        <v>608</v>
      </c>
      <c r="LMJ339" s="42" t="s">
        <v>608</v>
      </c>
      <c r="LMK339" s="42" t="s">
        <v>608</v>
      </c>
      <c r="LML339" s="42" t="s">
        <v>608</v>
      </c>
      <c r="LMM339" s="42" t="s">
        <v>608</v>
      </c>
      <c r="LMN339" s="42" t="s">
        <v>608</v>
      </c>
      <c r="LMO339" s="42" t="s">
        <v>608</v>
      </c>
      <c r="LMP339" s="42" t="s">
        <v>608</v>
      </c>
      <c r="LMQ339" s="42" t="s">
        <v>608</v>
      </c>
      <c r="LMR339" s="42" t="s">
        <v>608</v>
      </c>
      <c r="LMS339" s="42" t="s">
        <v>608</v>
      </c>
      <c r="LMT339" s="42" t="s">
        <v>608</v>
      </c>
      <c r="LMU339" s="42" t="s">
        <v>608</v>
      </c>
      <c r="LMV339" s="42" t="s">
        <v>608</v>
      </c>
      <c r="LMW339" s="42" t="s">
        <v>608</v>
      </c>
      <c r="LMX339" s="42" t="s">
        <v>608</v>
      </c>
      <c r="LMY339" s="42" t="s">
        <v>608</v>
      </c>
      <c r="LMZ339" s="42" t="s">
        <v>608</v>
      </c>
      <c r="LNA339" s="42" t="s">
        <v>608</v>
      </c>
      <c r="LNB339" s="42" t="s">
        <v>608</v>
      </c>
      <c r="LNC339" s="42" t="s">
        <v>608</v>
      </c>
      <c r="LND339" s="42" t="s">
        <v>608</v>
      </c>
      <c r="LNE339" s="42" t="s">
        <v>608</v>
      </c>
      <c r="LNF339" s="42" t="s">
        <v>608</v>
      </c>
      <c r="LNG339" s="42" t="s">
        <v>608</v>
      </c>
      <c r="LNH339" s="42" t="s">
        <v>608</v>
      </c>
      <c r="LNI339" s="42" t="s">
        <v>608</v>
      </c>
      <c r="LNJ339" s="42" t="s">
        <v>608</v>
      </c>
      <c r="LNK339" s="42" t="s">
        <v>608</v>
      </c>
      <c r="LNL339" s="42" t="s">
        <v>608</v>
      </c>
      <c r="LNM339" s="42" t="s">
        <v>608</v>
      </c>
      <c r="LNN339" s="42" t="s">
        <v>608</v>
      </c>
      <c r="LNO339" s="42" t="s">
        <v>608</v>
      </c>
      <c r="LNP339" s="42" t="s">
        <v>608</v>
      </c>
      <c r="LNQ339" s="42" t="s">
        <v>608</v>
      </c>
      <c r="LNR339" s="42" t="s">
        <v>608</v>
      </c>
      <c r="LNS339" s="42" t="s">
        <v>608</v>
      </c>
      <c r="LNT339" s="42" t="s">
        <v>608</v>
      </c>
      <c r="LNU339" s="42" t="s">
        <v>608</v>
      </c>
      <c r="LNV339" s="42" t="s">
        <v>608</v>
      </c>
      <c r="LNW339" s="42" t="s">
        <v>608</v>
      </c>
      <c r="LNX339" s="42" t="s">
        <v>608</v>
      </c>
      <c r="LNY339" s="42" t="s">
        <v>608</v>
      </c>
      <c r="LNZ339" s="42" t="s">
        <v>608</v>
      </c>
      <c r="LOA339" s="42" t="s">
        <v>608</v>
      </c>
      <c r="LOB339" s="42" t="s">
        <v>608</v>
      </c>
      <c r="LOC339" s="42" t="s">
        <v>608</v>
      </c>
      <c r="LOD339" s="42" t="s">
        <v>608</v>
      </c>
      <c r="LOE339" s="42" t="s">
        <v>608</v>
      </c>
      <c r="LOF339" s="42" t="s">
        <v>608</v>
      </c>
      <c r="LOG339" s="42" t="s">
        <v>608</v>
      </c>
      <c r="LOH339" s="42" t="s">
        <v>608</v>
      </c>
      <c r="LOI339" s="42" t="s">
        <v>608</v>
      </c>
      <c r="LOJ339" s="42" t="s">
        <v>608</v>
      </c>
      <c r="LOK339" s="42" t="s">
        <v>608</v>
      </c>
      <c r="LOL339" s="42" t="s">
        <v>608</v>
      </c>
      <c r="LOM339" s="42" t="s">
        <v>608</v>
      </c>
      <c r="LON339" s="42" t="s">
        <v>608</v>
      </c>
      <c r="LOO339" s="42" t="s">
        <v>608</v>
      </c>
      <c r="LOP339" s="42" t="s">
        <v>608</v>
      </c>
      <c r="LOQ339" s="42" t="s">
        <v>608</v>
      </c>
      <c r="LOR339" s="42" t="s">
        <v>608</v>
      </c>
      <c r="LOS339" s="42" t="s">
        <v>608</v>
      </c>
      <c r="LOT339" s="42" t="s">
        <v>608</v>
      </c>
      <c r="LOU339" s="42" t="s">
        <v>608</v>
      </c>
      <c r="LOV339" s="42" t="s">
        <v>608</v>
      </c>
      <c r="LOW339" s="42" t="s">
        <v>608</v>
      </c>
      <c r="LOX339" s="42" t="s">
        <v>608</v>
      </c>
      <c r="LOY339" s="42" t="s">
        <v>608</v>
      </c>
      <c r="LOZ339" s="42" t="s">
        <v>608</v>
      </c>
      <c r="LPA339" s="42" t="s">
        <v>608</v>
      </c>
      <c r="LPB339" s="42" t="s">
        <v>608</v>
      </c>
      <c r="LPC339" s="42" t="s">
        <v>608</v>
      </c>
      <c r="LPD339" s="42" t="s">
        <v>608</v>
      </c>
      <c r="LPE339" s="42" t="s">
        <v>608</v>
      </c>
      <c r="LPF339" s="42" t="s">
        <v>608</v>
      </c>
      <c r="LPG339" s="42" t="s">
        <v>608</v>
      </c>
      <c r="LPH339" s="42" t="s">
        <v>608</v>
      </c>
      <c r="LPI339" s="42" t="s">
        <v>608</v>
      </c>
      <c r="LPJ339" s="42" t="s">
        <v>608</v>
      </c>
      <c r="LPK339" s="42" t="s">
        <v>608</v>
      </c>
      <c r="LPL339" s="42" t="s">
        <v>608</v>
      </c>
      <c r="LPM339" s="42" t="s">
        <v>608</v>
      </c>
      <c r="LPN339" s="42" t="s">
        <v>608</v>
      </c>
      <c r="LPO339" s="42" t="s">
        <v>608</v>
      </c>
      <c r="LPP339" s="42" t="s">
        <v>608</v>
      </c>
      <c r="LPQ339" s="42" t="s">
        <v>608</v>
      </c>
      <c r="LPR339" s="42" t="s">
        <v>608</v>
      </c>
      <c r="LPS339" s="42" t="s">
        <v>608</v>
      </c>
      <c r="LPT339" s="42" t="s">
        <v>608</v>
      </c>
      <c r="LPU339" s="42" t="s">
        <v>608</v>
      </c>
      <c r="LPV339" s="42" t="s">
        <v>608</v>
      </c>
      <c r="LPW339" s="42" t="s">
        <v>608</v>
      </c>
      <c r="LPX339" s="42" t="s">
        <v>608</v>
      </c>
      <c r="LPY339" s="42" t="s">
        <v>608</v>
      </c>
      <c r="LPZ339" s="42" t="s">
        <v>608</v>
      </c>
      <c r="LQA339" s="42" t="s">
        <v>608</v>
      </c>
      <c r="LQB339" s="42" t="s">
        <v>608</v>
      </c>
      <c r="LQC339" s="42" t="s">
        <v>608</v>
      </c>
      <c r="LQD339" s="42" t="s">
        <v>608</v>
      </c>
      <c r="LQE339" s="42" t="s">
        <v>608</v>
      </c>
      <c r="LQF339" s="42" t="s">
        <v>608</v>
      </c>
      <c r="LQG339" s="42" t="s">
        <v>608</v>
      </c>
      <c r="LQH339" s="42" t="s">
        <v>608</v>
      </c>
      <c r="LQI339" s="42" t="s">
        <v>608</v>
      </c>
      <c r="LQJ339" s="42" t="s">
        <v>608</v>
      </c>
      <c r="LQK339" s="42" t="s">
        <v>608</v>
      </c>
      <c r="LQL339" s="42" t="s">
        <v>608</v>
      </c>
      <c r="LQM339" s="42" t="s">
        <v>608</v>
      </c>
      <c r="LQN339" s="42" t="s">
        <v>608</v>
      </c>
      <c r="LQO339" s="42" t="s">
        <v>608</v>
      </c>
      <c r="LQP339" s="42" t="s">
        <v>608</v>
      </c>
      <c r="LQQ339" s="42" t="s">
        <v>608</v>
      </c>
      <c r="LQR339" s="42" t="s">
        <v>608</v>
      </c>
      <c r="LQS339" s="42" t="s">
        <v>608</v>
      </c>
      <c r="LQT339" s="42" t="s">
        <v>608</v>
      </c>
      <c r="LQU339" s="42" t="s">
        <v>608</v>
      </c>
      <c r="LQV339" s="42" t="s">
        <v>608</v>
      </c>
      <c r="LQW339" s="42" t="s">
        <v>608</v>
      </c>
      <c r="LQX339" s="42" t="s">
        <v>608</v>
      </c>
      <c r="LQY339" s="42" t="s">
        <v>608</v>
      </c>
      <c r="LQZ339" s="42" t="s">
        <v>608</v>
      </c>
      <c r="LRA339" s="42" t="s">
        <v>608</v>
      </c>
      <c r="LRB339" s="42" t="s">
        <v>608</v>
      </c>
      <c r="LRC339" s="42" t="s">
        <v>608</v>
      </c>
      <c r="LRD339" s="42" t="s">
        <v>608</v>
      </c>
      <c r="LRE339" s="42" t="s">
        <v>608</v>
      </c>
      <c r="LRF339" s="42" t="s">
        <v>608</v>
      </c>
      <c r="LRG339" s="42" t="s">
        <v>608</v>
      </c>
      <c r="LRH339" s="42" t="s">
        <v>608</v>
      </c>
      <c r="LRI339" s="42" t="s">
        <v>608</v>
      </c>
      <c r="LRJ339" s="42" t="s">
        <v>608</v>
      </c>
      <c r="LRK339" s="42" t="s">
        <v>608</v>
      </c>
      <c r="LRL339" s="42" t="s">
        <v>608</v>
      </c>
      <c r="LRM339" s="42" t="s">
        <v>608</v>
      </c>
      <c r="LRN339" s="42" t="s">
        <v>608</v>
      </c>
      <c r="LRO339" s="42" t="s">
        <v>608</v>
      </c>
      <c r="LRP339" s="42" t="s">
        <v>608</v>
      </c>
      <c r="LRQ339" s="42" t="s">
        <v>608</v>
      </c>
      <c r="LRR339" s="42" t="s">
        <v>608</v>
      </c>
      <c r="LRS339" s="42" t="s">
        <v>608</v>
      </c>
      <c r="LRT339" s="42" t="s">
        <v>608</v>
      </c>
      <c r="LRU339" s="42" t="s">
        <v>608</v>
      </c>
      <c r="LRV339" s="42" t="s">
        <v>608</v>
      </c>
      <c r="LRW339" s="42" t="s">
        <v>608</v>
      </c>
      <c r="LRX339" s="42" t="s">
        <v>608</v>
      </c>
      <c r="LRY339" s="42" t="s">
        <v>608</v>
      </c>
      <c r="LRZ339" s="42" t="s">
        <v>608</v>
      </c>
      <c r="LSA339" s="42" t="s">
        <v>608</v>
      </c>
      <c r="LSB339" s="42" t="s">
        <v>608</v>
      </c>
      <c r="LSC339" s="42" t="s">
        <v>608</v>
      </c>
      <c r="LSD339" s="42" t="s">
        <v>608</v>
      </c>
      <c r="LSE339" s="42" t="s">
        <v>608</v>
      </c>
      <c r="LSF339" s="42" t="s">
        <v>608</v>
      </c>
      <c r="LSG339" s="42" t="s">
        <v>608</v>
      </c>
      <c r="LSH339" s="42" t="s">
        <v>608</v>
      </c>
      <c r="LSI339" s="42" t="s">
        <v>608</v>
      </c>
      <c r="LSJ339" s="42" t="s">
        <v>608</v>
      </c>
      <c r="LSK339" s="42" t="s">
        <v>608</v>
      </c>
      <c r="LSL339" s="42" t="s">
        <v>608</v>
      </c>
      <c r="LSM339" s="42" t="s">
        <v>608</v>
      </c>
      <c r="LSN339" s="42" t="s">
        <v>608</v>
      </c>
      <c r="LSO339" s="42" t="s">
        <v>608</v>
      </c>
      <c r="LSP339" s="42" t="s">
        <v>608</v>
      </c>
      <c r="LSQ339" s="42" t="s">
        <v>608</v>
      </c>
      <c r="LSR339" s="42" t="s">
        <v>608</v>
      </c>
      <c r="LSS339" s="42" t="s">
        <v>608</v>
      </c>
      <c r="LST339" s="42" t="s">
        <v>608</v>
      </c>
      <c r="LSU339" s="42" t="s">
        <v>608</v>
      </c>
      <c r="LSV339" s="42" t="s">
        <v>608</v>
      </c>
      <c r="LSW339" s="42" t="s">
        <v>608</v>
      </c>
      <c r="LSX339" s="42" t="s">
        <v>608</v>
      </c>
      <c r="LSY339" s="42" t="s">
        <v>608</v>
      </c>
      <c r="LSZ339" s="42" t="s">
        <v>608</v>
      </c>
      <c r="LTA339" s="42" t="s">
        <v>608</v>
      </c>
      <c r="LTB339" s="42" t="s">
        <v>608</v>
      </c>
      <c r="LTC339" s="42" t="s">
        <v>608</v>
      </c>
      <c r="LTD339" s="42" t="s">
        <v>608</v>
      </c>
      <c r="LTE339" s="42" t="s">
        <v>608</v>
      </c>
      <c r="LTF339" s="42" t="s">
        <v>608</v>
      </c>
      <c r="LTG339" s="42" t="s">
        <v>608</v>
      </c>
      <c r="LTH339" s="42" t="s">
        <v>608</v>
      </c>
      <c r="LTI339" s="42" t="s">
        <v>608</v>
      </c>
      <c r="LTJ339" s="42" t="s">
        <v>608</v>
      </c>
      <c r="LTK339" s="42" t="s">
        <v>608</v>
      </c>
      <c r="LTL339" s="42" t="s">
        <v>608</v>
      </c>
      <c r="LTM339" s="42" t="s">
        <v>608</v>
      </c>
      <c r="LTN339" s="42" t="s">
        <v>608</v>
      </c>
      <c r="LTO339" s="42" t="s">
        <v>608</v>
      </c>
      <c r="LTP339" s="42" t="s">
        <v>608</v>
      </c>
      <c r="LTQ339" s="42" t="s">
        <v>608</v>
      </c>
      <c r="LTR339" s="42" t="s">
        <v>608</v>
      </c>
      <c r="LTS339" s="42" t="s">
        <v>608</v>
      </c>
      <c r="LTT339" s="42" t="s">
        <v>608</v>
      </c>
      <c r="LTU339" s="42" t="s">
        <v>608</v>
      </c>
      <c r="LTV339" s="42" t="s">
        <v>608</v>
      </c>
      <c r="LTW339" s="42" t="s">
        <v>608</v>
      </c>
      <c r="LTX339" s="42" t="s">
        <v>608</v>
      </c>
      <c r="LTY339" s="42" t="s">
        <v>608</v>
      </c>
      <c r="LTZ339" s="42" t="s">
        <v>608</v>
      </c>
      <c r="LUA339" s="42" t="s">
        <v>608</v>
      </c>
      <c r="LUB339" s="42" t="s">
        <v>608</v>
      </c>
      <c r="LUC339" s="42" t="s">
        <v>608</v>
      </c>
      <c r="LUD339" s="42" t="s">
        <v>608</v>
      </c>
      <c r="LUE339" s="42" t="s">
        <v>608</v>
      </c>
      <c r="LUF339" s="42" t="s">
        <v>608</v>
      </c>
      <c r="LUG339" s="42" t="s">
        <v>608</v>
      </c>
      <c r="LUH339" s="42" t="s">
        <v>608</v>
      </c>
      <c r="LUI339" s="42" t="s">
        <v>608</v>
      </c>
      <c r="LUJ339" s="42" t="s">
        <v>608</v>
      </c>
      <c r="LUK339" s="42" t="s">
        <v>608</v>
      </c>
      <c r="LUL339" s="42" t="s">
        <v>608</v>
      </c>
      <c r="LUM339" s="42" t="s">
        <v>608</v>
      </c>
      <c r="LUN339" s="42" t="s">
        <v>608</v>
      </c>
      <c r="LUO339" s="42" t="s">
        <v>608</v>
      </c>
      <c r="LUP339" s="42" t="s">
        <v>608</v>
      </c>
      <c r="LUQ339" s="42" t="s">
        <v>608</v>
      </c>
      <c r="LUR339" s="42" t="s">
        <v>608</v>
      </c>
      <c r="LUS339" s="42" t="s">
        <v>608</v>
      </c>
      <c r="LUT339" s="42" t="s">
        <v>608</v>
      </c>
      <c r="LUU339" s="42" t="s">
        <v>608</v>
      </c>
      <c r="LUV339" s="42" t="s">
        <v>608</v>
      </c>
      <c r="LUW339" s="42" t="s">
        <v>608</v>
      </c>
      <c r="LUX339" s="42" t="s">
        <v>608</v>
      </c>
      <c r="LUY339" s="42" t="s">
        <v>608</v>
      </c>
      <c r="LUZ339" s="42" t="s">
        <v>608</v>
      </c>
      <c r="LVA339" s="42" t="s">
        <v>608</v>
      </c>
      <c r="LVB339" s="42" t="s">
        <v>608</v>
      </c>
      <c r="LVC339" s="42" t="s">
        <v>608</v>
      </c>
      <c r="LVD339" s="42" t="s">
        <v>608</v>
      </c>
      <c r="LVE339" s="42" t="s">
        <v>608</v>
      </c>
      <c r="LVF339" s="42" t="s">
        <v>608</v>
      </c>
      <c r="LVG339" s="42" t="s">
        <v>608</v>
      </c>
      <c r="LVH339" s="42" t="s">
        <v>608</v>
      </c>
      <c r="LVI339" s="42" t="s">
        <v>608</v>
      </c>
      <c r="LVJ339" s="42" t="s">
        <v>608</v>
      </c>
      <c r="LVK339" s="42" t="s">
        <v>608</v>
      </c>
      <c r="LVL339" s="42" t="s">
        <v>608</v>
      </c>
      <c r="LVM339" s="42" t="s">
        <v>608</v>
      </c>
      <c r="LVN339" s="42" t="s">
        <v>608</v>
      </c>
      <c r="LVO339" s="42" t="s">
        <v>608</v>
      </c>
      <c r="LVP339" s="42" t="s">
        <v>608</v>
      </c>
      <c r="LVQ339" s="42" t="s">
        <v>608</v>
      </c>
      <c r="LVR339" s="42" t="s">
        <v>608</v>
      </c>
      <c r="LVS339" s="42" t="s">
        <v>608</v>
      </c>
      <c r="LVT339" s="42" t="s">
        <v>608</v>
      </c>
      <c r="LVU339" s="42" t="s">
        <v>608</v>
      </c>
      <c r="LVV339" s="42" t="s">
        <v>608</v>
      </c>
      <c r="LVW339" s="42" t="s">
        <v>608</v>
      </c>
      <c r="LVX339" s="42" t="s">
        <v>608</v>
      </c>
      <c r="LVY339" s="42" t="s">
        <v>608</v>
      </c>
      <c r="LVZ339" s="42" t="s">
        <v>608</v>
      </c>
      <c r="LWA339" s="42" t="s">
        <v>608</v>
      </c>
      <c r="LWB339" s="42" t="s">
        <v>608</v>
      </c>
      <c r="LWC339" s="42" t="s">
        <v>608</v>
      </c>
      <c r="LWD339" s="42" t="s">
        <v>608</v>
      </c>
      <c r="LWE339" s="42" t="s">
        <v>608</v>
      </c>
      <c r="LWF339" s="42" t="s">
        <v>608</v>
      </c>
      <c r="LWG339" s="42" t="s">
        <v>608</v>
      </c>
      <c r="LWH339" s="42" t="s">
        <v>608</v>
      </c>
      <c r="LWI339" s="42" t="s">
        <v>608</v>
      </c>
      <c r="LWJ339" s="42" t="s">
        <v>608</v>
      </c>
      <c r="LWK339" s="42" t="s">
        <v>608</v>
      </c>
      <c r="LWL339" s="42" t="s">
        <v>608</v>
      </c>
      <c r="LWM339" s="42" t="s">
        <v>608</v>
      </c>
      <c r="LWN339" s="42" t="s">
        <v>608</v>
      </c>
      <c r="LWO339" s="42" t="s">
        <v>608</v>
      </c>
      <c r="LWP339" s="42" t="s">
        <v>608</v>
      </c>
      <c r="LWQ339" s="42" t="s">
        <v>608</v>
      </c>
      <c r="LWR339" s="42" t="s">
        <v>608</v>
      </c>
      <c r="LWS339" s="42" t="s">
        <v>608</v>
      </c>
      <c r="LWT339" s="42" t="s">
        <v>608</v>
      </c>
      <c r="LWU339" s="42" t="s">
        <v>608</v>
      </c>
      <c r="LWV339" s="42" t="s">
        <v>608</v>
      </c>
      <c r="LWW339" s="42" t="s">
        <v>608</v>
      </c>
      <c r="LWX339" s="42" t="s">
        <v>608</v>
      </c>
      <c r="LWY339" s="42" t="s">
        <v>608</v>
      </c>
      <c r="LWZ339" s="42" t="s">
        <v>608</v>
      </c>
      <c r="LXA339" s="42" t="s">
        <v>608</v>
      </c>
      <c r="LXB339" s="42" t="s">
        <v>608</v>
      </c>
      <c r="LXC339" s="42" t="s">
        <v>608</v>
      </c>
      <c r="LXD339" s="42" t="s">
        <v>608</v>
      </c>
      <c r="LXE339" s="42" t="s">
        <v>608</v>
      </c>
      <c r="LXF339" s="42" t="s">
        <v>608</v>
      </c>
      <c r="LXG339" s="42" t="s">
        <v>608</v>
      </c>
      <c r="LXH339" s="42" t="s">
        <v>608</v>
      </c>
      <c r="LXI339" s="42" t="s">
        <v>608</v>
      </c>
      <c r="LXJ339" s="42" t="s">
        <v>608</v>
      </c>
      <c r="LXK339" s="42" t="s">
        <v>608</v>
      </c>
      <c r="LXL339" s="42" t="s">
        <v>608</v>
      </c>
      <c r="LXM339" s="42" t="s">
        <v>608</v>
      </c>
      <c r="LXN339" s="42" t="s">
        <v>608</v>
      </c>
      <c r="LXO339" s="42" t="s">
        <v>608</v>
      </c>
      <c r="LXP339" s="42" t="s">
        <v>608</v>
      </c>
      <c r="LXQ339" s="42" t="s">
        <v>608</v>
      </c>
      <c r="LXR339" s="42" t="s">
        <v>608</v>
      </c>
      <c r="LXS339" s="42" t="s">
        <v>608</v>
      </c>
      <c r="LXT339" s="42" t="s">
        <v>608</v>
      </c>
      <c r="LXU339" s="42" t="s">
        <v>608</v>
      </c>
      <c r="LXV339" s="42" t="s">
        <v>608</v>
      </c>
      <c r="LXW339" s="42" t="s">
        <v>608</v>
      </c>
      <c r="LXX339" s="42" t="s">
        <v>608</v>
      </c>
      <c r="LXY339" s="42" t="s">
        <v>608</v>
      </c>
      <c r="LXZ339" s="42" t="s">
        <v>608</v>
      </c>
      <c r="LYA339" s="42" t="s">
        <v>608</v>
      </c>
      <c r="LYB339" s="42" t="s">
        <v>608</v>
      </c>
      <c r="LYC339" s="42" t="s">
        <v>608</v>
      </c>
      <c r="LYD339" s="42" t="s">
        <v>608</v>
      </c>
      <c r="LYE339" s="42" t="s">
        <v>608</v>
      </c>
      <c r="LYF339" s="42" t="s">
        <v>608</v>
      </c>
      <c r="LYG339" s="42" t="s">
        <v>608</v>
      </c>
      <c r="LYH339" s="42" t="s">
        <v>608</v>
      </c>
      <c r="LYI339" s="42" t="s">
        <v>608</v>
      </c>
      <c r="LYJ339" s="42" t="s">
        <v>608</v>
      </c>
      <c r="LYK339" s="42" t="s">
        <v>608</v>
      </c>
      <c r="LYL339" s="42" t="s">
        <v>608</v>
      </c>
      <c r="LYM339" s="42" t="s">
        <v>608</v>
      </c>
      <c r="LYN339" s="42" t="s">
        <v>608</v>
      </c>
      <c r="LYO339" s="42" t="s">
        <v>608</v>
      </c>
      <c r="LYP339" s="42" t="s">
        <v>608</v>
      </c>
      <c r="LYQ339" s="42" t="s">
        <v>608</v>
      </c>
      <c r="LYR339" s="42" t="s">
        <v>608</v>
      </c>
      <c r="LYS339" s="42" t="s">
        <v>608</v>
      </c>
      <c r="LYT339" s="42" t="s">
        <v>608</v>
      </c>
      <c r="LYU339" s="42" t="s">
        <v>608</v>
      </c>
      <c r="LYV339" s="42" t="s">
        <v>608</v>
      </c>
      <c r="LYW339" s="42" t="s">
        <v>608</v>
      </c>
      <c r="LYX339" s="42" t="s">
        <v>608</v>
      </c>
      <c r="LYY339" s="42" t="s">
        <v>608</v>
      </c>
      <c r="LYZ339" s="42" t="s">
        <v>608</v>
      </c>
      <c r="LZA339" s="42" t="s">
        <v>608</v>
      </c>
      <c r="LZB339" s="42" t="s">
        <v>608</v>
      </c>
      <c r="LZC339" s="42" t="s">
        <v>608</v>
      </c>
      <c r="LZD339" s="42" t="s">
        <v>608</v>
      </c>
      <c r="LZE339" s="42" t="s">
        <v>608</v>
      </c>
      <c r="LZF339" s="42" t="s">
        <v>608</v>
      </c>
      <c r="LZG339" s="42" t="s">
        <v>608</v>
      </c>
      <c r="LZH339" s="42" t="s">
        <v>608</v>
      </c>
      <c r="LZI339" s="42" t="s">
        <v>608</v>
      </c>
      <c r="LZJ339" s="42" t="s">
        <v>608</v>
      </c>
      <c r="LZK339" s="42" t="s">
        <v>608</v>
      </c>
      <c r="LZL339" s="42" t="s">
        <v>608</v>
      </c>
      <c r="LZM339" s="42" t="s">
        <v>608</v>
      </c>
      <c r="LZN339" s="42" t="s">
        <v>608</v>
      </c>
      <c r="LZO339" s="42" t="s">
        <v>608</v>
      </c>
      <c r="LZP339" s="42" t="s">
        <v>608</v>
      </c>
      <c r="LZQ339" s="42" t="s">
        <v>608</v>
      </c>
      <c r="LZR339" s="42" t="s">
        <v>608</v>
      </c>
      <c r="LZS339" s="42" t="s">
        <v>608</v>
      </c>
      <c r="LZT339" s="42" t="s">
        <v>608</v>
      </c>
      <c r="LZU339" s="42" t="s">
        <v>608</v>
      </c>
      <c r="LZV339" s="42" t="s">
        <v>608</v>
      </c>
      <c r="LZW339" s="42" t="s">
        <v>608</v>
      </c>
      <c r="LZX339" s="42" t="s">
        <v>608</v>
      </c>
      <c r="LZY339" s="42" t="s">
        <v>608</v>
      </c>
      <c r="LZZ339" s="42" t="s">
        <v>608</v>
      </c>
      <c r="MAA339" s="42" t="s">
        <v>608</v>
      </c>
      <c r="MAB339" s="42" t="s">
        <v>608</v>
      </c>
      <c r="MAC339" s="42" t="s">
        <v>608</v>
      </c>
      <c r="MAD339" s="42" t="s">
        <v>608</v>
      </c>
      <c r="MAE339" s="42" t="s">
        <v>608</v>
      </c>
      <c r="MAF339" s="42" t="s">
        <v>608</v>
      </c>
      <c r="MAG339" s="42" t="s">
        <v>608</v>
      </c>
      <c r="MAH339" s="42" t="s">
        <v>608</v>
      </c>
      <c r="MAI339" s="42" t="s">
        <v>608</v>
      </c>
      <c r="MAJ339" s="42" t="s">
        <v>608</v>
      </c>
      <c r="MAK339" s="42" t="s">
        <v>608</v>
      </c>
      <c r="MAL339" s="42" t="s">
        <v>608</v>
      </c>
      <c r="MAM339" s="42" t="s">
        <v>608</v>
      </c>
      <c r="MAN339" s="42" t="s">
        <v>608</v>
      </c>
      <c r="MAO339" s="42" t="s">
        <v>608</v>
      </c>
      <c r="MAP339" s="42" t="s">
        <v>608</v>
      </c>
      <c r="MAQ339" s="42" t="s">
        <v>608</v>
      </c>
      <c r="MAR339" s="42" t="s">
        <v>608</v>
      </c>
      <c r="MAS339" s="42" t="s">
        <v>608</v>
      </c>
      <c r="MAT339" s="42" t="s">
        <v>608</v>
      </c>
      <c r="MAU339" s="42" t="s">
        <v>608</v>
      </c>
      <c r="MAV339" s="42" t="s">
        <v>608</v>
      </c>
      <c r="MAW339" s="42" t="s">
        <v>608</v>
      </c>
      <c r="MAX339" s="42" t="s">
        <v>608</v>
      </c>
      <c r="MAY339" s="42" t="s">
        <v>608</v>
      </c>
      <c r="MAZ339" s="42" t="s">
        <v>608</v>
      </c>
      <c r="MBA339" s="42" t="s">
        <v>608</v>
      </c>
      <c r="MBB339" s="42" t="s">
        <v>608</v>
      </c>
      <c r="MBC339" s="42" t="s">
        <v>608</v>
      </c>
      <c r="MBD339" s="42" t="s">
        <v>608</v>
      </c>
      <c r="MBE339" s="42" t="s">
        <v>608</v>
      </c>
      <c r="MBF339" s="42" t="s">
        <v>608</v>
      </c>
      <c r="MBG339" s="42" t="s">
        <v>608</v>
      </c>
      <c r="MBH339" s="42" t="s">
        <v>608</v>
      </c>
      <c r="MBI339" s="42" t="s">
        <v>608</v>
      </c>
      <c r="MBJ339" s="42" t="s">
        <v>608</v>
      </c>
      <c r="MBK339" s="42" t="s">
        <v>608</v>
      </c>
      <c r="MBL339" s="42" t="s">
        <v>608</v>
      </c>
      <c r="MBM339" s="42" t="s">
        <v>608</v>
      </c>
      <c r="MBN339" s="42" t="s">
        <v>608</v>
      </c>
      <c r="MBO339" s="42" t="s">
        <v>608</v>
      </c>
      <c r="MBP339" s="42" t="s">
        <v>608</v>
      </c>
      <c r="MBQ339" s="42" t="s">
        <v>608</v>
      </c>
      <c r="MBR339" s="42" t="s">
        <v>608</v>
      </c>
      <c r="MBS339" s="42" t="s">
        <v>608</v>
      </c>
      <c r="MBT339" s="42" t="s">
        <v>608</v>
      </c>
      <c r="MBU339" s="42" t="s">
        <v>608</v>
      </c>
      <c r="MBV339" s="42" t="s">
        <v>608</v>
      </c>
      <c r="MBW339" s="42" t="s">
        <v>608</v>
      </c>
      <c r="MBX339" s="42" t="s">
        <v>608</v>
      </c>
      <c r="MBY339" s="42" t="s">
        <v>608</v>
      </c>
      <c r="MBZ339" s="42" t="s">
        <v>608</v>
      </c>
      <c r="MCA339" s="42" t="s">
        <v>608</v>
      </c>
      <c r="MCB339" s="42" t="s">
        <v>608</v>
      </c>
      <c r="MCC339" s="42" t="s">
        <v>608</v>
      </c>
      <c r="MCD339" s="42" t="s">
        <v>608</v>
      </c>
      <c r="MCE339" s="42" t="s">
        <v>608</v>
      </c>
      <c r="MCF339" s="42" t="s">
        <v>608</v>
      </c>
      <c r="MCG339" s="42" t="s">
        <v>608</v>
      </c>
      <c r="MCH339" s="42" t="s">
        <v>608</v>
      </c>
      <c r="MCI339" s="42" t="s">
        <v>608</v>
      </c>
      <c r="MCJ339" s="42" t="s">
        <v>608</v>
      </c>
      <c r="MCK339" s="42" t="s">
        <v>608</v>
      </c>
      <c r="MCL339" s="42" t="s">
        <v>608</v>
      </c>
      <c r="MCM339" s="42" t="s">
        <v>608</v>
      </c>
      <c r="MCN339" s="42" t="s">
        <v>608</v>
      </c>
      <c r="MCO339" s="42" t="s">
        <v>608</v>
      </c>
      <c r="MCP339" s="42" t="s">
        <v>608</v>
      </c>
      <c r="MCQ339" s="42" t="s">
        <v>608</v>
      </c>
      <c r="MCR339" s="42" t="s">
        <v>608</v>
      </c>
      <c r="MCS339" s="42" t="s">
        <v>608</v>
      </c>
      <c r="MCT339" s="42" t="s">
        <v>608</v>
      </c>
      <c r="MCU339" s="42" t="s">
        <v>608</v>
      </c>
      <c r="MCV339" s="42" t="s">
        <v>608</v>
      </c>
      <c r="MCW339" s="42" t="s">
        <v>608</v>
      </c>
      <c r="MCX339" s="42" t="s">
        <v>608</v>
      </c>
      <c r="MCY339" s="42" t="s">
        <v>608</v>
      </c>
      <c r="MCZ339" s="42" t="s">
        <v>608</v>
      </c>
      <c r="MDA339" s="42" t="s">
        <v>608</v>
      </c>
      <c r="MDB339" s="42" t="s">
        <v>608</v>
      </c>
      <c r="MDC339" s="42" t="s">
        <v>608</v>
      </c>
      <c r="MDD339" s="42" t="s">
        <v>608</v>
      </c>
      <c r="MDE339" s="42" t="s">
        <v>608</v>
      </c>
      <c r="MDF339" s="42" t="s">
        <v>608</v>
      </c>
      <c r="MDG339" s="42" t="s">
        <v>608</v>
      </c>
      <c r="MDH339" s="42" t="s">
        <v>608</v>
      </c>
      <c r="MDI339" s="42" t="s">
        <v>608</v>
      </c>
      <c r="MDJ339" s="42" t="s">
        <v>608</v>
      </c>
      <c r="MDK339" s="42" t="s">
        <v>608</v>
      </c>
      <c r="MDL339" s="42" t="s">
        <v>608</v>
      </c>
      <c r="MDM339" s="42" t="s">
        <v>608</v>
      </c>
      <c r="MDN339" s="42" t="s">
        <v>608</v>
      </c>
      <c r="MDO339" s="42" t="s">
        <v>608</v>
      </c>
      <c r="MDP339" s="42" t="s">
        <v>608</v>
      </c>
      <c r="MDQ339" s="42" t="s">
        <v>608</v>
      </c>
      <c r="MDR339" s="42" t="s">
        <v>608</v>
      </c>
      <c r="MDS339" s="42" t="s">
        <v>608</v>
      </c>
      <c r="MDT339" s="42" t="s">
        <v>608</v>
      </c>
      <c r="MDU339" s="42" t="s">
        <v>608</v>
      </c>
      <c r="MDV339" s="42" t="s">
        <v>608</v>
      </c>
      <c r="MDW339" s="42" t="s">
        <v>608</v>
      </c>
      <c r="MDX339" s="42" t="s">
        <v>608</v>
      </c>
      <c r="MDY339" s="42" t="s">
        <v>608</v>
      </c>
      <c r="MDZ339" s="42" t="s">
        <v>608</v>
      </c>
      <c r="MEA339" s="42" t="s">
        <v>608</v>
      </c>
      <c r="MEB339" s="42" t="s">
        <v>608</v>
      </c>
      <c r="MEC339" s="42" t="s">
        <v>608</v>
      </c>
      <c r="MED339" s="42" t="s">
        <v>608</v>
      </c>
      <c r="MEE339" s="42" t="s">
        <v>608</v>
      </c>
      <c r="MEF339" s="42" t="s">
        <v>608</v>
      </c>
      <c r="MEG339" s="42" t="s">
        <v>608</v>
      </c>
      <c r="MEH339" s="42" t="s">
        <v>608</v>
      </c>
      <c r="MEI339" s="42" t="s">
        <v>608</v>
      </c>
      <c r="MEJ339" s="42" t="s">
        <v>608</v>
      </c>
      <c r="MEK339" s="42" t="s">
        <v>608</v>
      </c>
      <c r="MEL339" s="42" t="s">
        <v>608</v>
      </c>
      <c r="MEM339" s="42" t="s">
        <v>608</v>
      </c>
      <c r="MEN339" s="42" t="s">
        <v>608</v>
      </c>
      <c r="MEO339" s="42" t="s">
        <v>608</v>
      </c>
      <c r="MEP339" s="42" t="s">
        <v>608</v>
      </c>
      <c r="MEQ339" s="42" t="s">
        <v>608</v>
      </c>
      <c r="MER339" s="42" t="s">
        <v>608</v>
      </c>
      <c r="MES339" s="42" t="s">
        <v>608</v>
      </c>
      <c r="MET339" s="42" t="s">
        <v>608</v>
      </c>
      <c r="MEU339" s="42" t="s">
        <v>608</v>
      </c>
      <c r="MEV339" s="42" t="s">
        <v>608</v>
      </c>
      <c r="MEW339" s="42" t="s">
        <v>608</v>
      </c>
      <c r="MEX339" s="42" t="s">
        <v>608</v>
      </c>
      <c r="MEY339" s="42" t="s">
        <v>608</v>
      </c>
      <c r="MEZ339" s="42" t="s">
        <v>608</v>
      </c>
      <c r="MFA339" s="42" t="s">
        <v>608</v>
      </c>
      <c r="MFB339" s="42" t="s">
        <v>608</v>
      </c>
      <c r="MFC339" s="42" t="s">
        <v>608</v>
      </c>
      <c r="MFD339" s="42" t="s">
        <v>608</v>
      </c>
      <c r="MFE339" s="42" t="s">
        <v>608</v>
      </c>
      <c r="MFF339" s="42" t="s">
        <v>608</v>
      </c>
      <c r="MFG339" s="42" t="s">
        <v>608</v>
      </c>
      <c r="MFH339" s="42" t="s">
        <v>608</v>
      </c>
      <c r="MFI339" s="42" t="s">
        <v>608</v>
      </c>
      <c r="MFJ339" s="42" t="s">
        <v>608</v>
      </c>
      <c r="MFK339" s="42" t="s">
        <v>608</v>
      </c>
      <c r="MFL339" s="42" t="s">
        <v>608</v>
      </c>
      <c r="MFM339" s="42" t="s">
        <v>608</v>
      </c>
      <c r="MFN339" s="42" t="s">
        <v>608</v>
      </c>
      <c r="MFO339" s="42" t="s">
        <v>608</v>
      </c>
      <c r="MFP339" s="42" t="s">
        <v>608</v>
      </c>
      <c r="MFQ339" s="42" t="s">
        <v>608</v>
      </c>
      <c r="MFR339" s="42" t="s">
        <v>608</v>
      </c>
      <c r="MFS339" s="42" t="s">
        <v>608</v>
      </c>
      <c r="MFT339" s="42" t="s">
        <v>608</v>
      </c>
      <c r="MFU339" s="42" t="s">
        <v>608</v>
      </c>
      <c r="MFV339" s="42" t="s">
        <v>608</v>
      </c>
      <c r="MFW339" s="42" t="s">
        <v>608</v>
      </c>
      <c r="MFX339" s="42" t="s">
        <v>608</v>
      </c>
      <c r="MFY339" s="42" t="s">
        <v>608</v>
      </c>
      <c r="MFZ339" s="42" t="s">
        <v>608</v>
      </c>
      <c r="MGA339" s="42" t="s">
        <v>608</v>
      </c>
      <c r="MGB339" s="42" t="s">
        <v>608</v>
      </c>
      <c r="MGC339" s="42" t="s">
        <v>608</v>
      </c>
      <c r="MGD339" s="42" t="s">
        <v>608</v>
      </c>
      <c r="MGE339" s="42" t="s">
        <v>608</v>
      </c>
      <c r="MGF339" s="42" t="s">
        <v>608</v>
      </c>
      <c r="MGG339" s="42" t="s">
        <v>608</v>
      </c>
      <c r="MGH339" s="42" t="s">
        <v>608</v>
      </c>
      <c r="MGI339" s="42" t="s">
        <v>608</v>
      </c>
      <c r="MGJ339" s="42" t="s">
        <v>608</v>
      </c>
      <c r="MGK339" s="42" t="s">
        <v>608</v>
      </c>
      <c r="MGL339" s="42" t="s">
        <v>608</v>
      </c>
      <c r="MGM339" s="42" t="s">
        <v>608</v>
      </c>
      <c r="MGN339" s="42" t="s">
        <v>608</v>
      </c>
      <c r="MGO339" s="42" t="s">
        <v>608</v>
      </c>
      <c r="MGP339" s="42" t="s">
        <v>608</v>
      </c>
      <c r="MGQ339" s="42" t="s">
        <v>608</v>
      </c>
      <c r="MGR339" s="42" t="s">
        <v>608</v>
      </c>
      <c r="MGS339" s="42" t="s">
        <v>608</v>
      </c>
      <c r="MGT339" s="42" t="s">
        <v>608</v>
      </c>
      <c r="MGU339" s="42" t="s">
        <v>608</v>
      </c>
      <c r="MGV339" s="42" t="s">
        <v>608</v>
      </c>
      <c r="MGW339" s="42" t="s">
        <v>608</v>
      </c>
      <c r="MGX339" s="42" t="s">
        <v>608</v>
      </c>
      <c r="MGY339" s="42" t="s">
        <v>608</v>
      </c>
      <c r="MGZ339" s="42" t="s">
        <v>608</v>
      </c>
      <c r="MHA339" s="42" t="s">
        <v>608</v>
      </c>
      <c r="MHB339" s="42" t="s">
        <v>608</v>
      </c>
      <c r="MHC339" s="42" t="s">
        <v>608</v>
      </c>
      <c r="MHD339" s="42" t="s">
        <v>608</v>
      </c>
      <c r="MHE339" s="42" t="s">
        <v>608</v>
      </c>
      <c r="MHF339" s="42" t="s">
        <v>608</v>
      </c>
      <c r="MHG339" s="42" t="s">
        <v>608</v>
      </c>
      <c r="MHH339" s="42" t="s">
        <v>608</v>
      </c>
      <c r="MHI339" s="42" t="s">
        <v>608</v>
      </c>
      <c r="MHJ339" s="42" t="s">
        <v>608</v>
      </c>
      <c r="MHK339" s="42" t="s">
        <v>608</v>
      </c>
      <c r="MHL339" s="42" t="s">
        <v>608</v>
      </c>
      <c r="MHM339" s="42" t="s">
        <v>608</v>
      </c>
      <c r="MHN339" s="42" t="s">
        <v>608</v>
      </c>
      <c r="MHO339" s="42" t="s">
        <v>608</v>
      </c>
      <c r="MHP339" s="42" t="s">
        <v>608</v>
      </c>
      <c r="MHQ339" s="42" t="s">
        <v>608</v>
      </c>
      <c r="MHR339" s="42" t="s">
        <v>608</v>
      </c>
      <c r="MHS339" s="42" t="s">
        <v>608</v>
      </c>
      <c r="MHT339" s="42" t="s">
        <v>608</v>
      </c>
      <c r="MHU339" s="42" t="s">
        <v>608</v>
      </c>
      <c r="MHV339" s="42" t="s">
        <v>608</v>
      </c>
      <c r="MHW339" s="42" t="s">
        <v>608</v>
      </c>
      <c r="MHX339" s="42" t="s">
        <v>608</v>
      </c>
      <c r="MHY339" s="42" t="s">
        <v>608</v>
      </c>
      <c r="MHZ339" s="42" t="s">
        <v>608</v>
      </c>
      <c r="MIA339" s="42" t="s">
        <v>608</v>
      </c>
      <c r="MIB339" s="42" t="s">
        <v>608</v>
      </c>
      <c r="MIC339" s="42" t="s">
        <v>608</v>
      </c>
      <c r="MID339" s="42" t="s">
        <v>608</v>
      </c>
      <c r="MIE339" s="42" t="s">
        <v>608</v>
      </c>
      <c r="MIF339" s="42" t="s">
        <v>608</v>
      </c>
      <c r="MIG339" s="42" t="s">
        <v>608</v>
      </c>
      <c r="MIH339" s="42" t="s">
        <v>608</v>
      </c>
      <c r="MII339" s="42" t="s">
        <v>608</v>
      </c>
      <c r="MIJ339" s="42" t="s">
        <v>608</v>
      </c>
      <c r="MIK339" s="42" t="s">
        <v>608</v>
      </c>
      <c r="MIL339" s="42" t="s">
        <v>608</v>
      </c>
      <c r="MIM339" s="42" t="s">
        <v>608</v>
      </c>
      <c r="MIN339" s="42" t="s">
        <v>608</v>
      </c>
      <c r="MIO339" s="42" t="s">
        <v>608</v>
      </c>
      <c r="MIP339" s="42" t="s">
        <v>608</v>
      </c>
      <c r="MIQ339" s="42" t="s">
        <v>608</v>
      </c>
      <c r="MIR339" s="42" t="s">
        <v>608</v>
      </c>
      <c r="MIS339" s="42" t="s">
        <v>608</v>
      </c>
      <c r="MIT339" s="42" t="s">
        <v>608</v>
      </c>
      <c r="MIU339" s="42" t="s">
        <v>608</v>
      </c>
      <c r="MIV339" s="42" t="s">
        <v>608</v>
      </c>
      <c r="MIW339" s="42" t="s">
        <v>608</v>
      </c>
      <c r="MIX339" s="42" t="s">
        <v>608</v>
      </c>
      <c r="MIY339" s="42" t="s">
        <v>608</v>
      </c>
      <c r="MIZ339" s="42" t="s">
        <v>608</v>
      </c>
      <c r="MJA339" s="42" t="s">
        <v>608</v>
      </c>
      <c r="MJB339" s="42" t="s">
        <v>608</v>
      </c>
      <c r="MJC339" s="42" t="s">
        <v>608</v>
      </c>
      <c r="MJD339" s="42" t="s">
        <v>608</v>
      </c>
      <c r="MJE339" s="42" t="s">
        <v>608</v>
      </c>
      <c r="MJF339" s="42" t="s">
        <v>608</v>
      </c>
      <c r="MJG339" s="42" t="s">
        <v>608</v>
      </c>
      <c r="MJH339" s="42" t="s">
        <v>608</v>
      </c>
      <c r="MJI339" s="42" t="s">
        <v>608</v>
      </c>
      <c r="MJJ339" s="42" t="s">
        <v>608</v>
      </c>
      <c r="MJK339" s="42" t="s">
        <v>608</v>
      </c>
      <c r="MJL339" s="42" t="s">
        <v>608</v>
      </c>
      <c r="MJM339" s="42" t="s">
        <v>608</v>
      </c>
      <c r="MJN339" s="42" t="s">
        <v>608</v>
      </c>
      <c r="MJO339" s="42" t="s">
        <v>608</v>
      </c>
      <c r="MJP339" s="42" t="s">
        <v>608</v>
      </c>
      <c r="MJQ339" s="42" t="s">
        <v>608</v>
      </c>
      <c r="MJR339" s="42" t="s">
        <v>608</v>
      </c>
      <c r="MJS339" s="42" t="s">
        <v>608</v>
      </c>
      <c r="MJT339" s="42" t="s">
        <v>608</v>
      </c>
      <c r="MJU339" s="42" t="s">
        <v>608</v>
      </c>
      <c r="MJV339" s="42" t="s">
        <v>608</v>
      </c>
      <c r="MJW339" s="42" t="s">
        <v>608</v>
      </c>
      <c r="MJX339" s="42" t="s">
        <v>608</v>
      </c>
      <c r="MJY339" s="42" t="s">
        <v>608</v>
      </c>
      <c r="MJZ339" s="42" t="s">
        <v>608</v>
      </c>
      <c r="MKA339" s="42" t="s">
        <v>608</v>
      </c>
      <c r="MKB339" s="42" t="s">
        <v>608</v>
      </c>
      <c r="MKC339" s="42" t="s">
        <v>608</v>
      </c>
      <c r="MKD339" s="42" t="s">
        <v>608</v>
      </c>
      <c r="MKE339" s="42" t="s">
        <v>608</v>
      </c>
      <c r="MKF339" s="42" t="s">
        <v>608</v>
      </c>
      <c r="MKG339" s="42" t="s">
        <v>608</v>
      </c>
      <c r="MKH339" s="42" t="s">
        <v>608</v>
      </c>
      <c r="MKI339" s="42" t="s">
        <v>608</v>
      </c>
      <c r="MKJ339" s="42" t="s">
        <v>608</v>
      </c>
      <c r="MKK339" s="42" t="s">
        <v>608</v>
      </c>
      <c r="MKL339" s="42" t="s">
        <v>608</v>
      </c>
      <c r="MKM339" s="42" t="s">
        <v>608</v>
      </c>
      <c r="MKN339" s="42" t="s">
        <v>608</v>
      </c>
      <c r="MKO339" s="42" t="s">
        <v>608</v>
      </c>
      <c r="MKP339" s="42" t="s">
        <v>608</v>
      </c>
      <c r="MKQ339" s="42" t="s">
        <v>608</v>
      </c>
      <c r="MKR339" s="42" t="s">
        <v>608</v>
      </c>
      <c r="MKS339" s="42" t="s">
        <v>608</v>
      </c>
      <c r="MKT339" s="42" t="s">
        <v>608</v>
      </c>
      <c r="MKU339" s="42" t="s">
        <v>608</v>
      </c>
      <c r="MKV339" s="42" t="s">
        <v>608</v>
      </c>
      <c r="MKW339" s="42" t="s">
        <v>608</v>
      </c>
      <c r="MKX339" s="42" t="s">
        <v>608</v>
      </c>
      <c r="MKY339" s="42" t="s">
        <v>608</v>
      </c>
      <c r="MKZ339" s="42" t="s">
        <v>608</v>
      </c>
      <c r="MLA339" s="42" t="s">
        <v>608</v>
      </c>
      <c r="MLB339" s="42" t="s">
        <v>608</v>
      </c>
      <c r="MLC339" s="42" t="s">
        <v>608</v>
      </c>
      <c r="MLD339" s="42" t="s">
        <v>608</v>
      </c>
      <c r="MLE339" s="42" t="s">
        <v>608</v>
      </c>
      <c r="MLF339" s="42" t="s">
        <v>608</v>
      </c>
      <c r="MLG339" s="42" t="s">
        <v>608</v>
      </c>
      <c r="MLH339" s="42" t="s">
        <v>608</v>
      </c>
      <c r="MLI339" s="42" t="s">
        <v>608</v>
      </c>
      <c r="MLJ339" s="42" t="s">
        <v>608</v>
      </c>
      <c r="MLK339" s="42" t="s">
        <v>608</v>
      </c>
      <c r="MLL339" s="42" t="s">
        <v>608</v>
      </c>
      <c r="MLM339" s="42" t="s">
        <v>608</v>
      </c>
      <c r="MLN339" s="42" t="s">
        <v>608</v>
      </c>
      <c r="MLO339" s="42" t="s">
        <v>608</v>
      </c>
      <c r="MLP339" s="42" t="s">
        <v>608</v>
      </c>
      <c r="MLQ339" s="42" t="s">
        <v>608</v>
      </c>
      <c r="MLR339" s="42" t="s">
        <v>608</v>
      </c>
      <c r="MLS339" s="42" t="s">
        <v>608</v>
      </c>
      <c r="MLT339" s="42" t="s">
        <v>608</v>
      </c>
      <c r="MLU339" s="42" t="s">
        <v>608</v>
      </c>
      <c r="MLV339" s="42" t="s">
        <v>608</v>
      </c>
      <c r="MLW339" s="42" t="s">
        <v>608</v>
      </c>
      <c r="MLX339" s="42" t="s">
        <v>608</v>
      </c>
      <c r="MLY339" s="42" t="s">
        <v>608</v>
      </c>
      <c r="MLZ339" s="42" t="s">
        <v>608</v>
      </c>
      <c r="MMA339" s="42" t="s">
        <v>608</v>
      </c>
      <c r="MMB339" s="42" t="s">
        <v>608</v>
      </c>
      <c r="MMC339" s="42" t="s">
        <v>608</v>
      </c>
      <c r="MMD339" s="42" t="s">
        <v>608</v>
      </c>
      <c r="MME339" s="42" t="s">
        <v>608</v>
      </c>
      <c r="MMF339" s="42" t="s">
        <v>608</v>
      </c>
      <c r="MMG339" s="42" t="s">
        <v>608</v>
      </c>
      <c r="MMH339" s="42" t="s">
        <v>608</v>
      </c>
      <c r="MMI339" s="42" t="s">
        <v>608</v>
      </c>
      <c r="MMJ339" s="42" t="s">
        <v>608</v>
      </c>
      <c r="MMK339" s="42" t="s">
        <v>608</v>
      </c>
      <c r="MML339" s="42" t="s">
        <v>608</v>
      </c>
      <c r="MMM339" s="42" t="s">
        <v>608</v>
      </c>
      <c r="MMN339" s="42" t="s">
        <v>608</v>
      </c>
      <c r="MMO339" s="42" t="s">
        <v>608</v>
      </c>
      <c r="MMP339" s="42" t="s">
        <v>608</v>
      </c>
      <c r="MMQ339" s="42" t="s">
        <v>608</v>
      </c>
      <c r="MMR339" s="42" t="s">
        <v>608</v>
      </c>
      <c r="MMS339" s="42" t="s">
        <v>608</v>
      </c>
      <c r="MMT339" s="42" t="s">
        <v>608</v>
      </c>
      <c r="MMU339" s="42" t="s">
        <v>608</v>
      </c>
      <c r="MMV339" s="42" t="s">
        <v>608</v>
      </c>
      <c r="MMW339" s="42" t="s">
        <v>608</v>
      </c>
      <c r="MMX339" s="42" t="s">
        <v>608</v>
      </c>
      <c r="MMY339" s="42" t="s">
        <v>608</v>
      </c>
      <c r="MMZ339" s="42" t="s">
        <v>608</v>
      </c>
      <c r="MNA339" s="42" t="s">
        <v>608</v>
      </c>
      <c r="MNB339" s="42" t="s">
        <v>608</v>
      </c>
      <c r="MNC339" s="42" t="s">
        <v>608</v>
      </c>
      <c r="MND339" s="42" t="s">
        <v>608</v>
      </c>
      <c r="MNE339" s="42" t="s">
        <v>608</v>
      </c>
      <c r="MNF339" s="42" t="s">
        <v>608</v>
      </c>
      <c r="MNG339" s="42" t="s">
        <v>608</v>
      </c>
      <c r="MNH339" s="42" t="s">
        <v>608</v>
      </c>
      <c r="MNI339" s="42" t="s">
        <v>608</v>
      </c>
      <c r="MNJ339" s="42" t="s">
        <v>608</v>
      </c>
      <c r="MNK339" s="42" t="s">
        <v>608</v>
      </c>
      <c r="MNL339" s="42" t="s">
        <v>608</v>
      </c>
      <c r="MNM339" s="42" t="s">
        <v>608</v>
      </c>
      <c r="MNN339" s="42" t="s">
        <v>608</v>
      </c>
      <c r="MNO339" s="42" t="s">
        <v>608</v>
      </c>
      <c r="MNP339" s="42" t="s">
        <v>608</v>
      </c>
      <c r="MNQ339" s="42" t="s">
        <v>608</v>
      </c>
      <c r="MNR339" s="42" t="s">
        <v>608</v>
      </c>
      <c r="MNS339" s="42" t="s">
        <v>608</v>
      </c>
      <c r="MNT339" s="42" t="s">
        <v>608</v>
      </c>
      <c r="MNU339" s="42" t="s">
        <v>608</v>
      </c>
      <c r="MNV339" s="42" t="s">
        <v>608</v>
      </c>
      <c r="MNW339" s="42" t="s">
        <v>608</v>
      </c>
      <c r="MNX339" s="42" t="s">
        <v>608</v>
      </c>
      <c r="MNY339" s="42" t="s">
        <v>608</v>
      </c>
      <c r="MNZ339" s="42" t="s">
        <v>608</v>
      </c>
      <c r="MOA339" s="42" t="s">
        <v>608</v>
      </c>
      <c r="MOB339" s="42" t="s">
        <v>608</v>
      </c>
      <c r="MOC339" s="42" t="s">
        <v>608</v>
      </c>
      <c r="MOD339" s="42" t="s">
        <v>608</v>
      </c>
      <c r="MOE339" s="42" t="s">
        <v>608</v>
      </c>
      <c r="MOF339" s="42" t="s">
        <v>608</v>
      </c>
      <c r="MOG339" s="42" t="s">
        <v>608</v>
      </c>
      <c r="MOH339" s="42" t="s">
        <v>608</v>
      </c>
      <c r="MOI339" s="42" t="s">
        <v>608</v>
      </c>
      <c r="MOJ339" s="42" t="s">
        <v>608</v>
      </c>
      <c r="MOK339" s="42" t="s">
        <v>608</v>
      </c>
      <c r="MOL339" s="42" t="s">
        <v>608</v>
      </c>
      <c r="MOM339" s="42" t="s">
        <v>608</v>
      </c>
      <c r="MON339" s="42" t="s">
        <v>608</v>
      </c>
      <c r="MOO339" s="42" t="s">
        <v>608</v>
      </c>
      <c r="MOP339" s="42" t="s">
        <v>608</v>
      </c>
      <c r="MOQ339" s="42" t="s">
        <v>608</v>
      </c>
      <c r="MOR339" s="42" t="s">
        <v>608</v>
      </c>
      <c r="MOS339" s="42" t="s">
        <v>608</v>
      </c>
      <c r="MOT339" s="42" t="s">
        <v>608</v>
      </c>
      <c r="MOU339" s="42" t="s">
        <v>608</v>
      </c>
      <c r="MOV339" s="42" t="s">
        <v>608</v>
      </c>
      <c r="MOW339" s="42" t="s">
        <v>608</v>
      </c>
      <c r="MOX339" s="42" t="s">
        <v>608</v>
      </c>
      <c r="MOY339" s="42" t="s">
        <v>608</v>
      </c>
      <c r="MOZ339" s="42" t="s">
        <v>608</v>
      </c>
      <c r="MPA339" s="42" t="s">
        <v>608</v>
      </c>
      <c r="MPB339" s="42" t="s">
        <v>608</v>
      </c>
      <c r="MPC339" s="42" t="s">
        <v>608</v>
      </c>
      <c r="MPD339" s="42" t="s">
        <v>608</v>
      </c>
      <c r="MPE339" s="42" t="s">
        <v>608</v>
      </c>
      <c r="MPF339" s="42" t="s">
        <v>608</v>
      </c>
      <c r="MPG339" s="42" t="s">
        <v>608</v>
      </c>
      <c r="MPH339" s="42" t="s">
        <v>608</v>
      </c>
      <c r="MPI339" s="42" t="s">
        <v>608</v>
      </c>
      <c r="MPJ339" s="42" t="s">
        <v>608</v>
      </c>
      <c r="MPK339" s="42" t="s">
        <v>608</v>
      </c>
      <c r="MPL339" s="42" t="s">
        <v>608</v>
      </c>
      <c r="MPM339" s="42" t="s">
        <v>608</v>
      </c>
      <c r="MPN339" s="42" t="s">
        <v>608</v>
      </c>
      <c r="MPO339" s="42" t="s">
        <v>608</v>
      </c>
      <c r="MPP339" s="42" t="s">
        <v>608</v>
      </c>
      <c r="MPQ339" s="42" t="s">
        <v>608</v>
      </c>
      <c r="MPR339" s="42" t="s">
        <v>608</v>
      </c>
      <c r="MPS339" s="42" t="s">
        <v>608</v>
      </c>
      <c r="MPT339" s="42" t="s">
        <v>608</v>
      </c>
      <c r="MPU339" s="42" t="s">
        <v>608</v>
      </c>
      <c r="MPV339" s="42" t="s">
        <v>608</v>
      </c>
      <c r="MPW339" s="42" t="s">
        <v>608</v>
      </c>
      <c r="MPX339" s="42" t="s">
        <v>608</v>
      </c>
      <c r="MPY339" s="42" t="s">
        <v>608</v>
      </c>
      <c r="MPZ339" s="42" t="s">
        <v>608</v>
      </c>
      <c r="MQA339" s="42" t="s">
        <v>608</v>
      </c>
      <c r="MQB339" s="42" t="s">
        <v>608</v>
      </c>
      <c r="MQC339" s="42" t="s">
        <v>608</v>
      </c>
      <c r="MQD339" s="42" t="s">
        <v>608</v>
      </c>
      <c r="MQE339" s="42" t="s">
        <v>608</v>
      </c>
      <c r="MQF339" s="42" t="s">
        <v>608</v>
      </c>
      <c r="MQG339" s="42" t="s">
        <v>608</v>
      </c>
      <c r="MQH339" s="42" t="s">
        <v>608</v>
      </c>
      <c r="MQI339" s="42" t="s">
        <v>608</v>
      </c>
      <c r="MQJ339" s="42" t="s">
        <v>608</v>
      </c>
      <c r="MQK339" s="42" t="s">
        <v>608</v>
      </c>
      <c r="MQL339" s="42" t="s">
        <v>608</v>
      </c>
      <c r="MQM339" s="42" t="s">
        <v>608</v>
      </c>
      <c r="MQN339" s="42" t="s">
        <v>608</v>
      </c>
      <c r="MQO339" s="42" t="s">
        <v>608</v>
      </c>
      <c r="MQP339" s="42" t="s">
        <v>608</v>
      </c>
      <c r="MQQ339" s="42" t="s">
        <v>608</v>
      </c>
      <c r="MQR339" s="42" t="s">
        <v>608</v>
      </c>
      <c r="MQS339" s="42" t="s">
        <v>608</v>
      </c>
      <c r="MQT339" s="42" t="s">
        <v>608</v>
      </c>
      <c r="MQU339" s="42" t="s">
        <v>608</v>
      </c>
      <c r="MQV339" s="42" t="s">
        <v>608</v>
      </c>
      <c r="MQW339" s="42" t="s">
        <v>608</v>
      </c>
      <c r="MQX339" s="42" t="s">
        <v>608</v>
      </c>
      <c r="MQY339" s="42" t="s">
        <v>608</v>
      </c>
      <c r="MQZ339" s="42" t="s">
        <v>608</v>
      </c>
      <c r="MRA339" s="42" t="s">
        <v>608</v>
      </c>
      <c r="MRB339" s="42" t="s">
        <v>608</v>
      </c>
      <c r="MRC339" s="42" t="s">
        <v>608</v>
      </c>
      <c r="MRD339" s="42" t="s">
        <v>608</v>
      </c>
      <c r="MRE339" s="42" t="s">
        <v>608</v>
      </c>
      <c r="MRF339" s="42" t="s">
        <v>608</v>
      </c>
      <c r="MRG339" s="42" t="s">
        <v>608</v>
      </c>
      <c r="MRH339" s="42" t="s">
        <v>608</v>
      </c>
      <c r="MRI339" s="42" t="s">
        <v>608</v>
      </c>
      <c r="MRJ339" s="42" t="s">
        <v>608</v>
      </c>
      <c r="MRK339" s="42" t="s">
        <v>608</v>
      </c>
      <c r="MRL339" s="42" t="s">
        <v>608</v>
      </c>
      <c r="MRM339" s="42" t="s">
        <v>608</v>
      </c>
      <c r="MRN339" s="42" t="s">
        <v>608</v>
      </c>
      <c r="MRO339" s="42" t="s">
        <v>608</v>
      </c>
      <c r="MRP339" s="42" t="s">
        <v>608</v>
      </c>
      <c r="MRQ339" s="42" t="s">
        <v>608</v>
      </c>
      <c r="MRR339" s="42" t="s">
        <v>608</v>
      </c>
      <c r="MRS339" s="42" t="s">
        <v>608</v>
      </c>
      <c r="MRT339" s="42" t="s">
        <v>608</v>
      </c>
      <c r="MRU339" s="42" t="s">
        <v>608</v>
      </c>
      <c r="MRV339" s="42" t="s">
        <v>608</v>
      </c>
      <c r="MRW339" s="42" t="s">
        <v>608</v>
      </c>
      <c r="MRX339" s="42" t="s">
        <v>608</v>
      </c>
      <c r="MRY339" s="42" t="s">
        <v>608</v>
      </c>
      <c r="MRZ339" s="42" t="s">
        <v>608</v>
      </c>
      <c r="MSA339" s="42" t="s">
        <v>608</v>
      </c>
      <c r="MSB339" s="42" t="s">
        <v>608</v>
      </c>
      <c r="MSC339" s="42" t="s">
        <v>608</v>
      </c>
      <c r="MSD339" s="42" t="s">
        <v>608</v>
      </c>
      <c r="MSE339" s="42" t="s">
        <v>608</v>
      </c>
      <c r="MSF339" s="42" t="s">
        <v>608</v>
      </c>
      <c r="MSG339" s="42" t="s">
        <v>608</v>
      </c>
      <c r="MSH339" s="42" t="s">
        <v>608</v>
      </c>
      <c r="MSI339" s="42" t="s">
        <v>608</v>
      </c>
      <c r="MSJ339" s="42" t="s">
        <v>608</v>
      </c>
      <c r="MSK339" s="42" t="s">
        <v>608</v>
      </c>
      <c r="MSL339" s="42" t="s">
        <v>608</v>
      </c>
      <c r="MSM339" s="42" t="s">
        <v>608</v>
      </c>
      <c r="MSN339" s="42" t="s">
        <v>608</v>
      </c>
      <c r="MSO339" s="42" t="s">
        <v>608</v>
      </c>
      <c r="MSP339" s="42" t="s">
        <v>608</v>
      </c>
      <c r="MSQ339" s="42" t="s">
        <v>608</v>
      </c>
      <c r="MSR339" s="42" t="s">
        <v>608</v>
      </c>
      <c r="MSS339" s="42" t="s">
        <v>608</v>
      </c>
      <c r="MST339" s="42" t="s">
        <v>608</v>
      </c>
      <c r="MSU339" s="42" t="s">
        <v>608</v>
      </c>
      <c r="MSV339" s="42" t="s">
        <v>608</v>
      </c>
      <c r="MSW339" s="42" t="s">
        <v>608</v>
      </c>
      <c r="MSX339" s="42" t="s">
        <v>608</v>
      </c>
      <c r="MSY339" s="42" t="s">
        <v>608</v>
      </c>
      <c r="MSZ339" s="42" t="s">
        <v>608</v>
      </c>
      <c r="MTA339" s="42" t="s">
        <v>608</v>
      </c>
      <c r="MTB339" s="42" t="s">
        <v>608</v>
      </c>
      <c r="MTC339" s="42" t="s">
        <v>608</v>
      </c>
      <c r="MTD339" s="42" t="s">
        <v>608</v>
      </c>
      <c r="MTE339" s="42" t="s">
        <v>608</v>
      </c>
      <c r="MTF339" s="42" t="s">
        <v>608</v>
      </c>
      <c r="MTG339" s="42" t="s">
        <v>608</v>
      </c>
      <c r="MTH339" s="42" t="s">
        <v>608</v>
      </c>
      <c r="MTI339" s="42" t="s">
        <v>608</v>
      </c>
      <c r="MTJ339" s="42" t="s">
        <v>608</v>
      </c>
      <c r="MTK339" s="42" t="s">
        <v>608</v>
      </c>
      <c r="MTL339" s="42" t="s">
        <v>608</v>
      </c>
      <c r="MTM339" s="42" t="s">
        <v>608</v>
      </c>
      <c r="MTN339" s="42" t="s">
        <v>608</v>
      </c>
      <c r="MTO339" s="42" t="s">
        <v>608</v>
      </c>
      <c r="MTP339" s="42" t="s">
        <v>608</v>
      </c>
      <c r="MTQ339" s="42" t="s">
        <v>608</v>
      </c>
      <c r="MTR339" s="42" t="s">
        <v>608</v>
      </c>
      <c r="MTS339" s="42" t="s">
        <v>608</v>
      </c>
      <c r="MTT339" s="42" t="s">
        <v>608</v>
      </c>
      <c r="MTU339" s="42" t="s">
        <v>608</v>
      </c>
      <c r="MTV339" s="42" t="s">
        <v>608</v>
      </c>
      <c r="MTW339" s="42" t="s">
        <v>608</v>
      </c>
      <c r="MTX339" s="42" t="s">
        <v>608</v>
      </c>
      <c r="MTY339" s="42" t="s">
        <v>608</v>
      </c>
      <c r="MTZ339" s="42" t="s">
        <v>608</v>
      </c>
      <c r="MUA339" s="42" t="s">
        <v>608</v>
      </c>
      <c r="MUB339" s="42" t="s">
        <v>608</v>
      </c>
      <c r="MUC339" s="42" t="s">
        <v>608</v>
      </c>
      <c r="MUD339" s="42" t="s">
        <v>608</v>
      </c>
      <c r="MUE339" s="42" t="s">
        <v>608</v>
      </c>
      <c r="MUF339" s="42" t="s">
        <v>608</v>
      </c>
      <c r="MUG339" s="42" t="s">
        <v>608</v>
      </c>
      <c r="MUH339" s="42" t="s">
        <v>608</v>
      </c>
      <c r="MUI339" s="42" t="s">
        <v>608</v>
      </c>
      <c r="MUJ339" s="42" t="s">
        <v>608</v>
      </c>
      <c r="MUK339" s="42" t="s">
        <v>608</v>
      </c>
      <c r="MUL339" s="42" t="s">
        <v>608</v>
      </c>
      <c r="MUM339" s="42" t="s">
        <v>608</v>
      </c>
      <c r="MUN339" s="42" t="s">
        <v>608</v>
      </c>
      <c r="MUO339" s="42" t="s">
        <v>608</v>
      </c>
      <c r="MUP339" s="42" t="s">
        <v>608</v>
      </c>
      <c r="MUQ339" s="42" t="s">
        <v>608</v>
      </c>
      <c r="MUR339" s="42" t="s">
        <v>608</v>
      </c>
      <c r="MUS339" s="42" t="s">
        <v>608</v>
      </c>
      <c r="MUT339" s="42" t="s">
        <v>608</v>
      </c>
      <c r="MUU339" s="42" t="s">
        <v>608</v>
      </c>
      <c r="MUV339" s="42" t="s">
        <v>608</v>
      </c>
      <c r="MUW339" s="42" t="s">
        <v>608</v>
      </c>
      <c r="MUX339" s="42" t="s">
        <v>608</v>
      </c>
      <c r="MUY339" s="42" t="s">
        <v>608</v>
      </c>
      <c r="MUZ339" s="42" t="s">
        <v>608</v>
      </c>
      <c r="MVA339" s="42" t="s">
        <v>608</v>
      </c>
      <c r="MVB339" s="42" t="s">
        <v>608</v>
      </c>
      <c r="MVC339" s="42" t="s">
        <v>608</v>
      </c>
      <c r="MVD339" s="42" t="s">
        <v>608</v>
      </c>
      <c r="MVE339" s="42" t="s">
        <v>608</v>
      </c>
      <c r="MVF339" s="42" t="s">
        <v>608</v>
      </c>
      <c r="MVG339" s="42" t="s">
        <v>608</v>
      </c>
      <c r="MVH339" s="42" t="s">
        <v>608</v>
      </c>
      <c r="MVI339" s="42" t="s">
        <v>608</v>
      </c>
      <c r="MVJ339" s="42" t="s">
        <v>608</v>
      </c>
      <c r="MVK339" s="42" t="s">
        <v>608</v>
      </c>
      <c r="MVL339" s="42" t="s">
        <v>608</v>
      </c>
      <c r="MVM339" s="42" t="s">
        <v>608</v>
      </c>
      <c r="MVN339" s="42" t="s">
        <v>608</v>
      </c>
      <c r="MVO339" s="42" t="s">
        <v>608</v>
      </c>
      <c r="MVP339" s="42" t="s">
        <v>608</v>
      </c>
      <c r="MVQ339" s="42" t="s">
        <v>608</v>
      </c>
      <c r="MVR339" s="42" t="s">
        <v>608</v>
      </c>
      <c r="MVS339" s="42" t="s">
        <v>608</v>
      </c>
      <c r="MVT339" s="42" t="s">
        <v>608</v>
      </c>
      <c r="MVU339" s="42" t="s">
        <v>608</v>
      </c>
      <c r="MVV339" s="42" t="s">
        <v>608</v>
      </c>
      <c r="MVW339" s="42" t="s">
        <v>608</v>
      </c>
      <c r="MVX339" s="42" t="s">
        <v>608</v>
      </c>
      <c r="MVY339" s="42" t="s">
        <v>608</v>
      </c>
      <c r="MVZ339" s="42" t="s">
        <v>608</v>
      </c>
      <c r="MWA339" s="42" t="s">
        <v>608</v>
      </c>
      <c r="MWB339" s="42" t="s">
        <v>608</v>
      </c>
      <c r="MWC339" s="42" t="s">
        <v>608</v>
      </c>
      <c r="MWD339" s="42" t="s">
        <v>608</v>
      </c>
      <c r="MWE339" s="42" t="s">
        <v>608</v>
      </c>
      <c r="MWF339" s="42" t="s">
        <v>608</v>
      </c>
      <c r="MWG339" s="42" t="s">
        <v>608</v>
      </c>
      <c r="MWH339" s="42" t="s">
        <v>608</v>
      </c>
      <c r="MWI339" s="42" t="s">
        <v>608</v>
      </c>
      <c r="MWJ339" s="42" t="s">
        <v>608</v>
      </c>
      <c r="MWK339" s="42" t="s">
        <v>608</v>
      </c>
      <c r="MWL339" s="42" t="s">
        <v>608</v>
      </c>
      <c r="MWM339" s="42" t="s">
        <v>608</v>
      </c>
      <c r="MWN339" s="42" t="s">
        <v>608</v>
      </c>
      <c r="MWO339" s="42" t="s">
        <v>608</v>
      </c>
      <c r="MWP339" s="42" t="s">
        <v>608</v>
      </c>
      <c r="MWQ339" s="42" t="s">
        <v>608</v>
      </c>
      <c r="MWR339" s="42" t="s">
        <v>608</v>
      </c>
      <c r="MWS339" s="42" t="s">
        <v>608</v>
      </c>
      <c r="MWT339" s="42" t="s">
        <v>608</v>
      </c>
      <c r="MWU339" s="42" t="s">
        <v>608</v>
      </c>
      <c r="MWV339" s="42" t="s">
        <v>608</v>
      </c>
      <c r="MWW339" s="42" t="s">
        <v>608</v>
      </c>
      <c r="MWX339" s="42" t="s">
        <v>608</v>
      </c>
      <c r="MWY339" s="42" t="s">
        <v>608</v>
      </c>
      <c r="MWZ339" s="42" t="s">
        <v>608</v>
      </c>
      <c r="MXA339" s="42" t="s">
        <v>608</v>
      </c>
      <c r="MXB339" s="42" t="s">
        <v>608</v>
      </c>
      <c r="MXC339" s="42" t="s">
        <v>608</v>
      </c>
      <c r="MXD339" s="42" t="s">
        <v>608</v>
      </c>
      <c r="MXE339" s="42" t="s">
        <v>608</v>
      </c>
      <c r="MXF339" s="42" t="s">
        <v>608</v>
      </c>
      <c r="MXG339" s="42" t="s">
        <v>608</v>
      </c>
      <c r="MXH339" s="42" t="s">
        <v>608</v>
      </c>
      <c r="MXI339" s="42" t="s">
        <v>608</v>
      </c>
      <c r="MXJ339" s="42" t="s">
        <v>608</v>
      </c>
      <c r="MXK339" s="42" t="s">
        <v>608</v>
      </c>
      <c r="MXL339" s="42" t="s">
        <v>608</v>
      </c>
      <c r="MXM339" s="42" t="s">
        <v>608</v>
      </c>
      <c r="MXN339" s="42" t="s">
        <v>608</v>
      </c>
      <c r="MXO339" s="42" t="s">
        <v>608</v>
      </c>
      <c r="MXP339" s="42" t="s">
        <v>608</v>
      </c>
      <c r="MXQ339" s="42" t="s">
        <v>608</v>
      </c>
      <c r="MXR339" s="42" t="s">
        <v>608</v>
      </c>
      <c r="MXS339" s="42" t="s">
        <v>608</v>
      </c>
      <c r="MXT339" s="42" t="s">
        <v>608</v>
      </c>
      <c r="MXU339" s="42" t="s">
        <v>608</v>
      </c>
      <c r="MXV339" s="42" t="s">
        <v>608</v>
      </c>
      <c r="MXW339" s="42" t="s">
        <v>608</v>
      </c>
      <c r="MXX339" s="42" t="s">
        <v>608</v>
      </c>
      <c r="MXY339" s="42" t="s">
        <v>608</v>
      </c>
      <c r="MXZ339" s="42" t="s">
        <v>608</v>
      </c>
      <c r="MYA339" s="42" t="s">
        <v>608</v>
      </c>
      <c r="MYB339" s="42" t="s">
        <v>608</v>
      </c>
      <c r="MYC339" s="42" t="s">
        <v>608</v>
      </c>
      <c r="MYD339" s="42" t="s">
        <v>608</v>
      </c>
      <c r="MYE339" s="42" t="s">
        <v>608</v>
      </c>
      <c r="MYF339" s="42" t="s">
        <v>608</v>
      </c>
      <c r="MYG339" s="42" t="s">
        <v>608</v>
      </c>
      <c r="MYH339" s="42" t="s">
        <v>608</v>
      </c>
      <c r="MYI339" s="42" t="s">
        <v>608</v>
      </c>
      <c r="MYJ339" s="42" t="s">
        <v>608</v>
      </c>
      <c r="MYK339" s="42" t="s">
        <v>608</v>
      </c>
      <c r="MYL339" s="42" t="s">
        <v>608</v>
      </c>
      <c r="MYM339" s="42" t="s">
        <v>608</v>
      </c>
      <c r="MYN339" s="42" t="s">
        <v>608</v>
      </c>
      <c r="MYO339" s="42" t="s">
        <v>608</v>
      </c>
      <c r="MYP339" s="42" t="s">
        <v>608</v>
      </c>
      <c r="MYQ339" s="42" t="s">
        <v>608</v>
      </c>
      <c r="MYR339" s="42" t="s">
        <v>608</v>
      </c>
      <c r="MYS339" s="42" t="s">
        <v>608</v>
      </c>
      <c r="MYT339" s="42" t="s">
        <v>608</v>
      </c>
      <c r="MYU339" s="42" t="s">
        <v>608</v>
      </c>
      <c r="MYV339" s="42" t="s">
        <v>608</v>
      </c>
      <c r="MYW339" s="42" t="s">
        <v>608</v>
      </c>
      <c r="MYX339" s="42" t="s">
        <v>608</v>
      </c>
      <c r="MYY339" s="42" t="s">
        <v>608</v>
      </c>
      <c r="MYZ339" s="42" t="s">
        <v>608</v>
      </c>
      <c r="MZA339" s="42" t="s">
        <v>608</v>
      </c>
      <c r="MZB339" s="42" t="s">
        <v>608</v>
      </c>
      <c r="MZC339" s="42" t="s">
        <v>608</v>
      </c>
      <c r="MZD339" s="42" t="s">
        <v>608</v>
      </c>
      <c r="MZE339" s="42" t="s">
        <v>608</v>
      </c>
      <c r="MZF339" s="42" t="s">
        <v>608</v>
      </c>
      <c r="MZG339" s="42" t="s">
        <v>608</v>
      </c>
      <c r="MZH339" s="42" t="s">
        <v>608</v>
      </c>
      <c r="MZI339" s="42" t="s">
        <v>608</v>
      </c>
      <c r="MZJ339" s="42" t="s">
        <v>608</v>
      </c>
      <c r="MZK339" s="42" t="s">
        <v>608</v>
      </c>
      <c r="MZL339" s="42" t="s">
        <v>608</v>
      </c>
      <c r="MZM339" s="42" t="s">
        <v>608</v>
      </c>
      <c r="MZN339" s="42" t="s">
        <v>608</v>
      </c>
      <c r="MZO339" s="42" t="s">
        <v>608</v>
      </c>
      <c r="MZP339" s="42" t="s">
        <v>608</v>
      </c>
      <c r="MZQ339" s="42" t="s">
        <v>608</v>
      </c>
      <c r="MZR339" s="42" t="s">
        <v>608</v>
      </c>
      <c r="MZS339" s="42" t="s">
        <v>608</v>
      </c>
      <c r="MZT339" s="42" t="s">
        <v>608</v>
      </c>
      <c r="MZU339" s="42" t="s">
        <v>608</v>
      </c>
      <c r="MZV339" s="42" t="s">
        <v>608</v>
      </c>
      <c r="MZW339" s="42" t="s">
        <v>608</v>
      </c>
      <c r="MZX339" s="42" t="s">
        <v>608</v>
      </c>
      <c r="MZY339" s="42" t="s">
        <v>608</v>
      </c>
      <c r="MZZ339" s="42" t="s">
        <v>608</v>
      </c>
      <c r="NAA339" s="42" t="s">
        <v>608</v>
      </c>
      <c r="NAB339" s="42" t="s">
        <v>608</v>
      </c>
      <c r="NAC339" s="42" t="s">
        <v>608</v>
      </c>
      <c r="NAD339" s="42" t="s">
        <v>608</v>
      </c>
      <c r="NAE339" s="42" t="s">
        <v>608</v>
      </c>
      <c r="NAF339" s="42" t="s">
        <v>608</v>
      </c>
      <c r="NAG339" s="42" t="s">
        <v>608</v>
      </c>
      <c r="NAH339" s="42" t="s">
        <v>608</v>
      </c>
      <c r="NAI339" s="42" t="s">
        <v>608</v>
      </c>
      <c r="NAJ339" s="42" t="s">
        <v>608</v>
      </c>
      <c r="NAK339" s="42" t="s">
        <v>608</v>
      </c>
      <c r="NAL339" s="42" t="s">
        <v>608</v>
      </c>
      <c r="NAM339" s="42" t="s">
        <v>608</v>
      </c>
      <c r="NAN339" s="42" t="s">
        <v>608</v>
      </c>
      <c r="NAO339" s="42" t="s">
        <v>608</v>
      </c>
      <c r="NAP339" s="42" t="s">
        <v>608</v>
      </c>
      <c r="NAQ339" s="42" t="s">
        <v>608</v>
      </c>
      <c r="NAR339" s="42" t="s">
        <v>608</v>
      </c>
      <c r="NAS339" s="42" t="s">
        <v>608</v>
      </c>
      <c r="NAT339" s="42" t="s">
        <v>608</v>
      </c>
      <c r="NAU339" s="42" t="s">
        <v>608</v>
      </c>
      <c r="NAV339" s="42" t="s">
        <v>608</v>
      </c>
      <c r="NAW339" s="42" t="s">
        <v>608</v>
      </c>
      <c r="NAX339" s="42" t="s">
        <v>608</v>
      </c>
      <c r="NAY339" s="42" t="s">
        <v>608</v>
      </c>
      <c r="NAZ339" s="42" t="s">
        <v>608</v>
      </c>
      <c r="NBA339" s="42" t="s">
        <v>608</v>
      </c>
      <c r="NBB339" s="42" t="s">
        <v>608</v>
      </c>
      <c r="NBC339" s="42" t="s">
        <v>608</v>
      </c>
      <c r="NBD339" s="42" t="s">
        <v>608</v>
      </c>
      <c r="NBE339" s="42" t="s">
        <v>608</v>
      </c>
      <c r="NBF339" s="42" t="s">
        <v>608</v>
      </c>
      <c r="NBG339" s="42" t="s">
        <v>608</v>
      </c>
      <c r="NBH339" s="42" t="s">
        <v>608</v>
      </c>
      <c r="NBI339" s="42" t="s">
        <v>608</v>
      </c>
      <c r="NBJ339" s="42" t="s">
        <v>608</v>
      </c>
      <c r="NBK339" s="42" t="s">
        <v>608</v>
      </c>
      <c r="NBL339" s="42" t="s">
        <v>608</v>
      </c>
      <c r="NBM339" s="42" t="s">
        <v>608</v>
      </c>
      <c r="NBN339" s="42" t="s">
        <v>608</v>
      </c>
      <c r="NBO339" s="42" t="s">
        <v>608</v>
      </c>
      <c r="NBP339" s="42" t="s">
        <v>608</v>
      </c>
      <c r="NBQ339" s="42" t="s">
        <v>608</v>
      </c>
      <c r="NBR339" s="42" t="s">
        <v>608</v>
      </c>
      <c r="NBS339" s="42" t="s">
        <v>608</v>
      </c>
      <c r="NBT339" s="42" t="s">
        <v>608</v>
      </c>
      <c r="NBU339" s="42" t="s">
        <v>608</v>
      </c>
      <c r="NBV339" s="42" t="s">
        <v>608</v>
      </c>
      <c r="NBW339" s="42" t="s">
        <v>608</v>
      </c>
      <c r="NBX339" s="42" t="s">
        <v>608</v>
      </c>
      <c r="NBY339" s="42" t="s">
        <v>608</v>
      </c>
      <c r="NBZ339" s="42" t="s">
        <v>608</v>
      </c>
      <c r="NCA339" s="42" t="s">
        <v>608</v>
      </c>
      <c r="NCB339" s="42" t="s">
        <v>608</v>
      </c>
      <c r="NCC339" s="42" t="s">
        <v>608</v>
      </c>
      <c r="NCD339" s="42" t="s">
        <v>608</v>
      </c>
      <c r="NCE339" s="42" t="s">
        <v>608</v>
      </c>
      <c r="NCF339" s="42" t="s">
        <v>608</v>
      </c>
      <c r="NCG339" s="42" t="s">
        <v>608</v>
      </c>
      <c r="NCH339" s="42" t="s">
        <v>608</v>
      </c>
      <c r="NCI339" s="42" t="s">
        <v>608</v>
      </c>
      <c r="NCJ339" s="42" t="s">
        <v>608</v>
      </c>
      <c r="NCK339" s="42" t="s">
        <v>608</v>
      </c>
      <c r="NCL339" s="42" t="s">
        <v>608</v>
      </c>
      <c r="NCM339" s="42" t="s">
        <v>608</v>
      </c>
      <c r="NCN339" s="42" t="s">
        <v>608</v>
      </c>
      <c r="NCO339" s="42" t="s">
        <v>608</v>
      </c>
      <c r="NCP339" s="42" t="s">
        <v>608</v>
      </c>
      <c r="NCQ339" s="42" t="s">
        <v>608</v>
      </c>
      <c r="NCR339" s="42" t="s">
        <v>608</v>
      </c>
      <c r="NCS339" s="42" t="s">
        <v>608</v>
      </c>
      <c r="NCT339" s="42" t="s">
        <v>608</v>
      </c>
      <c r="NCU339" s="42" t="s">
        <v>608</v>
      </c>
      <c r="NCV339" s="42" t="s">
        <v>608</v>
      </c>
      <c r="NCW339" s="42" t="s">
        <v>608</v>
      </c>
      <c r="NCX339" s="42" t="s">
        <v>608</v>
      </c>
      <c r="NCY339" s="42" t="s">
        <v>608</v>
      </c>
      <c r="NCZ339" s="42" t="s">
        <v>608</v>
      </c>
      <c r="NDA339" s="42" t="s">
        <v>608</v>
      </c>
      <c r="NDB339" s="42" t="s">
        <v>608</v>
      </c>
      <c r="NDC339" s="42" t="s">
        <v>608</v>
      </c>
      <c r="NDD339" s="42" t="s">
        <v>608</v>
      </c>
      <c r="NDE339" s="42" t="s">
        <v>608</v>
      </c>
      <c r="NDF339" s="42" t="s">
        <v>608</v>
      </c>
      <c r="NDG339" s="42" t="s">
        <v>608</v>
      </c>
      <c r="NDH339" s="42" t="s">
        <v>608</v>
      </c>
      <c r="NDI339" s="42" t="s">
        <v>608</v>
      </c>
      <c r="NDJ339" s="42" t="s">
        <v>608</v>
      </c>
      <c r="NDK339" s="42" t="s">
        <v>608</v>
      </c>
      <c r="NDL339" s="42" t="s">
        <v>608</v>
      </c>
      <c r="NDM339" s="42" t="s">
        <v>608</v>
      </c>
      <c r="NDN339" s="42" t="s">
        <v>608</v>
      </c>
      <c r="NDO339" s="42" t="s">
        <v>608</v>
      </c>
      <c r="NDP339" s="42" t="s">
        <v>608</v>
      </c>
      <c r="NDQ339" s="42" t="s">
        <v>608</v>
      </c>
      <c r="NDR339" s="42" t="s">
        <v>608</v>
      </c>
      <c r="NDS339" s="42" t="s">
        <v>608</v>
      </c>
      <c r="NDT339" s="42" t="s">
        <v>608</v>
      </c>
      <c r="NDU339" s="42" t="s">
        <v>608</v>
      </c>
      <c r="NDV339" s="42" t="s">
        <v>608</v>
      </c>
      <c r="NDW339" s="42" t="s">
        <v>608</v>
      </c>
      <c r="NDX339" s="42" t="s">
        <v>608</v>
      </c>
      <c r="NDY339" s="42" t="s">
        <v>608</v>
      </c>
      <c r="NDZ339" s="42" t="s">
        <v>608</v>
      </c>
      <c r="NEA339" s="42" t="s">
        <v>608</v>
      </c>
      <c r="NEB339" s="42" t="s">
        <v>608</v>
      </c>
      <c r="NEC339" s="42" t="s">
        <v>608</v>
      </c>
      <c r="NED339" s="42" t="s">
        <v>608</v>
      </c>
      <c r="NEE339" s="42" t="s">
        <v>608</v>
      </c>
      <c r="NEF339" s="42" t="s">
        <v>608</v>
      </c>
      <c r="NEG339" s="42" t="s">
        <v>608</v>
      </c>
      <c r="NEH339" s="42" t="s">
        <v>608</v>
      </c>
      <c r="NEI339" s="42" t="s">
        <v>608</v>
      </c>
      <c r="NEJ339" s="42" t="s">
        <v>608</v>
      </c>
      <c r="NEK339" s="42" t="s">
        <v>608</v>
      </c>
      <c r="NEL339" s="42" t="s">
        <v>608</v>
      </c>
      <c r="NEM339" s="42" t="s">
        <v>608</v>
      </c>
      <c r="NEN339" s="42" t="s">
        <v>608</v>
      </c>
      <c r="NEO339" s="42" t="s">
        <v>608</v>
      </c>
      <c r="NEP339" s="42" t="s">
        <v>608</v>
      </c>
      <c r="NEQ339" s="42" t="s">
        <v>608</v>
      </c>
      <c r="NER339" s="42" t="s">
        <v>608</v>
      </c>
      <c r="NES339" s="42" t="s">
        <v>608</v>
      </c>
      <c r="NET339" s="42" t="s">
        <v>608</v>
      </c>
      <c r="NEU339" s="42" t="s">
        <v>608</v>
      </c>
      <c r="NEV339" s="42" t="s">
        <v>608</v>
      </c>
      <c r="NEW339" s="42" t="s">
        <v>608</v>
      </c>
      <c r="NEX339" s="42" t="s">
        <v>608</v>
      </c>
      <c r="NEY339" s="42" t="s">
        <v>608</v>
      </c>
      <c r="NEZ339" s="42" t="s">
        <v>608</v>
      </c>
      <c r="NFA339" s="42" t="s">
        <v>608</v>
      </c>
      <c r="NFB339" s="42" t="s">
        <v>608</v>
      </c>
      <c r="NFC339" s="42" t="s">
        <v>608</v>
      </c>
      <c r="NFD339" s="42" t="s">
        <v>608</v>
      </c>
      <c r="NFE339" s="42" t="s">
        <v>608</v>
      </c>
      <c r="NFF339" s="42" t="s">
        <v>608</v>
      </c>
      <c r="NFG339" s="42" t="s">
        <v>608</v>
      </c>
      <c r="NFH339" s="42" t="s">
        <v>608</v>
      </c>
      <c r="NFI339" s="42" t="s">
        <v>608</v>
      </c>
      <c r="NFJ339" s="42" t="s">
        <v>608</v>
      </c>
      <c r="NFK339" s="42" t="s">
        <v>608</v>
      </c>
      <c r="NFL339" s="42" t="s">
        <v>608</v>
      </c>
      <c r="NFM339" s="42" t="s">
        <v>608</v>
      </c>
      <c r="NFN339" s="42" t="s">
        <v>608</v>
      </c>
      <c r="NFO339" s="42" t="s">
        <v>608</v>
      </c>
      <c r="NFP339" s="42" t="s">
        <v>608</v>
      </c>
      <c r="NFQ339" s="42" t="s">
        <v>608</v>
      </c>
      <c r="NFR339" s="42" t="s">
        <v>608</v>
      </c>
      <c r="NFS339" s="42" t="s">
        <v>608</v>
      </c>
      <c r="NFT339" s="42" t="s">
        <v>608</v>
      </c>
      <c r="NFU339" s="42" t="s">
        <v>608</v>
      </c>
      <c r="NFV339" s="42" t="s">
        <v>608</v>
      </c>
      <c r="NFW339" s="42" t="s">
        <v>608</v>
      </c>
      <c r="NFX339" s="42" t="s">
        <v>608</v>
      </c>
      <c r="NFY339" s="42" t="s">
        <v>608</v>
      </c>
      <c r="NFZ339" s="42" t="s">
        <v>608</v>
      </c>
      <c r="NGA339" s="42" t="s">
        <v>608</v>
      </c>
      <c r="NGB339" s="42" t="s">
        <v>608</v>
      </c>
      <c r="NGC339" s="42" t="s">
        <v>608</v>
      </c>
      <c r="NGD339" s="42" t="s">
        <v>608</v>
      </c>
      <c r="NGE339" s="42" t="s">
        <v>608</v>
      </c>
      <c r="NGF339" s="42" t="s">
        <v>608</v>
      </c>
      <c r="NGG339" s="42" t="s">
        <v>608</v>
      </c>
      <c r="NGH339" s="42" t="s">
        <v>608</v>
      </c>
      <c r="NGI339" s="42" t="s">
        <v>608</v>
      </c>
      <c r="NGJ339" s="42" t="s">
        <v>608</v>
      </c>
      <c r="NGK339" s="42" t="s">
        <v>608</v>
      </c>
      <c r="NGL339" s="42" t="s">
        <v>608</v>
      </c>
      <c r="NGM339" s="42" t="s">
        <v>608</v>
      </c>
      <c r="NGN339" s="42" t="s">
        <v>608</v>
      </c>
      <c r="NGO339" s="42" t="s">
        <v>608</v>
      </c>
      <c r="NGP339" s="42" t="s">
        <v>608</v>
      </c>
      <c r="NGQ339" s="42" t="s">
        <v>608</v>
      </c>
      <c r="NGR339" s="42" t="s">
        <v>608</v>
      </c>
      <c r="NGS339" s="42" t="s">
        <v>608</v>
      </c>
      <c r="NGT339" s="42" t="s">
        <v>608</v>
      </c>
      <c r="NGU339" s="42" t="s">
        <v>608</v>
      </c>
      <c r="NGV339" s="42" t="s">
        <v>608</v>
      </c>
      <c r="NGW339" s="42" t="s">
        <v>608</v>
      </c>
      <c r="NGX339" s="42" t="s">
        <v>608</v>
      </c>
      <c r="NGY339" s="42" t="s">
        <v>608</v>
      </c>
      <c r="NGZ339" s="42" t="s">
        <v>608</v>
      </c>
      <c r="NHA339" s="42" t="s">
        <v>608</v>
      </c>
      <c r="NHB339" s="42" t="s">
        <v>608</v>
      </c>
      <c r="NHC339" s="42" t="s">
        <v>608</v>
      </c>
      <c r="NHD339" s="42" t="s">
        <v>608</v>
      </c>
      <c r="NHE339" s="42" t="s">
        <v>608</v>
      </c>
      <c r="NHF339" s="42" t="s">
        <v>608</v>
      </c>
      <c r="NHG339" s="42" t="s">
        <v>608</v>
      </c>
      <c r="NHH339" s="42" t="s">
        <v>608</v>
      </c>
      <c r="NHI339" s="42" t="s">
        <v>608</v>
      </c>
      <c r="NHJ339" s="42" t="s">
        <v>608</v>
      </c>
      <c r="NHK339" s="42" t="s">
        <v>608</v>
      </c>
      <c r="NHL339" s="42" t="s">
        <v>608</v>
      </c>
      <c r="NHM339" s="42" t="s">
        <v>608</v>
      </c>
      <c r="NHN339" s="42" t="s">
        <v>608</v>
      </c>
      <c r="NHO339" s="42" t="s">
        <v>608</v>
      </c>
      <c r="NHP339" s="42" t="s">
        <v>608</v>
      </c>
      <c r="NHQ339" s="42" t="s">
        <v>608</v>
      </c>
      <c r="NHR339" s="42" t="s">
        <v>608</v>
      </c>
      <c r="NHS339" s="42" t="s">
        <v>608</v>
      </c>
      <c r="NHT339" s="42" t="s">
        <v>608</v>
      </c>
      <c r="NHU339" s="42" t="s">
        <v>608</v>
      </c>
      <c r="NHV339" s="42" t="s">
        <v>608</v>
      </c>
      <c r="NHW339" s="42" t="s">
        <v>608</v>
      </c>
      <c r="NHX339" s="42" t="s">
        <v>608</v>
      </c>
      <c r="NHY339" s="42" t="s">
        <v>608</v>
      </c>
      <c r="NHZ339" s="42" t="s">
        <v>608</v>
      </c>
      <c r="NIA339" s="42" t="s">
        <v>608</v>
      </c>
      <c r="NIB339" s="42" t="s">
        <v>608</v>
      </c>
      <c r="NIC339" s="42" t="s">
        <v>608</v>
      </c>
      <c r="NID339" s="42" t="s">
        <v>608</v>
      </c>
      <c r="NIE339" s="42" t="s">
        <v>608</v>
      </c>
      <c r="NIF339" s="42" t="s">
        <v>608</v>
      </c>
      <c r="NIG339" s="42" t="s">
        <v>608</v>
      </c>
      <c r="NIH339" s="42" t="s">
        <v>608</v>
      </c>
      <c r="NII339" s="42" t="s">
        <v>608</v>
      </c>
      <c r="NIJ339" s="42" t="s">
        <v>608</v>
      </c>
      <c r="NIK339" s="42" t="s">
        <v>608</v>
      </c>
      <c r="NIL339" s="42" t="s">
        <v>608</v>
      </c>
      <c r="NIM339" s="42" t="s">
        <v>608</v>
      </c>
      <c r="NIN339" s="42" t="s">
        <v>608</v>
      </c>
      <c r="NIO339" s="42" t="s">
        <v>608</v>
      </c>
      <c r="NIP339" s="42" t="s">
        <v>608</v>
      </c>
      <c r="NIQ339" s="42" t="s">
        <v>608</v>
      </c>
      <c r="NIR339" s="42" t="s">
        <v>608</v>
      </c>
      <c r="NIS339" s="42" t="s">
        <v>608</v>
      </c>
      <c r="NIT339" s="42" t="s">
        <v>608</v>
      </c>
      <c r="NIU339" s="42" t="s">
        <v>608</v>
      </c>
      <c r="NIV339" s="42" t="s">
        <v>608</v>
      </c>
      <c r="NIW339" s="42" t="s">
        <v>608</v>
      </c>
      <c r="NIX339" s="42" t="s">
        <v>608</v>
      </c>
      <c r="NIY339" s="42" t="s">
        <v>608</v>
      </c>
      <c r="NIZ339" s="42" t="s">
        <v>608</v>
      </c>
      <c r="NJA339" s="42" t="s">
        <v>608</v>
      </c>
      <c r="NJB339" s="42" t="s">
        <v>608</v>
      </c>
      <c r="NJC339" s="42" t="s">
        <v>608</v>
      </c>
      <c r="NJD339" s="42" t="s">
        <v>608</v>
      </c>
      <c r="NJE339" s="42" t="s">
        <v>608</v>
      </c>
      <c r="NJF339" s="42" t="s">
        <v>608</v>
      </c>
      <c r="NJG339" s="42" t="s">
        <v>608</v>
      </c>
      <c r="NJH339" s="42" t="s">
        <v>608</v>
      </c>
      <c r="NJI339" s="42" t="s">
        <v>608</v>
      </c>
      <c r="NJJ339" s="42" t="s">
        <v>608</v>
      </c>
      <c r="NJK339" s="42" t="s">
        <v>608</v>
      </c>
      <c r="NJL339" s="42" t="s">
        <v>608</v>
      </c>
      <c r="NJM339" s="42" t="s">
        <v>608</v>
      </c>
      <c r="NJN339" s="42" t="s">
        <v>608</v>
      </c>
      <c r="NJO339" s="42" t="s">
        <v>608</v>
      </c>
      <c r="NJP339" s="42" t="s">
        <v>608</v>
      </c>
      <c r="NJQ339" s="42" t="s">
        <v>608</v>
      </c>
      <c r="NJR339" s="42" t="s">
        <v>608</v>
      </c>
      <c r="NJS339" s="42" t="s">
        <v>608</v>
      </c>
      <c r="NJT339" s="42" t="s">
        <v>608</v>
      </c>
      <c r="NJU339" s="42" t="s">
        <v>608</v>
      </c>
      <c r="NJV339" s="42" t="s">
        <v>608</v>
      </c>
      <c r="NJW339" s="42" t="s">
        <v>608</v>
      </c>
      <c r="NJX339" s="42" t="s">
        <v>608</v>
      </c>
      <c r="NJY339" s="42" t="s">
        <v>608</v>
      </c>
      <c r="NJZ339" s="42" t="s">
        <v>608</v>
      </c>
      <c r="NKA339" s="42" t="s">
        <v>608</v>
      </c>
      <c r="NKB339" s="42" t="s">
        <v>608</v>
      </c>
      <c r="NKC339" s="42" t="s">
        <v>608</v>
      </c>
      <c r="NKD339" s="42" t="s">
        <v>608</v>
      </c>
      <c r="NKE339" s="42" t="s">
        <v>608</v>
      </c>
      <c r="NKF339" s="42" t="s">
        <v>608</v>
      </c>
      <c r="NKG339" s="42" t="s">
        <v>608</v>
      </c>
      <c r="NKH339" s="42" t="s">
        <v>608</v>
      </c>
      <c r="NKI339" s="42" t="s">
        <v>608</v>
      </c>
      <c r="NKJ339" s="42" t="s">
        <v>608</v>
      </c>
      <c r="NKK339" s="42" t="s">
        <v>608</v>
      </c>
      <c r="NKL339" s="42" t="s">
        <v>608</v>
      </c>
      <c r="NKM339" s="42" t="s">
        <v>608</v>
      </c>
      <c r="NKN339" s="42" t="s">
        <v>608</v>
      </c>
      <c r="NKO339" s="42" t="s">
        <v>608</v>
      </c>
      <c r="NKP339" s="42" t="s">
        <v>608</v>
      </c>
      <c r="NKQ339" s="42" t="s">
        <v>608</v>
      </c>
      <c r="NKR339" s="42" t="s">
        <v>608</v>
      </c>
      <c r="NKS339" s="42" t="s">
        <v>608</v>
      </c>
      <c r="NKT339" s="42" t="s">
        <v>608</v>
      </c>
      <c r="NKU339" s="42" t="s">
        <v>608</v>
      </c>
      <c r="NKV339" s="42" t="s">
        <v>608</v>
      </c>
      <c r="NKW339" s="42" t="s">
        <v>608</v>
      </c>
      <c r="NKX339" s="42" t="s">
        <v>608</v>
      </c>
      <c r="NKY339" s="42" t="s">
        <v>608</v>
      </c>
      <c r="NKZ339" s="42" t="s">
        <v>608</v>
      </c>
      <c r="NLA339" s="42" t="s">
        <v>608</v>
      </c>
      <c r="NLB339" s="42" t="s">
        <v>608</v>
      </c>
      <c r="NLC339" s="42" t="s">
        <v>608</v>
      </c>
      <c r="NLD339" s="42" t="s">
        <v>608</v>
      </c>
      <c r="NLE339" s="42" t="s">
        <v>608</v>
      </c>
      <c r="NLF339" s="42" t="s">
        <v>608</v>
      </c>
      <c r="NLG339" s="42" t="s">
        <v>608</v>
      </c>
      <c r="NLH339" s="42" t="s">
        <v>608</v>
      </c>
      <c r="NLI339" s="42" t="s">
        <v>608</v>
      </c>
      <c r="NLJ339" s="42" t="s">
        <v>608</v>
      </c>
      <c r="NLK339" s="42" t="s">
        <v>608</v>
      </c>
      <c r="NLL339" s="42" t="s">
        <v>608</v>
      </c>
      <c r="NLM339" s="42" t="s">
        <v>608</v>
      </c>
      <c r="NLN339" s="42" t="s">
        <v>608</v>
      </c>
      <c r="NLO339" s="42" t="s">
        <v>608</v>
      </c>
      <c r="NLP339" s="42" t="s">
        <v>608</v>
      </c>
      <c r="NLQ339" s="42" t="s">
        <v>608</v>
      </c>
      <c r="NLR339" s="42" t="s">
        <v>608</v>
      </c>
      <c r="NLS339" s="42" t="s">
        <v>608</v>
      </c>
      <c r="NLT339" s="42" t="s">
        <v>608</v>
      </c>
      <c r="NLU339" s="42" t="s">
        <v>608</v>
      </c>
      <c r="NLV339" s="42" t="s">
        <v>608</v>
      </c>
      <c r="NLW339" s="42" t="s">
        <v>608</v>
      </c>
      <c r="NLX339" s="42" t="s">
        <v>608</v>
      </c>
      <c r="NLY339" s="42" t="s">
        <v>608</v>
      </c>
      <c r="NLZ339" s="42" t="s">
        <v>608</v>
      </c>
      <c r="NMA339" s="42" t="s">
        <v>608</v>
      </c>
      <c r="NMB339" s="42" t="s">
        <v>608</v>
      </c>
      <c r="NMC339" s="42" t="s">
        <v>608</v>
      </c>
      <c r="NMD339" s="42" t="s">
        <v>608</v>
      </c>
      <c r="NME339" s="42" t="s">
        <v>608</v>
      </c>
      <c r="NMF339" s="42" t="s">
        <v>608</v>
      </c>
      <c r="NMG339" s="42" t="s">
        <v>608</v>
      </c>
      <c r="NMH339" s="42" t="s">
        <v>608</v>
      </c>
      <c r="NMI339" s="42" t="s">
        <v>608</v>
      </c>
      <c r="NMJ339" s="42" t="s">
        <v>608</v>
      </c>
      <c r="NMK339" s="42" t="s">
        <v>608</v>
      </c>
      <c r="NML339" s="42" t="s">
        <v>608</v>
      </c>
      <c r="NMM339" s="42" t="s">
        <v>608</v>
      </c>
      <c r="NMN339" s="42" t="s">
        <v>608</v>
      </c>
      <c r="NMO339" s="42" t="s">
        <v>608</v>
      </c>
      <c r="NMP339" s="42" t="s">
        <v>608</v>
      </c>
      <c r="NMQ339" s="42" t="s">
        <v>608</v>
      </c>
      <c r="NMR339" s="42" t="s">
        <v>608</v>
      </c>
      <c r="NMS339" s="42" t="s">
        <v>608</v>
      </c>
      <c r="NMT339" s="42" t="s">
        <v>608</v>
      </c>
      <c r="NMU339" s="42" t="s">
        <v>608</v>
      </c>
      <c r="NMV339" s="42" t="s">
        <v>608</v>
      </c>
      <c r="NMW339" s="42" t="s">
        <v>608</v>
      </c>
      <c r="NMX339" s="42" t="s">
        <v>608</v>
      </c>
      <c r="NMY339" s="42" t="s">
        <v>608</v>
      </c>
      <c r="NMZ339" s="42" t="s">
        <v>608</v>
      </c>
      <c r="NNA339" s="42" t="s">
        <v>608</v>
      </c>
      <c r="NNB339" s="42" t="s">
        <v>608</v>
      </c>
      <c r="NNC339" s="42" t="s">
        <v>608</v>
      </c>
      <c r="NND339" s="42" t="s">
        <v>608</v>
      </c>
      <c r="NNE339" s="42" t="s">
        <v>608</v>
      </c>
      <c r="NNF339" s="42" t="s">
        <v>608</v>
      </c>
      <c r="NNG339" s="42" t="s">
        <v>608</v>
      </c>
      <c r="NNH339" s="42" t="s">
        <v>608</v>
      </c>
      <c r="NNI339" s="42" t="s">
        <v>608</v>
      </c>
      <c r="NNJ339" s="42" t="s">
        <v>608</v>
      </c>
      <c r="NNK339" s="42" t="s">
        <v>608</v>
      </c>
      <c r="NNL339" s="42" t="s">
        <v>608</v>
      </c>
      <c r="NNM339" s="42" t="s">
        <v>608</v>
      </c>
      <c r="NNN339" s="42" t="s">
        <v>608</v>
      </c>
      <c r="NNO339" s="42" t="s">
        <v>608</v>
      </c>
      <c r="NNP339" s="42" t="s">
        <v>608</v>
      </c>
      <c r="NNQ339" s="42" t="s">
        <v>608</v>
      </c>
      <c r="NNR339" s="42" t="s">
        <v>608</v>
      </c>
      <c r="NNS339" s="42" t="s">
        <v>608</v>
      </c>
      <c r="NNT339" s="42" t="s">
        <v>608</v>
      </c>
      <c r="NNU339" s="42" t="s">
        <v>608</v>
      </c>
      <c r="NNV339" s="42" t="s">
        <v>608</v>
      </c>
      <c r="NNW339" s="42" t="s">
        <v>608</v>
      </c>
      <c r="NNX339" s="42" t="s">
        <v>608</v>
      </c>
      <c r="NNY339" s="42" t="s">
        <v>608</v>
      </c>
      <c r="NNZ339" s="42" t="s">
        <v>608</v>
      </c>
      <c r="NOA339" s="42" t="s">
        <v>608</v>
      </c>
      <c r="NOB339" s="42" t="s">
        <v>608</v>
      </c>
      <c r="NOC339" s="42" t="s">
        <v>608</v>
      </c>
      <c r="NOD339" s="42" t="s">
        <v>608</v>
      </c>
      <c r="NOE339" s="42" t="s">
        <v>608</v>
      </c>
      <c r="NOF339" s="42" t="s">
        <v>608</v>
      </c>
      <c r="NOG339" s="42" t="s">
        <v>608</v>
      </c>
      <c r="NOH339" s="42" t="s">
        <v>608</v>
      </c>
      <c r="NOI339" s="42" t="s">
        <v>608</v>
      </c>
      <c r="NOJ339" s="42" t="s">
        <v>608</v>
      </c>
      <c r="NOK339" s="42" t="s">
        <v>608</v>
      </c>
      <c r="NOL339" s="42" t="s">
        <v>608</v>
      </c>
      <c r="NOM339" s="42" t="s">
        <v>608</v>
      </c>
      <c r="NON339" s="42" t="s">
        <v>608</v>
      </c>
      <c r="NOO339" s="42" t="s">
        <v>608</v>
      </c>
      <c r="NOP339" s="42" t="s">
        <v>608</v>
      </c>
      <c r="NOQ339" s="42" t="s">
        <v>608</v>
      </c>
      <c r="NOR339" s="42" t="s">
        <v>608</v>
      </c>
      <c r="NOS339" s="42" t="s">
        <v>608</v>
      </c>
      <c r="NOT339" s="42" t="s">
        <v>608</v>
      </c>
      <c r="NOU339" s="42" t="s">
        <v>608</v>
      </c>
      <c r="NOV339" s="42" t="s">
        <v>608</v>
      </c>
      <c r="NOW339" s="42" t="s">
        <v>608</v>
      </c>
      <c r="NOX339" s="42" t="s">
        <v>608</v>
      </c>
      <c r="NOY339" s="42" t="s">
        <v>608</v>
      </c>
      <c r="NOZ339" s="42" t="s">
        <v>608</v>
      </c>
      <c r="NPA339" s="42" t="s">
        <v>608</v>
      </c>
      <c r="NPB339" s="42" t="s">
        <v>608</v>
      </c>
      <c r="NPC339" s="42" t="s">
        <v>608</v>
      </c>
      <c r="NPD339" s="42" t="s">
        <v>608</v>
      </c>
      <c r="NPE339" s="42" t="s">
        <v>608</v>
      </c>
      <c r="NPF339" s="42" t="s">
        <v>608</v>
      </c>
      <c r="NPG339" s="42" t="s">
        <v>608</v>
      </c>
      <c r="NPH339" s="42" t="s">
        <v>608</v>
      </c>
      <c r="NPI339" s="42" t="s">
        <v>608</v>
      </c>
      <c r="NPJ339" s="42" t="s">
        <v>608</v>
      </c>
      <c r="NPK339" s="42" t="s">
        <v>608</v>
      </c>
      <c r="NPL339" s="42" t="s">
        <v>608</v>
      </c>
      <c r="NPM339" s="42" t="s">
        <v>608</v>
      </c>
      <c r="NPN339" s="42" t="s">
        <v>608</v>
      </c>
      <c r="NPO339" s="42" t="s">
        <v>608</v>
      </c>
      <c r="NPP339" s="42" t="s">
        <v>608</v>
      </c>
      <c r="NPQ339" s="42" t="s">
        <v>608</v>
      </c>
      <c r="NPR339" s="42" t="s">
        <v>608</v>
      </c>
      <c r="NPS339" s="42" t="s">
        <v>608</v>
      </c>
      <c r="NPT339" s="42" t="s">
        <v>608</v>
      </c>
      <c r="NPU339" s="42" t="s">
        <v>608</v>
      </c>
      <c r="NPV339" s="42" t="s">
        <v>608</v>
      </c>
      <c r="NPW339" s="42" t="s">
        <v>608</v>
      </c>
      <c r="NPX339" s="42" t="s">
        <v>608</v>
      </c>
      <c r="NPY339" s="42" t="s">
        <v>608</v>
      </c>
      <c r="NPZ339" s="42" t="s">
        <v>608</v>
      </c>
      <c r="NQA339" s="42" t="s">
        <v>608</v>
      </c>
      <c r="NQB339" s="42" t="s">
        <v>608</v>
      </c>
      <c r="NQC339" s="42" t="s">
        <v>608</v>
      </c>
      <c r="NQD339" s="42" t="s">
        <v>608</v>
      </c>
      <c r="NQE339" s="42" t="s">
        <v>608</v>
      </c>
      <c r="NQF339" s="42" t="s">
        <v>608</v>
      </c>
      <c r="NQG339" s="42" t="s">
        <v>608</v>
      </c>
      <c r="NQH339" s="42" t="s">
        <v>608</v>
      </c>
      <c r="NQI339" s="42" t="s">
        <v>608</v>
      </c>
      <c r="NQJ339" s="42" t="s">
        <v>608</v>
      </c>
      <c r="NQK339" s="42" t="s">
        <v>608</v>
      </c>
      <c r="NQL339" s="42" t="s">
        <v>608</v>
      </c>
      <c r="NQM339" s="42" t="s">
        <v>608</v>
      </c>
      <c r="NQN339" s="42" t="s">
        <v>608</v>
      </c>
      <c r="NQO339" s="42" t="s">
        <v>608</v>
      </c>
      <c r="NQP339" s="42" t="s">
        <v>608</v>
      </c>
      <c r="NQQ339" s="42" t="s">
        <v>608</v>
      </c>
      <c r="NQR339" s="42" t="s">
        <v>608</v>
      </c>
      <c r="NQS339" s="42" t="s">
        <v>608</v>
      </c>
      <c r="NQT339" s="42" t="s">
        <v>608</v>
      </c>
      <c r="NQU339" s="42" t="s">
        <v>608</v>
      </c>
      <c r="NQV339" s="42" t="s">
        <v>608</v>
      </c>
      <c r="NQW339" s="42" t="s">
        <v>608</v>
      </c>
      <c r="NQX339" s="42" t="s">
        <v>608</v>
      </c>
      <c r="NQY339" s="42" t="s">
        <v>608</v>
      </c>
      <c r="NQZ339" s="42" t="s">
        <v>608</v>
      </c>
      <c r="NRA339" s="42" t="s">
        <v>608</v>
      </c>
      <c r="NRB339" s="42" t="s">
        <v>608</v>
      </c>
      <c r="NRC339" s="42" t="s">
        <v>608</v>
      </c>
      <c r="NRD339" s="42" t="s">
        <v>608</v>
      </c>
      <c r="NRE339" s="42" t="s">
        <v>608</v>
      </c>
      <c r="NRF339" s="42" t="s">
        <v>608</v>
      </c>
      <c r="NRG339" s="42" t="s">
        <v>608</v>
      </c>
      <c r="NRH339" s="42" t="s">
        <v>608</v>
      </c>
      <c r="NRI339" s="42" t="s">
        <v>608</v>
      </c>
      <c r="NRJ339" s="42" t="s">
        <v>608</v>
      </c>
      <c r="NRK339" s="42" t="s">
        <v>608</v>
      </c>
      <c r="NRL339" s="42" t="s">
        <v>608</v>
      </c>
      <c r="NRM339" s="42" t="s">
        <v>608</v>
      </c>
      <c r="NRN339" s="42" t="s">
        <v>608</v>
      </c>
      <c r="NRO339" s="42" t="s">
        <v>608</v>
      </c>
      <c r="NRP339" s="42" t="s">
        <v>608</v>
      </c>
      <c r="NRQ339" s="42" t="s">
        <v>608</v>
      </c>
      <c r="NRR339" s="42" t="s">
        <v>608</v>
      </c>
      <c r="NRS339" s="42" t="s">
        <v>608</v>
      </c>
      <c r="NRT339" s="42" t="s">
        <v>608</v>
      </c>
      <c r="NRU339" s="42" t="s">
        <v>608</v>
      </c>
      <c r="NRV339" s="42" t="s">
        <v>608</v>
      </c>
      <c r="NRW339" s="42" t="s">
        <v>608</v>
      </c>
      <c r="NRX339" s="42" t="s">
        <v>608</v>
      </c>
      <c r="NRY339" s="42" t="s">
        <v>608</v>
      </c>
      <c r="NRZ339" s="42" t="s">
        <v>608</v>
      </c>
      <c r="NSA339" s="42" t="s">
        <v>608</v>
      </c>
      <c r="NSB339" s="42" t="s">
        <v>608</v>
      </c>
      <c r="NSC339" s="42" t="s">
        <v>608</v>
      </c>
      <c r="NSD339" s="42" t="s">
        <v>608</v>
      </c>
      <c r="NSE339" s="42" t="s">
        <v>608</v>
      </c>
      <c r="NSF339" s="42" t="s">
        <v>608</v>
      </c>
      <c r="NSG339" s="42" t="s">
        <v>608</v>
      </c>
      <c r="NSH339" s="42" t="s">
        <v>608</v>
      </c>
      <c r="NSI339" s="42" t="s">
        <v>608</v>
      </c>
      <c r="NSJ339" s="42" t="s">
        <v>608</v>
      </c>
      <c r="NSK339" s="42" t="s">
        <v>608</v>
      </c>
      <c r="NSL339" s="42" t="s">
        <v>608</v>
      </c>
      <c r="NSM339" s="42" t="s">
        <v>608</v>
      </c>
      <c r="NSN339" s="42" t="s">
        <v>608</v>
      </c>
      <c r="NSO339" s="42" t="s">
        <v>608</v>
      </c>
      <c r="NSP339" s="42" t="s">
        <v>608</v>
      </c>
      <c r="NSQ339" s="42" t="s">
        <v>608</v>
      </c>
      <c r="NSR339" s="42" t="s">
        <v>608</v>
      </c>
      <c r="NSS339" s="42" t="s">
        <v>608</v>
      </c>
      <c r="NST339" s="42" t="s">
        <v>608</v>
      </c>
      <c r="NSU339" s="42" t="s">
        <v>608</v>
      </c>
      <c r="NSV339" s="42" t="s">
        <v>608</v>
      </c>
      <c r="NSW339" s="42" t="s">
        <v>608</v>
      </c>
      <c r="NSX339" s="42" t="s">
        <v>608</v>
      </c>
      <c r="NSY339" s="42" t="s">
        <v>608</v>
      </c>
      <c r="NSZ339" s="42" t="s">
        <v>608</v>
      </c>
      <c r="NTA339" s="42" t="s">
        <v>608</v>
      </c>
      <c r="NTB339" s="42" t="s">
        <v>608</v>
      </c>
      <c r="NTC339" s="42" t="s">
        <v>608</v>
      </c>
      <c r="NTD339" s="42" t="s">
        <v>608</v>
      </c>
      <c r="NTE339" s="42" t="s">
        <v>608</v>
      </c>
      <c r="NTF339" s="42" t="s">
        <v>608</v>
      </c>
      <c r="NTG339" s="42" t="s">
        <v>608</v>
      </c>
      <c r="NTH339" s="42" t="s">
        <v>608</v>
      </c>
      <c r="NTI339" s="42" t="s">
        <v>608</v>
      </c>
      <c r="NTJ339" s="42" t="s">
        <v>608</v>
      </c>
      <c r="NTK339" s="42" t="s">
        <v>608</v>
      </c>
      <c r="NTL339" s="42" t="s">
        <v>608</v>
      </c>
      <c r="NTM339" s="42" t="s">
        <v>608</v>
      </c>
      <c r="NTN339" s="42" t="s">
        <v>608</v>
      </c>
      <c r="NTO339" s="42" t="s">
        <v>608</v>
      </c>
      <c r="NTP339" s="42" t="s">
        <v>608</v>
      </c>
      <c r="NTQ339" s="42" t="s">
        <v>608</v>
      </c>
      <c r="NTR339" s="42" t="s">
        <v>608</v>
      </c>
      <c r="NTS339" s="42" t="s">
        <v>608</v>
      </c>
      <c r="NTT339" s="42" t="s">
        <v>608</v>
      </c>
      <c r="NTU339" s="42" t="s">
        <v>608</v>
      </c>
      <c r="NTV339" s="42" t="s">
        <v>608</v>
      </c>
      <c r="NTW339" s="42" t="s">
        <v>608</v>
      </c>
      <c r="NTX339" s="42" t="s">
        <v>608</v>
      </c>
      <c r="NTY339" s="42" t="s">
        <v>608</v>
      </c>
      <c r="NTZ339" s="42" t="s">
        <v>608</v>
      </c>
      <c r="NUA339" s="42" t="s">
        <v>608</v>
      </c>
      <c r="NUB339" s="42" t="s">
        <v>608</v>
      </c>
      <c r="NUC339" s="42" t="s">
        <v>608</v>
      </c>
      <c r="NUD339" s="42" t="s">
        <v>608</v>
      </c>
      <c r="NUE339" s="42" t="s">
        <v>608</v>
      </c>
      <c r="NUF339" s="42" t="s">
        <v>608</v>
      </c>
      <c r="NUG339" s="42" t="s">
        <v>608</v>
      </c>
      <c r="NUH339" s="42" t="s">
        <v>608</v>
      </c>
      <c r="NUI339" s="42" t="s">
        <v>608</v>
      </c>
      <c r="NUJ339" s="42" t="s">
        <v>608</v>
      </c>
      <c r="NUK339" s="42" t="s">
        <v>608</v>
      </c>
      <c r="NUL339" s="42" t="s">
        <v>608</v>
      </c>
      <c r="NUM339" s="42" t="s">
        <v>608</v>
      </c>
      <c r="NUN339" s="42" t="s">
        <v>608</v>
      </c>
      <c r="NUO339" s="42" t="s">
        <v>608</v>
      </c>
      <c r="NUP339" s="42" t="s">
        <v>608</v>
      </c>
      <c r="NUQ339" s="42" t="s">
        <v>608</v>
      </c>
      <c r="NUR339" s="42" t="s">
        <v>608</v>
      </c>
      <c r="NUS339" s="42" t="s">
        <v>608</v>
      </c>
      <c r="NUT339" s="42" t="s">
        <v>608</v>
      </c>
      <c r="NUU339" s="42" t="s">
        <v>608</v>
      </c>
      <c r="NUV339" s="42" t="s">
        <v>608</v>
      </c>
      <c r="NUW339" s="42" t="s">
        <v>608</v>
      </c>
      <c r="NUX339" s="42" t="s">
        <v>608</v>
      </c>
      <c r="NUY339" s="42" t="s">
        <v>608</v>
      </c>
      <c r="NUZ339" s="42" t="s">
        <v>608</v>
      </c>
      <c r="NVA339" s="42" t="s">
        <v>608</v>
      </c>
      <c r="NVB339" s="42" t="s">
        <v>608</v>
      </c>
      <c r="NVC339" s="42" t="s">
        <v>608</v>
      </c>
      <c r="NVD339" s="42" t="s">
        <v>608</v>
      </c>
      <c r="NVE339" s="42" t="s">
        <v>608</v>
      </c>
      <c r="NVF339" s="42" t="s">
        <v>608</v>
      </c>
      <c r="NVG339" s="42" t="s">
        <v>608</v>
      </c>
      <c r="NVH339" s="42" t="s">
        <v>608</v>
      </c>
      <c r="NVI339" s="42" t="s">
        <v>608</v>
      </c>
      <c r="NVJ339" s="42" t="s">
        <v>608</v>
      </c>
      <c r="NVK339" s="42" t="s">
        <v>608</v>
      </c>
      <c r="NVL339" s="42" t="s">
        <v>608</v>
      </c>
      <c r="NVM339" s="42" t="s">
        <v>608</v>
      </c>
      <c r="NVN339" s="42" t="s">
        <v>608</v>
      </c>
      <c r="NVO339" s="42" t="s">
        <v>608</v>
      </c>
      <c r="NVP339" s="42" t="s">
        <v>608</v>
      </c>
      <c r="NVQ339" s="42" t="s">
        <v>608</v>
      </c>
      <c r="NVR339" s="42" t="s">
        <v>608</v>
      </c>
      <c r="NVS339" s="42" t="s">
        <v>608</v>
      </c>
      <c r="NVT339" s="42" t="s">
        <v>608</v>
      </c>
      <c r="NVU339" s="42" t="s">
        <v>608</v>
      </c>
      <c r="NVV339" s="42" t="s">
        <v>608</v>
      </c>
      <c r="NVW339" s="42" t="s">
        <v>608</v>
      </c>
      <c r="NVX339" s="42" t="s">
        <v>608</v>
      </c>
      <c r="NVY339" s="42" t="s">
        <v>608</v>
      </c>
      <c r="NVZ339" s="42" t="s">
        <v>608</v>
      </c>
      <c r="NWA339" s="42" t="s">
        <v>608</v>
      </c>
      <c r="NWB339" s="42" t="s">
        <v>608</v>
      </c>
      <c r="NWC339" s="42" t="s">
        <v>608</v>
      </c>
      <c r="NWD339" s="42" t="s">
        <v>608</v>
      </c>
      <c r="NWE339" s="42" t="s">
        <v>608</v>
      </c>
      <c r="NWF339" s="42" t="s">
        <v>608</v>
      </c>
      <c r="NWG339" s="42" t="s">
        <v>608</v>
      </c>
      <c r="NWH339" s="42" t="s">
        <v>608</v>
      </c>
      <c r="NWI339" s="42" t="s">
        <v>608</v>
      </c>
      <c r="NWJ339" s="42" t="s">
        <v>608</v>
      </c>
      <c r="NWK339" s="42" t="s">
        <v>608</v>
      </c>
      <c r="NWL339" s="42" t="s">
        <v>608</v>
      </c>
      <c r="NWM339" s="42" t="s">
        <v>608</v>
      </c>
      <c r="NWN339" s="42" t="s">
        <v>608</v>
      </c>
      <c r="NWO339" s="42" t="s">
        <v>608</v>
      </c>
      <c r="NWP339" s="42" t="s">
        <v>608</v>
      </c>
      <c r="NWQ339" s="42" t="s">
        <v>608</v>
      </c>
      <c r="NWR339" s="42" t="s">
        <v>608</v>
      </c>
      <c r="NWS339" s="42" t="s">
        <v>608</v>
      </c>
      <c r="NWT339" s="42" t="s">
        <v>608</v>
      </c>
      <c r="NWU339" s="42" t="s">
        <v>608</v>
      </c>
      <c r="NWV339" s="42" t="s">
        <v>608</v>
      </c>
      <c r="NWW339" s="42" t="s">
        <v>608</v>
      </c>
      <c r="NWX339" s="42" t="s">
        <v>608</v>
      </c>
      <c r="NWY339" s="42" t="s">
        <v>608</v>
      </c>
      <c r="NWZ339" s="42" t="s">
        <v>608</v>
      </c>
      <c r="NXA339" s="42" t="s">
        <v>608</v>
      </c>
      <c r="NXB339" s="42" t="s">
        <v>608</v>
      </c>
      <c r="NXC339" s="42" t="s">
        <v>608</v>
      </c>
      <c r="NXD339" s="42" t="s">
        <v>608</v>
      </c>
      <c r="NXE339" s="42" t="s">
        <v>608</v>
      </c>
      <c r="NXF339" s="42" t="s">
        <v>608</v>
      </c>
      <c r="NXG339" s="42" t="s">
        <v>608</v>
      </c>
      <c r="NXH339" s="42" t="s">
        <v>608</v>
      </c>
      <c r="NXI339" s="42" t="s">
        <v>608</v>
      </c>
      <c r="NXJ339" s="42" t="s">
        <v>608</v>
      </c>
      <c r="NXK339" s="42" t="s">
        <v>608</v>
      </c>
      <c r="NXL339" s="42" t="s">
        <v>608</v>
      </c>
      <c r="NXM339" s="42" t="s">
        <v>608</v>
      </c>
      <c r="NXN339" s="42" t="s">
        <v>608</v>
      </c>
      <c r="NXO339" s="42" t="s">
        <v>608</v>
      </c>
      <c r="NXP339" s="42" t="s">
        <v>608</v>
      </c>
      <c r="NXQ339" s="42" t="s">
        <v>608</v>
      </c>
      <c r="NXR339" s="42" t="s">
        <v>608</v>
      </c>
      <c r="NXS339" s="42" t="s">
        <v>608</v>
      </c>
      <c r="NXT339" s="42" t="s">
        <v>608</v>
      </c>
      <c r="NXU339" s="42" t="s">
        <v>608</v>
      </c>
      <c r="NXV339" s="42" t="s">
        <v>608</v>
      </c>
      <c r="NXW339" s="42" t="s">
        <v>608</v>
      </c>
      <c r="NXX339" s="42" t="s">
        <v>608</v>
      </c>
      <c r="NXY339" s="42" t="s">
        <v>608</v>
      </c>
      <c r="NXZ339" s="42" t="s">
        <v>608</v>
      </c>
      <c r="NYA339" s="42" t="s">
        <v>608</v>
      </c>
      <c r="NYB339" s="42" t="s">
        <v>608</v>
      </c>
      <c r="NYC339" s="42" t="s">
        <v>608</v>
      </c>
      <c r="NYD339" s="42" t="s">
        <v>608</v>
      </c>
      <c r="NYE339" s="42" t="s">
        <v>608</v>
      </c>
      <c r="NYF339" s="42" t="s">
        <v>608</v>
      </c>
      <c r="NYG339" s="42" t="s">
        <v>608</v>
      </c>
      <c r="NYH339" s="42" t="s">
        <v>608</v>
      </c>
      <c r="NYI339" s="42" t="s">
        <v>608</v>
      </c>
      <c r="NYJ339" s="42" t="s">
        <v>608</v>
      </c>
      <c r="NYK339" s="42" t="s">
        <v>608</v>
      </c>
      <c r="NYL339" s="42" t="s">
        <v>608</v>
      </c>
      <c r="NYM339" s="42" t="s">
        <v>608</v>
      </c>
      <c r="NYN339" s="42" t="s">
        <v>608</v>
      </c>
      <c r="NYO339" s="42" t="s">
        <v>608</v>
      </c>
      <c r="NYP339" s="42" t="s">
        <v>608</v>
      </c>
      <c r="NYQ339" s="42" t="s">
        <v>608</v>
      </c>
      <c r="NYR339" s="42" t="s">
        <v>608</v>
      </c>
      <c r="NYS339" s="42" t="s">
        <v>608</v>
      </c>
      <c r="NYT339" s="42" t="s">
        <v>608</v>
      </c>
      <c r="NYU339" s="42" t="s">
        <v>608</v>
      </c>
      <c r="NYV339" s="42" t="s">
        <v>608</v>
      </c>
      <c r="NYW339" s="42" t="s">
        <v>608</v>
      </c>
      <c r="NYX339" s="42" t="s">
        <v>608</v>
      </c>
      <c r="NYY339" s="42" t="s">
        <v>608</v>
      </c>
      <c r="NYZ339" s="42" t="s">
        <v>608</v>
      </c>
      <c r="NZA339" s="42" t="s">
        <v>608</v>
      </c>
      <c r="NZB339" s="42" t="s">
        <v>608</v>
      </c>
      <c r="NZC339" s="42" t="s">
        <v>608</v>
      </c>
      <c r="NZD339" s="42" t="s">
        <v>608</v>
      </c>
      <c r="NZE339" s="42" t="s">
        <v>608</v>
      </c>
      <c r="NZF339" s="42" t="s">
        <v>608</v>
      </c>
      <c r="NZG339" s="42" t="s">
        <v>608</v>
      </c>
      <c r="NZH339" s="42" t="s">
        <v>608</v>
      </c>
      <c r="NZI339" s="42" t="s">
        <v>608</v>
      </c>
      <c r="NZJ339" s="42" t="s">
        <v>608</v>
      </c>
      <c r="NZK339" s="42" t="s">
        <v>608</v>
      </c>
      <c r="NZL339" s="42" t="s">
        <v>608</v>
      </c>
      <c r="NZM339" s="42" t="s">
        <v>608</v>
      </c>
      <c r="NZN339" s="42" t="s">
        <v>608</v>
      </c>
      <c r="NZO339" s="42" t="s">
        <v>608</v>
      </c>
      <c r="NZP339" s="42" t="s">
        <v>608</v>
      </c>
      <c r="NZQ339" s="42" t="s">
        <v>608</v>
      </c>
      <c r="NZR339" s="42" t="s">
        <v>608</v>
      </c>
      <c r="NZS339" s="42" t="s">
        <v>608</v>
      </c>
      <c r="NZT339" s="42" t="s">
        <v>608</v>
      </c>
      <c r="NZU339" s="42" t="s">
        <v>608</v>
      </c>
      <c r="NZV339" s="42" t="s">
        <v>608</v>
      </c>
      <c r="NZW339" s="42" t="s">
        <v>608</v>
      </c>
      <c r="NZX339" s="42" t="s">
        <v>608</v>
      </c>
      <c r="NZY339" s="42" t="s">
        <v>608</v>
      </c>
      <c r="NZZ339" s="42" t="s">
        <v>608</v>
      </c>
      <c r="OAA339" s="42" t="s">
        <v>608</v>
      </c>
      <c r="OAB339" s="42" t="s">
        <v>608</v>
      </c>
      <c r="OAC339" s="42" t="s">
        <v>608</v>
      </c>
      <c r="OAD339" s="42" t="s">
        <v>608</v>
      </c>
      <c r="OAE339" s="42" t="s">
        <v>608</v>
      </c>
      <c r="OAF339" s="42" t="s">
        <v>608</v>
      </c>
      <c r="OAG339" s="42" t="s">
        <v>608</v>
      </c>
      <c r="OAH339" s="42" t="s">
        <v>608</v>
      </c>
      <c r="OAI339" s="42" t="s">
        <v>608</v>
      </c>
      <c r="OAJ339" s="42" t="s">
        <v>608</v>
      </c>
      <c r="OAK339" s="42" t="s">
        <v>608</v>
      </c>
      <c r="OAL339" s="42" t="s">
        <v>608</v>
      </c>
      <c r="OAM339" s="42" t="s">
        <v>608</v>
      </c>
      <c r="OAN339" s="42" t="s">
        <v>608</v>
      </c>
      <c r="OAO339" s="42" t="s">
        <v>608</v>
      </c>
      <c r="OAP339" s="42" t="s">
        <v>608</v>
      </c>
      <c r="OAQ339" s="42" t="s">
        <v>608</v>
      </c>
      <c r="OAR339" s="42" t="s">
        <v>608</v>
      </c>
      <c r="OAS339" s="42" t="s">
        <v>608</v>
      </c>
      <c r="OAT339" s="42" t="s">
        <v>608</v>
      </c>
      <c r="OAU339" s="42" t="s">
        <v>608</v>
      </c>
      <c r="OAV339" s="42" t="s">
        <v>608</v>
      </c>
      <c r="OAW339" s="42" t="s">
        <v>608</v>
      </c>
      <c r="OAX339" s="42" t="s">
        <v>608</v>
      </c>
      <c r="OAY339" s="42" t="s">
        <v>608</v>
      </c>
      <c r="OAZ339" s="42" t="s">
        <v>608</v>
      </c>
      <c r="OBA339" s="42" t="s">
        <v>608</v>
      </c>
      <c r="OBB339" s="42" t="s">
        <v>608</v>
      </c>
      <c r="OBC339" s="42" t="s">
        <v>608</v>
      </c>
      <c r="OBD339" s="42" t="s">
        <v>608</v>
      </c>
      <c r="OBE339" s="42" t="s">
        <v>608</v>
      </c>
      <c r="OBF339" s="42" t="s">
        <v>608</v>
      </c>
      <c r="OBG339" s="42" t="s">
        <v>608</v>
      </c>
      <c r="OBH339" s="42" t="s">
        <v>608</v>
      </c>
      <c r="OBI339" s="42" t="s">
        <v>608</v>
      </c>
      <c r="OBJ339" s="42" t="s">
        <v>608</v>
      </c>
      <c r="OBK339" s="42" t="s">
        <v>608</v>
      </c>
      <c r="OBL339" s="42" t="s">
        <v>608</v>
      </c>
      <c r="OBM339" s="42" t="s">
        <v>608</v>
      </c>
      <c r="OBN339" s="42" t="s">
        <v>608</v>
      </c>
      <c r="OBO339" s="42" t="s">
        <v>608</v>
      </c>
      <c r="OBP339" s="42" t="s">
        <v>608</v>
      </c>
      <c r="OBQ339" s="42" t="s">
        <v>608</v>
      </c>
      <c r="OBR339" s="42" t="s">
        <v>608</v>
      </c>
      <c r="OBS339" s="42" t="s">
        <v>608</v>
      </c>
      <c r="OBT339" s="42" t="s">
        <v>608</v>
      </c>
      <c r="OBU339" s="42" t="s">
        <v>608</v>
      </c>
      <c r="OBV339" s="42" t="s">
        <v>608</v>
      </c>
      <c r="OBW339" s="42" t="s">
        <v>608</v>
      </c>
      <c r="OBX339" s="42" t="s">
        <v>608</v>
      </c>
      <c r="OBY339" s="42" t="s">
        <v>608</v>
      </c>
      <c r="OBZ339" s="42" t="s">
        <v>608</v>
      </c>
      <c r="OCA339" s="42" t="s">
        <v>608</v>
      </c>
      <c r="OCB339" s="42" t="s">
        <v>608</v>
      </c>
      <c r="OCC339" s="42" t="s">
        <v>608</v>
      </c>
      <c r="OCD339" s="42" t="s">
        <v>608</v>
      </c>
      <c r="OCE339" s="42" t="s">
        <v>608</v>
      </c>
      <c r="OCF339" s="42" t="s">
        <v>608</v>
      </c>
      <c r="OCG339" s="42" t="s">
        <v>608</v>
      </c>
      <c r="OCH339" s="42" t="s">
        <v>608</v>
      </c>
      <c r="OCI339" s="42" t="s">
        <v>608</v>
      </c>
      <c r="OCJ339" s="42" t="s">
        <v>608</v>
      </c>
      <c r="OCK339" s="42" t="s">
        <v>608</v>
      </c>
      <c r="OCL339" s="42" t="s">
        <v>608</v>
      </c>
      <c r="OCM339" s="42" t="s">
        <v>608</v>
      </c>
      <c r="OCN339" s="42" t="s">
        <v>608</v>
      </c>
      <c r="OCO339" s="42" t="s">
        <v>608</v>
      </c>
      <c r="OCP339" s="42" t="s">
        <v>608</v>
      </c>
      <c r="OCQ339" s="42" t="s">
        <v>608</v>
      </c>
      <c r="OCR339" s="42" t="s">
        <v>608</v>
      </c>
      <c r="OCS339" s="42" t="s">
        <v>608</v>
      </c>
      <c r="OCT339" s="42" t="s">
        <v>608</v>
      </c>
      <c r="OCU339" s="42" t="s">
        <v>608</v>
      </c>
      <c r="OCV339" s="42" t="s">
        <v>608</v>
      </c>
      <c r="OCW339" s="42" t="s">
        <v>608</v>
      </c>
      <c r="OCX339" s="42" t="s">
        <v>608</v>
      </c>
      <c r="OCY339" s="42" t="s">
        <v>608</v>
      </c>
      <c r="OCZ339" s="42" t="s">
        <v>608</v>
      </c>
      <c r="ODA339" s="42" t="s">
        <v>608</v>
      </c>
      <c r="ODB339" s="42" t="s">
        <v>608</v>
      </c>
      <c r="ODC339" s="42" t="s">
        <v>608</v>
      </c>
      <c r="ODD339" s="42" t="s">
        <v>608</v>
      </c>
      <c r="ODE339" s="42" t="s">
        <v>608</v>
      </c>
      <c r="ODF339" s="42" t="s">
        <v>608</v>
      </c>
      <c r="ODG339" s="42" t="s">
        <v>608</v>
      </c>
      <c r="ODH339" s="42" t="s">
        <v>608</v>
      </c>
      <c r="ODI339" s="42" t="s">
        <v>608</v>
      </c>
      <c r="ODJ339" s="42" t="s">
        <v>608</v>
      </c>
      <c r="ODK339" s="42" t="s">
        <v>608</v>
      </c>
      <c r="ODL339" s="42" t="s">
        <v>608</v>
      </c>
      <c r="ODM339" s="42" t="s">
        <v>608</v>
      </c>
      <c r="ODN339" s="42" t="s">
        <v>608</v>
      </c>
      <c r="ODO339" s="42" t="s">
        <v>608</v>
      </c>
      <c r="ODP339" s="42" t="s">
        <v>608</v>
      </c>
      <c r="ODQ339" s="42" t="s">
        <v>608</v>
      </c>
      <c r="ODR339" s="42" t="s">
        <v>608</v>
      </c>
      <c r="ODS339" s="42" t="s">
        <v>608</v>
      </c>
      <c r="ODT339" s="42" t="s">
        <v>608</v>
      </c>
      <c r="ODU339" s="42" t="s">
        <v>608</v>
      </c>
      <c r="ODV339" s="42" t="s">
        <v>608</v>
      </c>
      <c r="ODW339" s="42" t="s">
        <v>608</v>
      </c>
      <c r="ODX339" s="42" t="s">
        <v>608</v>
      </c>
      <c r="ODY339" s="42" t="s">
        <v>608</v>
      </c>
      <c r="ODZ339" s="42" t="s">
        <v>608</v>
      </c>
      <c r="OEA339" s="42" t="s">
        <v>608</v>
      </c>
      <c r="OEB339" s="42" t="s">
        <v>608</v>
      </c>
      <c r="OEC339" s="42" t="s">
        <v>608</v>
      </c>
      <c r="OED339" s="42" t="s">
        <v>608</v>
      </c>
      <c r="OEE339" s="42" t="s">
        <v>608</v>
      </c>
      <c r="OEF339" s="42" t="s">
        <v>608</v>
      </c>
      <c r="OEG339" s="42" t="s">
        <v>608</v>
      </c>
      <c r="OEH339" s="42" t="s">
        <v>608</v>
      </c>
      <c r="OEI339" s="42" t="s">
        <v>608</v>
      </c>
      <c r="OEJ339" s="42" t="s">
        <v>608</v>
      </c>
      <c r="OEK339" s="42" t="s">
        <v>608</v>
      </c>
      <c r="OEL339" s="42" t="s">
        <v>608</v>
      </c>
      <c r="OEM339" s="42" t="s">
        <v>608</v>
      </c>
      <c r="OEN339" s="42" t="s">
        <v>608</v>
      </c>
      <c r="OEO339" s="42" t="s">
        <v>608</v>
      </c>
      <c r="OEP339" s="42" t="s">
        <v>608</v>
      </c>
      <c r="OEQ339" s="42" t="s">
        <v>608</v>
      </c>
      <c r="OER339" s="42" t="s">
        <v>608</v>
      </c>
      <c r="OES339" s="42" t="s">
        <v>608</v>
      </c>
      <c r="OET339" s="42" t="s">
        <v>608</v>
      </c>
      <c r="OEU339" s="42" t="s">
        <v>608</v>
      </c>
      <c r="OEV339" s="42" t="s">
        <v>608</v>
      </c>
      <c r="OEW339" s="42" t="s">
        <v>608</v>
      </c>
      <c r="OEX339" s="42" t="s">
        <v>608</v>
      </c>
      <c r="OEY339" s="42" t="s">
        <v>608</v>
      </c>
      <c r="OEZ339" s="42" t="s">
        <v>608</v>
      </c>
      <c r="OFA339" s="42" t="s">
        <v>608</v>
      </c>
      <c r="OFB339" s="42" t="s">
        <v>608</v>
      </c>
      <c r="OFC339" s="42" t="s">
        <v>608</v>
      </c>
      <c r="OFD339" s="42" t="s">
        <v>608</v>
      </c>
      <c r="OFE339" s="42" t="s">
        <v>608</v>
      </c>
      <c r="OFF339" s="42" t="s">
        <v>608</v>
      </c>
      <c r="OFG339" s="42" t="s">
        <v>608</v>
      </c>
      <c r="OFH339" s="42" t="s">
        <v>608</v>
      </c>
      <c r="OFI339" s="42" t="s">
        <v>608</v>
      </c>
      <c r="OFJ339" s="42" t="s">
        <v>608</v>
      </c>
      <c r="OFK339" s="42" t="s">
        <v>608</v>
      </c>
      <c r="OFL339" s="42" t="s">
        <v>608</v>
      </c>
      <c r="OFM339" s="42" t="s">
        <v>608</v>
      </c>
      <c r="OFN339" s="42" t="s">
        <v>608</v>
      </c>
      <c r="OFO339" s="42" t="s">
        <v>608</v>
      </c>
      <c r="OFP339" s="42" t="s">
        <v>608</v>
      </c>
      <c r="OFQ339" s="42" t="s">
        <v>608</v>
      </c>
      <c r="OFR339" s="42" t="s">
        <v>608</v>
      </c>
      <c r="OFS339" s="42" t="s">
        <v>608</v>
      </c>
      <c r="OFT339" s="42" t="s">
        <v>608</v>
      </c>
      <c r="OFU339" s="42" t="s">
        <v>608</v>
      </c>
      <c r="OFV339" s="42" t="s">
        <v>608</v>
      </c>
      <c r="OFW339" s="42" t="s">
        <v>608</v>
      </c>
      <c r="OFX339" s="42" t="s">
        <v>608</v>
      </c>
      <c r="OFY339" s="42" t="s">
        <v>608</v>
      </c>
      <c r="OFZ339" s="42" t="s">
        <v>608</v>
      </c>
      <c r="OGA339" s="42" t="s">
        <v>608</v>
      </c>
      <c r="OGB339" s="42" t="s">
        <v>608</v>
      </c>
      <c r="OGC339" s="42" t="s">
        <v>608</v>
      </c>
      <c r="OGD339" s="42" t="s">
        <v>608</v>
      </c>
      <c r="OGE339" s="42" t="s">
        <v>608</v>
      </c>
      <c r="OGF339" s="42" t="s">
        <v>608</v>
      </c>
      <c r="OGG339" s="42" t="s">
        <v>608</v>
      </c>
      <c r="OGH339" s="42" t="s">
        <v>608</v>
      </c>
      <c r="OGI339" s="42" t="s">
        <v>608</v>
      </c>
      <c r="OGJ339" s="42" t="s">
        <v>608</v>
      </c>
      <c r="OGK339" s="42" t="s">
        <v>608</v>
      </c>
      <c r="OGL339" s="42" t="s">
        <v>608</v>
      </c>
      <c r="OGM339" s="42" t="s">
        <v>608</v>
      </c>
      <c r="OGN339" s="42" t="s">
        <v>608</v>
      </c>
      <c r="OGO339" s="42" t="s">
        <v>608</v>
      </c>
      <c r="OGP339" s="42" t="s">
        <v>608</v>
      </c>
      <c r="OGQ339" s="42" t="s">
        <v>608</v>
      </c>
      <c r="OGR339" s="42" t="s">
        <v>608</v>
      </c>
      <c r="OGS339" s="42" t="s">
        <v>608</v>
      </c>
      <c r="OGT339" s="42" t="s">
        <v>608</v>
      </c>
      <c r="OGU339" s="42" t="s">
        <v>608</v>
      </c>
      <c r="OGV339" s="42" t="s">
        <v>608</v>
      </c>
      <c r="OGW339" s="42" t="s">
        <v>608</v>
      </c>
      <c r="OGX339" s="42" t="s">
        <v>608</v>
      </c>
      <c r="OGY339" s="42" t="s">
        <v>608</v>
      </c>
      <c r="OGZ339" s="42" t="s">
        <v>608</v>
      </c>
      <c r="OHA339" s="42" t="s">
        <v>608</v>
      </c>
      <c r="OHB339" s="42" t="s">
        <v>608</v>
      </c>
      <c r="OHC339" s="42" t="s">
        <v>608</v>
      </c>
      <c r="OHD339" s="42" t="s">
        <v>608</v>
      </c>
      <c r="OHE339" s="42" t="s">
        <v>608</v>
      </c>
      <c r="OHF339" s="42" t="s">
        <v>608</v>
      </c>
      <c r="OHG339" s="42" t="s">
        <v>608</v>
      </c>
      <c r="OHH339" s="42" t="s">
        <v>608</v>
      </c>
      <c r="OHI339" s="42" t="s">
        <v>608</v>
      </c>
      <c r="OHJ339" s="42" t="s">
        <v>608</v>
      </c>
      <c r="OHK339" s="42" t="s">
        <v>608</v>
      </c>
      <c r="OHL339" s="42" t="s">
        <v>608</v>
      </c>
      <c r="OHM339" s="42" t="s">
        <v>608</v>
      </c>
      <c r="OHN339" s="42" t="s">
        <v>608</v>
      </c>
      <c r="OHO339" s="42" t="s">
        <v>608</v>
      </c>
      <c r="OHP339" s="42" t="s">
        <v>608</v>
      </c>
      <c r="OHQ339" s="42" t="s">
        <v>608</v>
      </c>
      <c r="OHR339" s="42" t="s">
        <v>608</v>
      </c>
      <c r="OHS339" s="42" t="s">
        <v>608</v>
      </c>
      <c r="OHT339" s="42" t="s">
        <v>608</v>
      </c>
      <c r="OHU339" s="42" t="s">
        <v>608</v>
      </c>
      <c r="OHV339" s="42" t="s">
        <v>608</v>
      </c>
      <c r="OHW339" s="42" t="s">
        <v>608</v>
      </c>
      <c r="OHX339" s="42" t="s">
        <v>608</v>
      </c>
      <c r="OHY339" s="42" t="s">
        <v>608</v>
      </c>
      <c r="OHZ339" s="42" t="s">
        <v>608</v>
      </c>
      <c r="OIA339" s="42" t="s">
        <v>608</v>
      </c>
      <c r="OIB339" s="42" t="s">
        <v>608</v>
      </c>
      <c r="OIC339" s="42" t="s">
        <v>608</v>
      </c>
      <c r="OID339" s="42" t="s">
        <v>608</v>
      </c>
      <c r="OIE339" s="42" t="s">
        <v>608</v>
      </c>
      <c r="OIF339" s="42" t="s">
        <v>608</v>
      </c>
      <c r="OIG339" s="42" t="s">
        <v>608</v>
      </c>
      <c r="OIH339" s="42" t="s">
        <v>608</v>
      </c>
      <c r="OII339" s="42" t="s">
        <v>608</v>
      </c>
      <c r="OIJ339" s="42" t="s">
        <v>608</v>
      </c>
      <c r="OIK339" s="42" t="s">
        <v>608</v>
      </c>
      <c r="OIL339" s="42" t="s">
        <v>608</v>
      </c>
      <c r="OIM339" s="42" t="s">
        <v>608</v>
      </c>
      <c r="OIN339" s="42" t="s">
        <v>608</v>
      </c>
      <c r="OIO339" s="42" t="s">
        <v>608</v>
      </c>
      <c r="OIP339" s="42" t="s">
        <v>608</v>
      </c>
      <c r="OIQ339" s="42" t="s">
        <v>608</v>
      </c>
      <c r="OIR339" s="42" t="s">
        <v>608</v>
      </c>
      <c r="OIS339" s="42" t="s">
        <v>608</v>
      </c>
      <c r="OIT339" s="42" t="s">
        <v>608</v>
      </c>
      <c r="OIU339" s="42" t="s">
        <v>608</v>
      </c>
      <c r="OIV339" s="42" t="s">
        <v>608</v>
      </c>
      <c r="OIW339" s="42" t="s">
        <v>608</v>
      </c>
      <c r="OIX339" s="42" t="s">
        <v>608</v>
      </c>
      <c r="OIY339" s="42" t="s">
        <v>608</v>
      </c>
      <c r="OIZ339" s="42" t="s">
        <v>608</v>
      </c>
      <c r="OJA339" s="42" t="s">
        <v>608</v>
      </c>
      <c r="OJB339" s="42" t="s">
        <v>608</v>
      </c>
      <c r="OJC339" s="42" t="s">
        <v>608</v>
      </c>
      <c r="OJD339" s="42" t="s">
        <v>608</v>
      </c>
      <c r="OJE339" s="42" t="s">
        <v>608</v>
      </c>
      <c r="OJF339" s="42" t="s">
        <v>608</v>
      </c>
      <c r="OJG339" s="42" t="s">
        <v>608</v>
      </c>
      <c r="OJH339" s="42" t="s">
        <v>608</v>
      </c>
      <c r="OJI339" s="42" t="s">
        <v>608</v>
      </c>
      <c r="OJJ339" s="42" t="s">
        <v>608</v>
      </c>
      <c r="OJK339" s="42" t="s">
        <v>608</v>
      </c>
      <c r="OJL339" s="42" t="s">
        <v>608</v>
      </c>
      <c r="OJM339" s="42" t="s">
        <v>608</v>
      </c>
      <c r="OJN339" s="42" t="s">
        <v>608</v>
      </c>
      <c r="OJO339" s="42" t="s">
        <v>608</v>
      </c>
      <c r="OJP339" s="42" t="s">
        <v>608</v>
      </c>
      <c r="OJQ339" s="42" t="s">
        <v>608</v>
      </c>
      <c r="OJR339" s="42" t="s">
        <v>608</v>
      </c>
      <c r="OJS339" s="42" t="s">
        <v>608</v>
      </c>
      <c r="OJT339" s="42" t="s">
        <v>608</v>
      </c>
      <c r="OJU339" s="42" t="s">
        <v>608</v>
      </c>
      <c r="OJV339" s="42" t="s">
        <v>608</v>
      </c>
      <c r="OJW339" s="42" t="s">
        <v>608</v>
      </c>
      <c r="OJX339" s="42" t="s">
        <v>608</v>
      </c>
      <c r="OJY339" s="42" t="s">
        <v>608</v>
      </c>
      <c r="OJZ339" s="42" t="s">
        <v>608</v>
      </c>
      <c r="OKA339" s="42" t="s">
        <v>608</v>
      </c>
      <c r="OKB339" s="42" t="s">
        <v>608</v>
      </c>
      <c r="OKC339" s="42" t="s">
        <v>608</v>
      </c>
      <c r="OKD339" s="42" t="s">
        <v>608</v>
      </c>
      <c r="OKE339" s="42" t="s">
        <v>608</v>
      </c>
      <c r="OKF339" s="42" t="s">
        <v>608</v>
      </c>
      <c r="OKG339" s="42" t="s">
        <v>608</v>
      </c>
      <c r="OKH339" s="42" t="s">
        <v>608</v>
      </c>
      <c r="OKI339" s="42" t="s">
        <v>608</v>
      </c>
      <c r="OKJ339" s="42" t="s">
        <v>608</v>
      </c>
      <c r="OKK339" s="42" t="s">
        <v>608</v>
      </c>
      <c r="OKL339" s="42" t="s">
        <v>608</v>
      </c>
      <c r="OKM339" s="42" t="s">
        <v>608</v>
      </c>
      <c r="OKN339" s="42" t="s">
        <v>608</v>
      </c>
      <c r="OKO339" s="42" t="s">
        <v>608</v>
      </c>
      <c r="OKP339" s="42" t="s">
        <v>608</v>
      </c>
      <c r="OKQ339" s="42" t="s">
        <v>608</v>
      </c>
      <c r="OKR339" s="42" t="s">
        <v>608</v>
      </c>
      <c r="OKS339" s="42" t="s">
        <v>608</v>
      </c>
      <c r="OKT339" s="42" t="s">
        <v>608</v>
      </c>
      <c r="OKU339" s="42" t="s">
        <v>608</v>
      </c>
      <c r="OKV339" s="42" t="s">
        <v>608</v>
      </c>
      <c r="OKW339" s="42" t="s">
        <v>608</v>
      </c>
      <c r="OKX339" s="42" t="s">
        <v>608</v>
      </c>
      <c r="OKY339" s="42" t="s">
        <v>608</v>
      </c>
      <c r="OKZ339" s="42" t="s">
        <v>608</v>
      </c>
      <c r="OLA339" s="42" t="s">
        <v>608</v>
      </c>
      <c r="OLB339" s="42" t="s">
        <v>608</v>
      </c>
      <c r="OLC339" s="42" t="s">
        <v>608</v>
      </c>
      <c r="OLD339" s="42" t="s">
        <v>608</v>
      </c>
      <c r="OLE339" s="42" t="s">
        <v>608</v>
      </c>
      <c r="OLF339" s="42" t="s">
        <v>608</v>
      </c>
      <c r="OLG339" s="42" t="s">
        <v>608</v>
      </c>
      <c r="OLH339" s="42" t="s">
        <v>608</v>
      </c>
      <c r="OLI339" s="42" t="s">
        <v>608</v>
      </c>
      <c r="OLJ339" s="42" t="s">
        <v>608</v>
      </c>
      <c r="OLK339" s="42" t="s">
        <v>608</v>
      </c>
      <c r="OLL339" s="42" t="s">
        <v>608</v>
      </c>
      <c r="OLM339" s="42" t="s">
        <v>608</v>
      </c>
      <c r="OLN339" s="42" t="s">
        <v>608</v>
      </c>
      <c r="OLO339" s="42" t="s">
        <v>608</v>
      </c>
      <c r="OLP339" s="42" t="s">
        <v>608</v>
      </c>
      <c r="OLQ339" s="42" t="s">
        <v>608</v>
      </c>
      <c r="OLR339" s="42" t="s">
        <v>608</v>
      </c>
      <c r="OLS339" s="42" t="s">
        <v>608</v>
      </c>
      <c r="OLT339" s="42" t="s">
        <v>608</v>
      </c>
      <c r="OLU339" s="42" t="s">
        <v>608</v>
      </c>
      <c r="OLV339" s="42" t="s">
        <v>608</v>
      </c>
      <c r="OLW339" s="42" t="s">
        <v>608</v>
      </c>
      <c r="OLX339" s="42" t="s">
        <v>608</v>
      </c>
      <c r="OLY339" s="42" t="s">
        <v>608</v>
      </c>
      <c r="OLZ339" s="42" t="s">
        <v>608</v>
      </c>
      <c r="OMA339" s="42" t="s">
        <v>608</v>
      </c>
      <c r="OMB339" s="42" t="s">
        <v>608</v>
      </c>
      <c r="OMC339" s="42" t="s">
        <v>608</v>
      </c>
      <c r="OMD339" s="42" t="s">
        <v>608</v>
      </c>
      <c r="OME339" s="42" t="s">
        <v>608</v>
      </c>
      <c r="OMF339" s="42" t="s">
        <v>608</v>
      </c>
      <c r="OMG339" s="42" t="s">
        <v>608</v>
      </c>
      <c r="OMH339" s="42" t="s">
        <v>608</v>
      </c>
      <c r="OMI339" s="42" t="s">
        <v>608</v>
      </c>
      <c r="OMJ339" s="42" t="s">
        <v>608</v>
      </c>
      <c r="OMK339" s="42" t="s">
        <v>608</v>
      </c>
      <c r="OML339" s="42" t="s">
        <v>608</v>
      </c>
      <c r="OMM339" s="42" t="s">
        <v>608</v>
      </c>
      <c r="OMN339" s="42" t="s">
        <v>608</v>
      </c>
      <c r="OMO339" s="42" t="s">
        <v>608</v>
      </c>
      <c r="OMP339" s="42" t="s">
        <v>608</v>
      </c>
      <c r="OMQ339" s="42" t="s">
        <v>608</v>
      </c>
      <c r="OMR339" s="42" t="s">
        <v>608</v>
      </c>
      <c r="OMS339" s="42" t="s">
        <v>608</v>
      </c>
      <c r="OMT339" s="42" t="s">
        <v>608</v>
      </c>
      <c r="OMU339" s="42" t="s">
        <v>608</v>
      </c>
      <c r="OMV339" s="42" t="s">
        <v>608</v>
      </c>
      <c r="OMW339" s="42" t="s">
        <v>608</v>
      </c>
      <c r="OMX339" s="42" t="s">
        <v>608</v>
      </c>
      <c r="OMY339" s="42" t="s">
        <v>608</v>
      </c>
      <c r="OMZ339" s="42" t="s">
        <v>608</v>
      </c>
      <c r="ONA339" s="42" t="s">
        <v>608</v>
      </c>
      <c r="ONB339" s="42" t="s">
        <v>608</v>
      </c>
      <c r="ONC339" s="42" t="s">
        <v>608</v>
      </c>
      <c r="OND339" s="42" t="s">
        <v>608</v>
      </c>
      <c r="ONE339" s="42" t="s">
        <v>608</v>
      </c>
      <c r="ONF339" s="42" t="s">
        <v>608</v>
      </c>
      <c r="ONG339" s="42" t="s">
        <v>608</v>
      </c>
      <c r="ONH339" s="42" t="s">
        <v>608</v>
      </c>
      <c r="ONI339" s="42" t="s">
        <v>608</v>
      </c>
      <c r="ONJ339" s="42" t="s">
        <v>608</v>
      </c>
      <c r="ONK339" s="42" t="s">
        <v>608</v>
      </c>
      <c r="ONL339" s="42" t="s">
        <v>608</v>
      </c>
      <c r="ONM339" s="42" t="s">
        <v>608</v>
      </c>
      <c r="ONN339" s="42" t="s">
        <v>608</v>
      </c>
      <c r="ONO339" s="42" t="s">
        <v>608</v>
      </c>
      <c r="ONP339" s="42" t="s">
        <v>608</v>
      </c>
      <c r="ONQ339" s="42" t="s">
        <v>608</v>
      </c>
      <c r="ONR339" s="42" t="s">
        <v>608</v>
      </c>
      <c r="ONS339" s="42" t="s">
        <v>608</v>
      </c>
      <c r="ONT339" s="42" t="s">
        <v>608</v>
      </c>
      <c r="ONU339" s="42" t="s">
        <v>608</v>
      </c>
      <c r="ONV339" s="42" t="s">
        <v>608</v>
      </c>
      <c r="ONW339" s="42" t="s">
        <v>608</v>
      </c>
      <c r="ONX339" s="42" t="s">
        <v>608</v>
      </c>
      <c r="ONY339" s="42" t="s">
        <v>608</v>
      </c>
      <c r="ONZ339" s="42" t="s">
        <v>608</v>
      </c>
      <c r="OOA339" s="42" t="s">
        <v>608</v>
      </c>
      <c r="OOB339" s="42" t="s">
        <v>608</v>
      </c>
      <c r="OOC339" s="42" t="s">
        <v>608</v>
      </c>
      <c r="OOD339" s="42" t="s">
        <v>608</v>
      </c>
      <c r="OOE339" s="42" t="s">
        <v>608</v>
      </c>
      <c r="OOF339" s="42" t="s">
        <v>608</v>
      </c>
      <c r="OOG339" s="42" t="s">
        <v>608</v>
      </c>
      <c r="OOH339" s="42" t="s">
        <v>608</v>
      </c>
      <c r="OOI339" s="42" t="s">
        <v>608</v>
      </c>
      <c r="OOJ339" s="42" t="s">
        <v>608</v>
      </c>
      <c r="OOK339" s="42" t="s">
        <v>608</v>
      </c>
      <c r="OOL339" s="42" t="s">
        <v>608</v>
      </c>
      <c r="OOM339" s="42" t="s">
        <v>608</v>
      </c>
      <c r="OON339" s="42" t="s">
        <v>608</v>
      </c>
      <c r="OOO339" s="42" t="s">
        <v>608</v>
      </c>
      <c r="OOP339" s="42" t="s">
        <v>608</v>
      </c>
      <c r="OOQ339" s="42" t="s">
        <v>608</v>
      </c>
      <c r="OOR339" s="42" t="s">
        <v>608</v>
      </c>
      <c r="OOS339" s="42" t="s">
        <v>608</v>
      </c>
      <c r="OOT339" s="42" t="s">
        <v>608</v>
      </c>
      <c r="OOU339" s="42" t="s">
        <v>608</v>
      </c>
      <c r="OOV339" s="42" t="s">
        <v>608</v>
      </c>
      <c r="OOW339" s="42" t="s">
        <v>608</v>
      </c>
      <c r="OOX339" s="42" t="s">
        <v>608</v>
      </c>
      <c r="OOY339" s="42" t="s">
        <v>608</v>
      </c>
      <c r="OOZ339" s="42" t="s">
        <v>608</v>
      </c>
      <c r="OPA339" s="42" t="s">
        <v>608</v>
      </c>
      <c r="OPB339" s="42" t="s">
        <v>608</v>
      </c>
      <c r="OPC339" s="42" t="s">
        <v>608</v>
      </c>
      <c r="OPD339" s="42" t="s">
        <v>608</v>
      </c>
      <c r="OPE339" s="42" t="s">
        <v>608</v>
      </c>
      <c r="OPF339" s="42" t="s">
        <v>608</v>
      </c>
      <c r="OPG339" s="42" t="s">
        <v>608</v>
      </c>
      <c r="OPH339" s="42" t="s">
        <v>608</v>
      </c>
      <c r="OPI339" s="42" t="s">
        <v>608</v>
      </c>
      <c r="OPJ339" s="42" t="s">
        <v>608</v>
      </c>
      <c r="OPK339" s="42" t="s">
        <v>608</v>
      </c>
      <c r="OPL339" s="42" t="s">
        <v>608</v>
      </c>
      <c r="OPM339" s="42" t="s">
        <v>608</v>
      </c>
      <c r="OPN339" s="42" t="s">
        <v>608</v>
      </c>
      <c r="OPO339" s="42" t="s">
        <v>608</v>
      </c>
      <c r="OPP339" s="42" t="s">
        <v>608</v>
      </c>
      <c r="OPQ339" s="42" t="s">
        <v>608</v>
      </c>
      <c r="OPR339" s="42" t="s">
        <v>608</v>
      </c>
      <c r="OPS339" s="42" t="s">
        <v>608</v>
      </c>
      <c r="OPT339" s="42" t="s">
        <v>608</v>
      </c>
      <c r="OPU339" s="42" t="s">
        <v>608</v>
      </c>
      <c r="OPV339" s="42" t="s">
        <v>608</v>
      </c>
      <c r="OPW339" s="42" t="s">
        <v>608</v>
      </c>
      <c r="OPX339" s="42" t="s">
        <v>608</v>
      </c>
      <c r="OPY339" s="42" t="s">
        <v>608</v>
      </c>
      <c r="OPZ339" s="42" t="s">
        <v>608</v>
      </c>
      <c r="OQA339" s="42" t="s">
        <v>608</v>
      </c>
      <c r="OQB339" s="42" t="s">
        <v>608</v>
      </c>
      <c r="OQC339" s="42" t="s">
        <v>608</v>
      </c>
      <c r="OQD339" s="42" t="s">
        <v>608</v>
      </c>
      <c r="OQE339" s="42" t="s">
        <v>608</v>
      </c>
      <c r="OQF339" s="42" t="s">
        <v>608</v>
      </c>
      <c r="OQG339" s="42" t="s">
        <v>608</v>
      </c>
      <c r="OQH339" s="42" t="s">
        <v>608</v>
      </c>
      <c r="OQI339" s="42" t="s">
        <v>608</v>
      </c>
      <c r="OQJ339" s="42" t="s">
        <v>608</v>
      </c>
      <c r="OQK339" s="42" t="s">
        <v>608</v>
      </c>
      <c r="OQL339" s="42" t="s">
        <v>608</v>
      </c>
      <c r="OQM339" s="42" t="s">
        <v>608</v>
      </c>
      <c r="OQN339" s="42" t="s">
        <v>608</v>
      </c>
      <c r="OQO339" s="42" t="s">
        <v>608</v>
      </c>
      <c r="OQP339" s="42" t="s">
        <v>608</v>
      </c>
      <c r="OQQ339" s="42" t="s">
        <v>608</v>
      </c>
      <c r="OQR339" s="42" t="s">
        <v>608</v>
      </c>
      <c r="OQS339" s="42" t="s">
        <v>608</v>
      </c>
      <c r="OQT339" s="42" t="s">
        <v>608</v>
      </c>
      <c r="OQU339" s="42" t="s">
        <v>608</v>
      </c>
      <c r="OQV339" s="42" t="s">
        <v>608</v>
      </c>
      <c r="OQW339" s="42" t="s">
        <v>608</v>
      </c>
      <c r="OQX339" s="42" t="s">
        <v>608</v>
      </c>
      <c r="OQY339" s="42" t="s">
        <v>608</v>
      </c>
      <c r="OQZ339" s="42" t="s">
        <v>608</v>
      </c>
      <c r="ORA339" s="42" t="s">
        <v>608</v>
      </c>
      <c r="ORB339" s="42" t="s">
        <v>608</v>
      </c>
      <c r="ORC339" s="42" t="s">
        <v>608</v>
      </c>
      <c r="ORD339" s="42" t="s">
        <v>608</v>
      </c>
      <c r="ORE339" s="42" t="s">
        <v>608</v>
      </c>
      <c r="ORF339" s="42" t="s">
        <v>608</v>
      </c>
      <c r="ORG339" s="42" t="s">
        <v>608</v>
      </c>
      <c r="ORH339" s="42" t="s">
        <v>608</v>
      </c>
      <c r="ORI339" s="42" t="s">
        <v>608</v>
      </c>
      <c r="ORJ339" s="42" t="s">
        <v>608</v>
      </c>
      <c r="ORK339" s="42" t="s">
        <v>608</v>
      </c>
      <c r="ORL339" s="42" t="s">
        <v>608</v>
      </c>
      <c r="ORM339" s="42" t="s">
        <v>608</v>
      </c>
      <c r="ORN339" s="42" t="s">
        <v>608</v>
      </c>
      <c r="ORO339" s="42" t="s">
        <v>608</v>
      </c>
      <c r="ORP339" s="42" t="s">
        <v>608</v>
      </c>
      <c r="ORQ339" s="42" t="s">
        <v>608</v>
      </c>
      <c r="ORR339" s="42" t="s">
        <v>608</v>
      </c>
      <c r="ORS339" s="42" t="s">
        <v>608</v>
      </c>
      <c r="ORT339" s="42" t="s">
        <v>608</v>
      </c>
      <c r="ORU339" s="42" t="s">
        <v>608</v>
      </c>
      <c r="ORV339" s="42" t="s">
        <v>608</v>
      </c>
      <c r="ORW339" s="42" t="s">
        <v>608</v>
      </c>
      <c r="ORX339" s="42" t="s">
        <v>608</v>
      </c>
      <c r="ORY339" s="42" t="s">
        <v>608</v>
      </c>
      <c r="ORZ339" s="42" t="s">
        <v>608</v>
      </c>
      <c r="OSA339" s="42" t="s">
        <v>608</v>
      </c>
      <c r="OSB339" s="42" t="s">
        <v>608</v>
      </c>
      <c r="OSC339" s="42" t="s">
        <v>608</v>
      </c>
      <c r="OSD339" s="42" t="s">
        <v>608</v>
      </c>
      <c r="OSE339" s="42" t="s">
        <v>608</v>
      </c>
      <c r="OSF339" s="42" t="s">
        <v>608</v>
      </c>
      <c r="OSG339" s="42" t="s">
        <v>608</v>
      </c>
      <c r="OSH339" s="42" t="s">
        <v>608</v>
      </c>
      <c r="OSI339" s="42" t="s">
        <v>608</v>
      </c>
      <c r="OSJ339" s="42" t="s">
        <v>608</v>
      </c>
      <c r="OSK339" s="42" t="s">
        <v>608</v>
      </c>
      <c r="OSL339" s="42" t="s">
        <v>608</v>
      </c>
      <c r="OSM339" s="42" t="s">
        <v>608</v>
      </c>
      <c r="OSN339" s="42" t="s">
        <v>608</v>
      </c>
      <c r="OSO339" s="42" t="s">
        <v>608</v>
      </c>
      <c r="OSP339" s="42" t="s">
        <v>608</v>
      </c>
      <c r="OSQ339" s="42" t="s">
        <v>608</v>
      </c>
      <c r="OSR339" s="42" t="s">
        <v>608</v>
      </c>
      <c r="OSS339" s="42" t="s">
        <v>608</v>
      </c>
      <c r="OST339" s="42" t="s">
        <v>608</v>
      </c>
      <c r="OSU339" s="42" t="s">
        <v>608</v>
      </c>
      <c r="OSV339" s="42" t="s">
        <v>608</v>
      </c>
      <c r="OSW339" s="42" t="s">
        <v>608</v>
      </c>
      <c r="OSX339" s="42" t="s">
        <v>608</v>
      </c>
      <c r="OSY339" s="42" t="s">
        <v>608</v>
      </c>
      <c r="OSZ339" s="42" t="s">
        <v>608</v>
      </c>
      <c r="OTA339" s="42" t="s">
        <v>608</v>
      </c>
      <c r="OTB339" s="42" t="s">
        <v>608</v>
      </c>
      <c r="OTC339" s="42" t="s">
        <v>608</v>
      </c>
      <c r="OTD339" s="42" t="s">
        <v>608</v>
      </c>
      <c r="OTE339" s="42" t="s">
        <v>608</v>
      </c>
      <c r="OTF339" s="42" t="s">
        <v>608</v>
      </c>
      <c r="OTG339" s="42" t="s">
        <v>608</v>
      </c>
      <c r="OTH339" s="42" t="s">
        <v>608</v>
      </c>
      <c r="OTI339" s="42" t="s">
        <v>608</v>
      </c>
      <c r="OTJ339" s="42" t="s">
        <v>608</v>
      </c>
      <c r="OTK339" s="42" t="s">
        <v>608</v>
      </c>
      <c r="OTL339" s="42" t="s">
        <v>608</v>
      </c>
      <c r="OTM339" s="42" t="s">
        <v>608</v>
      </c>
      <c r="OTN339" s="42" t="s">
        <v>608</v>
      </c>
      <c r="OTO339" s="42" t="s">
        <v>608</v>
      </c>
      <c r="OTP339" s="42" t="s">
        <v>608</v>
      </c>
      <c r="OTQ339" s="42" t="s">
        <v>608</v>
      </c>
      <c r="OTR339" s="42" t="s">
        <v>608</v>
      </c>
      <c r="OTS339" s="42" t="s">
        <v>608</v>
      </c>
      <c r="OTT339" s="42" t="s">
        <v>608</v>
      </c>
      <c r="OTU339" s="42" t="s">
        <v>608</v>
      </c>
      <c r="OTV339" s="42" t="s">
        <v>608</v>
      </c>
      <c r="OTW339" s="42" t="s">
        <v>608</v>
      </c>
      <c r="OTX339" s="42" t="s">
        <v>608</v>
      </c>
      <c r="OTY339" s="42" t="s">
        <v>608</v>
      </c>
      <c r="OTZ339" s="42" t="s">
        <v>608</v>
      </c>
      <c r="OUA339" s="42" t="s">
        <v>608</v>
      </c>
      <c r="OUB339" s="42" t="s">
        <v>608</v>
      </c>
      <c r="OUC339" s="42" t="s">
        <v>608</v>
      </c>
      <c r="OUD339" s="42" t="s">
        <v>608</v>
      </c>
      <c r="OUE339" s="42" t="s">
        <v>608</v>
      </c>
      <c r="OUF339" s="42" t="s">
        <v>608</v>
      </c>
      <c r="OUG339" s="42" t="s">
        <v>608</v>
      </c>
      <c r="OUH339" s="42" t="s">
        <v>608</v>
      </c>
      <c r="OUI339" s="42" t="s">
        <v>608</v>
      </c>
      <c r="OUJ339" s="42" t="s">
        <v>608</v>
      </c>
      <c r="OUK339" s="42" t="s">
        <v>608</v>
      </c>
      <c r="OUL339" s="42" t="s">
        <v>608</v>
      </c>
      <c r="OUM339" s="42" t="s">
        <v>608</v>
      </c>
      <c r="OUN339" s="42" t="s">
        <v>608</v>
      </c>
      <c r="OUO339" s="42" t="s">
        <v>608</v>
      </c>
      <c r="OUP339" s="42" t="s">
        <v>608</v>
      </c>
      <c r="OUQ339" s="42" t="s">
        <v>608</v>
      </c>
      <c r="OUR339" s="42" t="s">
        <v>608</v>
      </c>
      <c r="OUS339" s="42" t="s">
        <v>608</v>
      </c>
      <c r="OUT339" s="42" t="s">
        <v>608</v>
      </c>
      <c r="OUU339" s="42" t="s">
        <v>608</v>
      </c>
      <c r="OUV339" s="42" t="s">
        <v>608</v>
      </c>
      <c r="OUW339" s="42" t="s">
        <v>608</v>
      </c>
      <c r="OUX339" s="42" t="s">
        <v>608</v>
      </c>
      <c r="OUY339" s="42" t="s">
        <v>608</v>
      </c>
      <c r="OUZ339" s="42" t="s">
        <v>608</v>
      </c>
      <c r="OVA339" s="42" t="s">
        <v>608</v>
      </c>
      <c r="OVB339" s="42" t="s">
        <v>608</v>
      </c>
      <c r="OVC339" s="42" t="s">
        <v>608</v>
      </c>
      <c r="OVD339" s="42" t="s">
        <v>608</v>
      </c>
      <c r="OVE339" s="42" t="s">
        <v>608</v>
      </c>
      <c r="OVF339" s="42" t="s">
        <v>608</v>
      </c>
      <c r="OVG339" s="42" t="s">
        <v>608</v>
      </c>
      <c r="OVH339" s="42" t="s">
        <v>608</v>
      </c>
      <c r="OVI339" s="42" t="s">
        <v>608</v>
      </c>
      <c r="OVJ339" s="42" t="s">
        <v>608</v>
      </c>
      <c r="OVK339" s="42" t="s">
        <v>608</v>
      </c>
      <c r="OVL339" s="42" t="s">
        <v>608</v>
      </c>
      <c r="OVM339" s="42" t="s">
        <v>608</v>
      </c>
      <c r="OVN339" s="42" t="s">
        <v>608</v>
      </c>
      <c r="OVO339" s="42" t="s">
        <v>608</v>
      </c>
      <c r="OVP339" s="42" t="s">
        <v>608</v>
      </c>
      <c r="OVQ339" s="42" t="s">
        <v>608</v>
      </c>
      <c r="OVR339" s="42" t="s">
        <v>608</v>
      </c>
      <c r="OVS339" s="42" t="s">
        <v>608</v>
      </c>
      <c r="OVT339" s="42" t="s">
        <v>608</v>
      </c>
      <c r="OVU339" s="42" t="s">
        <v>608</v>
      </c>
      <c r="OVV339" s="42" t="s">
        <v>608</v>
      </c>
      <c r="OVW339" s="42" t="s">
        <v>608</v>
      </c>
      <c r="OVX339" s="42" t="s">
        <v>608</v>
      </c>
      <c r="OVY339" s="42" t="s">
        <v>608</v>
      </c>
      <c r="OVZ339" s="42" t="s">
        <v>608</v>
      </c>
      <c r="OWA339" s="42" t="s">
        <v>608</v>
      </c>
      <c r="OWB339" s="42" t="s">
        <v>608</v>
      </c>
      <c r="OWC339" s="42" t="s">
        <v>608</v>
      </c>
      <c r="OWD339" s="42" t="s">
        <v>608</v>
      </c>
      <c r="OWE339" s="42" t="s">
        <v>608</v>
      </c>
      <c r="OWF339" s="42" t="s">
        <v>608</v>
      </c>
      <c r="OWG339" s="42" t="s">
        <v>608</v>
      </c>
      <c r="OWH339" s="42" t="s">
        <v>608</v>
      </c>
      <c r="OWI339" s="42" t="s">
        <v>608</v>
      </c>
      <c r="OWJ339" s="42" t="s">
        <v>608</v>
      </c>
      <c r="OWK339" s="42" t="s">
        <v>608</v>
      </c>
      <c r="OWL339" s="42" t="s">
        <v>608</v>
      </c>
      <c r="OWM339" s="42" t="s">
        <v>608</v>
      </c>
      <c r="OWN339" s="42" t="s">
        <v>608</v>
      </c>
      <c r="OWO339" s="42" t="s">
        <v>608</v>
      </c>
      <c r="OWP339" s="42" t="s">
        <v>608</v>
      </c>
      <c r="OWQ339" s="42" t="s">
        <v>608</v>
      </c>
      <c r="OWR339" s="42" t="s">
        <v>608</v>
      </c>
      <c r="OWS339" s="42" t="s">
        <v>608</v>
      </c>
      <c r="OWT339" s="42" t="s">
        <v>608</v>
      </c>
      <c r="OWU339" s="42" t="s">
        <v>608</v>
      </c>
      <c r="OWV339" s="42" t="s">
        <v>608</v>
      </c>
      <c r="OWW339" s="42" t="s">
        <v>608</v>
      </c>
      <c r="OWX339" s="42" t="s">
        <v>608</v>
      </c>
      <c r="OWY339" s="42" t="s">
        <v>608</v>
      </c>
      <c r="OWZ339" s="42" t="s">
        <v>608</v>
      </c>
      <c r="OXA339" s="42" t="s">
        <v>608</v>
      </c>
      <c r="OXB339" s="42" t="s">
        <v>608</v>
      </c>
      <c r="OXC339" s="42" t="s">
        <v>608</v>
      </c>
      <c r="OXD339" s="42" t="s">
        <v>608</v>
      </c>
      <c r="OXE339" s="42" t="s">
        <v>608</v>
      </c>
      <c r="OXF339" s="42" t="s">
        <v>608</v>
      </c>
      <c r="OXG339" s="42" t="s">
        <v>608</v>
      </c>
      <c r="OXH339" s="42" t="s">
        <v>608</v>
      </c>
      <c r="OXI339" s="42" t="s">
        <v>608</v>
      </c>
      <c r="OXJ339" s="42" t="s">
        <v>608</v>
      </c>
      <c r="OXK339" s="42" t="s">
        <v>608</v>
      </c>
      <c r="OXL339" s="42" t="s">
        <v>608</v>
      </c>
      <c r="OXM339" s="42" t="s">
        <v>608</v>
      </c>
      <c r="OXN339" s="42" t="s">
        <v>608</v>
      </c>
      <c r="OXO339" s="42" t="s">
        <v>608</v>
      </c>
      <c r="OXP339" s="42" t="s">
        <v>608</v>
      </c>
      <c r="OXQ339" s="42" t="s">
        <v>608</v>
      </c>
      <c r="OXR339" s="42" t="s">
        <v>608</v>
      </c>
      <c r="OXS339" s="42" t="s">
        <v>608</v>
      </c>
      <c r="OXT339" s="42" t="s">
        <v>608</v>
      </c>
      <c r="OXU339" s="42" t="s">
        <v>608</v>
      </c>
      <c r="OXV339" s="42" t="s">
        <v>608</v>
      </c>
      <c r="OXW339" s="42" t="s">
        <v>608</v>
      </c>
      <c r="OXX339" s="42" t="s">
        <v>608</v>
      </c>
      <c r="OXY339" s="42" t="s">
        <v>608</v>
      </c>
      <c r="OXZ339" s="42" t="s">
        <v>608</v>
      </c>
      <c r="OYA339" s="42" t="s">
        <v>608</v>
      </c>
      <c r="OYB339" s="42" t="s">
        <v>608</v>
      </c>
      <c r="OYC339" s="42" t="s">
        <v>608</v>
      </c>
      <c r="OYD339" s="42" t="s">
        <v>608</v>
      </c>
      <c r="OYE339" s="42" t="s">
        <v>608</v>
      </c>
      <c r="OYF339" s="42" t="s">
        <v>608</v>
      </c>
      <c r="OYG339" s="42" t="s">
        <v>608</v>
      </c>
      <c r="OYH339" s="42" t="s">
        <v>608</v>
      </c>
      <c r="OYI339" s="42" t="s">
        <v>608</v>
      </c>
      <c r="OYJ339" s="42" t="s">
        <v>608</v>
      </c>
      <c r="OYK339" s="42" t="s">
        <v>608</v>
      </c>
      <c r="OYL339" s="42" t="s">
        <v>608</v>
      </c>
      <c r="OYM339" s="42" t="s">
        <v>608</v>
      </c>
      <c r="OYN339" s="42" t="s">
        <v>608</v>
      </c>
      <c r="OYO339" s="42" t="s">
        <v>608</v>
      </c>
      <c r="OYP339" s="42" t="s">
        <v>608</v>
      </c>
      <c r="OYQ339" s="42" t="s">
        <v>608</v>
      </c>
      <c r="OYR339" s="42" t="s">
        <v>608</v>
      </c>
      <c r="OYS339" s="42" t="s">
        <v>608</v>
      </c>
      <c r="OYT339" s="42" t="s">
        <v>608</v>
      </c>
      <c r="OYU339" s="42" t="s">
        <v>608</v>
      </c>
      <c r="OYV339" s="42" t="s">
        <v>608</v>
      </c>
      <c r="OYW339" s="42" t="s">
        <v>608</v>
      </c>
      <c r="OYX339" s="42" t="s">
        <v>608</v>
      </c>
      <c r="OYY339" s="42" t="s">
        <v>608</v>
      </c>
      <c r="OYZ339" s="42" t="s">
        <v>608</v>
      </c>
      <c r="OZA339" s="42" t="s">
        <v>608</v>
      </c>
      <c r="OZB339" s="42" t="s">
        <v>608</v>
      </c>
      <c r="OZC339" s="42" t="s">
        <v>608</v>
      </c>
      <c r="OZD339" s="42" t="s">
        <v>608</v>
      </c>
      <c r="OZE339" s="42" t="s">
        <v>608</v>
      </c>
      <c r="OZF339" s="42" t="s">
        <v>608</v>
      </c>
      <c r="OZG339" s="42" t="s">
        <v>608</v>
      </c>
      <c r="OZH339" s="42" t="s">
        <v>608</v>
      </c>
      <c r="OZI339" s="42" t="s">
        <v>608</v>
      </c>
      <c r="OZJ339" s="42" t="s">
        <v>608</v>
      </c>
      <c r="OZK339" s="42" t="s">
        <v>608</v>
      </c>
      <c r="OZL339" s="42" t="s">
        <v>608</v>
      </c>
      <c r="OZM339" s="42" t="s">
        <v>608</v>
      </c>
      <c r="OZN339" s="42" t="s">
        <v>608</v>
      </c>
      <c r="OZO339" s="42" t="s">
        <v>608</v>
      </c>
      <c r="OZP339" s="42" t="s">
        <v>608</v>
      </c>
      <c r="OZQ339" s="42" t="s">
        <v>608</v>
      </c>
      <c r="OZR339" s="42" t="s">
        <v>608</v>
      </c>
      <c r="OZS339" s="42" t="s">
        <v>608</v>
      </c>
      <c r="OZT339" s="42" t="s">
        <v>608</v>
      </c>
      <c r="OZU339" s="42" t="s">
        <v>608</v>
      </c>
      <c r="OZV339" s="42" t="s">
        <v>608</v>
      </c>
      <c r="OZW339" s="42" t="s">
        <v>608</v>
      </c>
      <c r="OZX339" s="42" t="s">
        <v>608</v>
      </c>
      <c r="OZY339" s="42" t="s">
        <v>608</v>
      </c>
      <c r="OZZ339" s="42" t="s">
        <v>608</v>
      </c>
      <c r="PAA339" s="42" t="s">
        <v>608</v>
      </c>
      <c r="PAB339" s="42" t="s">
        <v>608</v>
      </c>
      <c r="PAC339" s="42" t="s">
        <v>608</v>
      </c>
      <c r="PAD339" s="42" t="s">
        <v>608</v>
      </c>
      <c r="PAE339" s="42" t="s">
        <v>608</v>
      </c>
      <c r="PAF339" s="42" t="s">
        <v>608</v>
      </c>
      <c r="PAG339" s="42" t="s">
        <v>608</v>
      </c>
      <c r="PAH339" s="42" t="s">
        <v>608</v>
      </c>
      <c r="PAI339" s="42" t="s">
        <v>608</v>
      </c>
      <c r="PAJ339" s="42" t="s">
        <v>608</v>
      </c>
      <c r="PAK339" s="42" t="s">
        <v>608</v>
      </c>
      <c r="PAL339" s="42" t="s">
        <v>608</v>
      </c>
      <c r="PAM339" s="42" t="s">
        <v>608</v>
      </c>
      <c r="PAN339" s="42" t="s">
        <v>608</v>
      </c>
      <c r="PAO339" s="42" t="s">
        <v>608</v>
      </c>
      <c r="PAP339" s="42" t="s">
        <v>608</v>
      </c>
      <c r="PAQ339" s="42" t="s">
        <v>608</v>
      </c>
      <c r="PAR339" s="42" t="s">
        <v>608</v>
      </c>
      <c r="PAS339" s="42" t="s">
        <v>608</v>
      </c>
      <c r="PAT339" s="42" t="s">
        <v>608</v>
      </c>
      <c r="PAU339" s="42" t="s">
        <v>608</v>
      </c>
      <c r="PAV339" s="42" t="s">
        <v>608</v>
      </c>
      <c r="PAW339" s="42" t="s">
        <v>608</v>
      </c>
      <c r="PAX339" s="42" t="s">
        <v>608</v>
      </c>
      <c r="PAY339" s="42" t="s">
        <v>608</v>
      </c>
      <c r="PAZ339" s="42" t="s">
        <v>608</v>
      </c>
      <c r="PBA339" s="42" t="s">
        <v>608</v>
      </c>
      <c r="PBB339" s="42" t="s">
        <v>608</v>
      </c>
      <c r="PBC339" s="42" t="s">
        <v>608</v>
      </c>
      <c r="PBD339" s="42" t="s">
        <v>608</v>
      </c>
      <c r="PBE339" s="42" t="s">
        <v>608</v>
      </c>
      <c r="PBF339" s="42" t="s">
        <v>608</v>
      </c>
      <c r="PBG339" s="42" t="s">
        <v>608</v>
      </c>
      <c r="PBH339" s="42" t="s">
        <v>608</v>
      </c>
      <c r="PBI339" s="42" t="s">
        <v>608</v>
      </c>
      <c r="PBJ339" s="42" t="s">
        <v>608</v>
      </c>
      <c r="PBK339" s="42" t="s">
        <v>608</v>
      </c>
      <c r="PBL339" s="42" t="s">
        <v>608</v>
      </c>
      <c r="PBM339" s="42" t="s">
        <v>608</v>
      </c>
      <c r="PBN339" s="42" t="s">
        <v>608</v>
      </c>
      <c r="PBO339" s="42" t="s">
        <v>608</v>
      </c>
      <c r="PBP339" s="42" t="s">
        <v>608</v>
      </c>
      <c r="PBQ339" s="42" t="s">
        <v>608</v>
      </c>
      <c r="PBR339" s="42" t="s">
        <v>608</v>
      </c>
      <c r="PBS339" s="42" t="s">
        <v>608</v>
      </c>
      <c r="PBT339" s="42" t="s">
        <v>608</v>
      </c>
      <c r="PBU339" s="42" t="s">
        <v>608</v>
      </c>
      <c r="PBV339" s="42" t="s">
        <v>608</v>
      </c>
      <c r="PBW339" s="42" t="s">
        <v>608</v>
      </c>
      <c r="PBX339" s="42" t="s">
        <v>608</v>
      </c>
      <c r="PBY339" s="42" t="s">
        <v>608</v>
      </c>
      <c r="PBZ339" s="42" t="s">
        <v>608</v>
      </c>
      <c r="PCA339" s="42" t="s">
        <v>608</v>
      </c>
      <c r="PCB339" s="42" t="s">
        <v>608</v>
      </c>
      <c r="PCC339" s="42" t="s">
        <v>608</v>
      </c>
      <c r="PCD339" s="42" t="s">
        <v>608</v>
      </c>
      <c r="PCE339" s="42" t="s">
        <v>608</v>
      </c>
      <c r="PCF339" s="42" t="s">
        <v>608</v>
      </c>
      <c r="PCG339" s="42" t="s">
        <v>608</v>
      </c>
      <c r="PCH339" s="42" t="s">
        <v>608</v>
      </c>
      <c r="PCI339" s="42" t="s">
        <v>608</v>
      </c>
      <c r="PCJ339" s="42" t="s">
        <v>608</v>
      </c>
      <c r="PCK339" s="42" t="s">
        <v>608</v>
      </c>
      <c r="PCL339" s="42" t="s">
        <v>608</v>
      </c>
      <c r="PCM339" s="42" t="s">
        <v>608</v>
      </c>
      <c r="PCN339" s="42" t="s">
        <v>608</v>
      </c>
      <c r="PCO339" s="42" t="s">
        <v>608</v>
      </c>
      <c r="PCP339" s="42" t="s">
        <v>608</v>
      </c>
      <c r="PCQ339" s="42" t="s">
        <v>608</v>
      </c>
      <c r="PCR339" s="42" t="s">
        <v>608</v>
      </c>
      <c r="PCS339" s="42" t="s">
        <v>608</v>
      </c>
      <c r="PCT339" s="42" t="s">
        <v>608</v>
      </c>
      <c r="PCU339" s="42" t="s">
        <v>608</v>
      </c>
      <c r="PCV339" s="42" t="s">
        <v>608</v>
      </c>
      <c r="PCW339" s="42" t="s">
        <v>608</v>
      </c>
      <c r="PCX339" s="42" t="s">
        <v>608</v>
      </c>
      <c r="PCY339" s="42" t="s">
        <v>608</v>
      </c>
      <c r="PCZ339" s="42" t="s">
        <v>608</v>
      </c>
      <c r="PDA339" s="42" t="s">
        <v>608</v>
      </c>
      <c r="PDB339" s="42" t="s">
        <v>608</v>
      </c>
      <c r="PDC339" s="42" t="s">
        <v>608</v>
      </c>
      <c r="PDD339" s="42" t="s">
        <v>608</v>
      </c>
      <c r="PDE339" s="42" t="s">
        <v>608</v>
      </c>
      <c r="PDF339" s="42" t="s">
        <v>608</v>
      </c>
      <c r="PDG339" s="42" t="s">
        <v>608</v>
      </c>
      <c r="PDH339" s="42" t="s">
        <v>608</v>
      </c>
      <c r="PDI339" s="42" t="s">
        <v>608</v>
      </c>
      <c r="PDJ339" s="42" t="s">
        <v>608</v>
      </c>
      <c r="PDK339" s="42" t="s">
        <v>608</v>
      </c>
      <c r="PDL339" s="42" t="s">
        <v>608</v>
      </c>
      <c r="PDM339" s="42" t="s">
        <v>608</v>
      </c>
      <c r="PDN339" s="42" t="s">
        <v>608</v>
      </c>
      <c r="PDO339" s="42" t="s">
        <v>608</v>
      </c>
      <c r="PDP339" s="42" t="s">
        <v>608</v>
      </c>
      <c r="PDQ339" s="42" t="s">
        <v>608</v>
      </c>
      <c r="PDR339" s="42" t="s">
        <v>608</v>
      </c>
      <c r="PDS339" s="42" t="s">
        <v>608</v>
      </c>
      <c r="PDT339" s="42" t="s">
        <v>608</v>
      </c>
      <c r="PDU339" s="42" t="s">
        <v>608</v>
      </c>
      <c r="PDV339" s="42" t="s">
        <v>608</v>
      </c>
      <c r="PDW339" s="42" t="s">
        <v>608</v>
      </c>
      <c r="PDX339" s="42" t="s">
        <v>608</v>
      </c>
      <c r="PDY339" s="42" t="s">
        <v>608</v>
      </c>
      <c r="PDZ339" s="42" t="s">
        <v>608</v>
      </c>
      <c r="PEA339" s="42" t="s">
        <v>608</v>
      </c>
      <c r="PEB339" s="42" t="s">
        <v>608</v>
      </c>
      <c r="PEC339" s="42" t="s">
        <v>608</v>
      </c>
      <c r="PED339" s="42" t="s">
        <v>608</v>
      </c>
      <c r="PEE339" s="42" t="s">
        <v>608</v>
      </c>
      <c r="PEF339" s="42" t="s">
        <v>608</v>
      </c>
      <c r="PEG339" s="42" t="s">
        <v>608</v>
      </c>
      <c r="PEH339" s="42" t="s">
        <v>608</v>
      </c>
      <c r="PEI339" s="42" t="s">
        <v>608</v>
      </c>
      <c r="PEJ339" s="42" t="s">
        <v>608</v>
      </c>
      <c r="PEK339" s="42" t="s">
        <v>608</v>
      </c>
      <c r="PEL339" s="42" t="s">
        <v>608</v>
      </c>
      <c r="PEM339" s="42" t="s">
        <v>608</v>
      </c>
      <c r="PEN339" s="42" t="s">
        <v>608</v>
      </c>
      <c r="PEO339" s="42" t="s">
        <v>608</v>
      </c>
      <c r="PEP339" s="42" t="s">
        <v>608</v>
      </c>
      <c r="PEQ339" s="42" t="s">
        <v>608</v>
      </c>
      <c r="PER339" s="42" t="s">
        <v>608</v>
      </c>
      <c r="PES339" s="42" t="s">
        <v>608</v>
      </c>
      <c r="PET339" s="42" t="s">
        <v>608</v>
      </c>
      <c r="PEU339" s="42" t="s">
        <v>608</v>
      </c>
      <c r="PEV339" s="42" t="s">
        <v>608</v>
      </c>
      <c r="PEW339" s="42" t="s">
        <v>608</v>
      </c>
      <c r="PEX339" s="42" t="s">
        <v>608</v>
      </c>
      <c r="PEY339" s="42" t="s">
        <v>608</v>
      </c>
      <c r="PEZ339" s="42" t="s">
        <v>608</v>
      </c>
      <c r="PFA339" s="42" t="s">
        <v>608</v>
      </c>
      <c r="PFB339" s="42" t="s">
        <v>608</v>
      </c>
      <c r="PFC339" s="42" t="s">
        <v>608</v>
      </c>
      <c r="PFD339" s="42" t="s">
        <v>608</v>
      </c>
      <c r="PFE339" s="42" t="s">
        <v>608</v>
      </c>
      <c r="PFF339" s="42" t="s">
        <v>608</v>
      </c>
      <c r="PFG339" s="42" t="s">
        <v>608</v>
      </c>
      <c r="PFH339" s="42" t="s">
        <v>608</v>
      </c>
      <c r="PFI339" s="42" t="s">
        <v>608</v>
      </c>
      <c r="PFJ339" s="42" t="s">
        <v>608</v>
      </c>
      <c r="PFK339" s="42" t="s">
        <v>608</v>
      </c>
      <c r="PFL339" s="42" t="s">
        <v>608</v>
      </c>
      <c r="PFM339" s="42" t="s">
        <v>608</v>
      </c>
      <c r="PFN339" s="42" t="s">
        <v>608</v>
      </c>
      <c r="PFO339" s="42" t="s">
        <v>608</v>
      </c>
      <c r="PFP339" s="42" t="s">
        <v>608</v>
      </c>
      <c r="PFQ339" s="42" t="s">
        <v>608</v>
      </c>
      <c r="PFR339" s="42" t="s">
        <v>608</v>
      </c>
      <c r="PFS339" s="42" t="s">
        <v>608</v>
      </c>
      <c r="PFT339" s="42" t="s">
        <v>608</v>
      </c>
      <c r="PFU339" s="42" t="s">
        <v>608</v>
      </c>
      <c r="PFV339" s="42" t="s">
        <v>608</v>
      </c>
      <c r="PFW339" s="42" t="s">
        <v>608</v>
      </c>
      <c r="PFX339" s="42" t="s">
        <v>608</v>
      </c>
      <c r="PFY339" s="42" t="s">
        <v>608</v>
      </c>
      <c r="PFZ339" s="42" t="s">
        <v>608</v>
      </c>
      <c r="PGA339" s="42" t="s">
        <v>608</v>
      </c>
      <c r="PGB339" s="42" t="s">
        <v>608</v>
      </c>
      <c r="PGC339" s="42" t="s">
        <v>608</v>
      </c>
      <c r="PGD339" s="42" t="s">
        <v>608</v>
      </c>
      <c r="PGE339" s="42" t="s">
        <v>608</v>
      </c>
      <c r="PGF339" s="42" t="s">
        <v>608</v>
      </c>
      <c r="PGG339" s="42" t="s">
        <v>608</v>
      </c>
      <c r="PGH339" s="42" t="s">
        <v>608</v>
      </c>
      <c r="PGI339" s="42" t="s">
        <v>608</v>
      </c>
      <c r="PGJ339" s="42" t="s">
        <v>608</v>
      </c>
      <c r="PGK339" s="42" t="s">
        <v>608</v>
      </c>
      <c r="PGL339" s="42" t="s">
        <v>608</v>
      </c>
      <c r="PGM339" s="42" t="s">
        <v>608</v>
      </c>
      <c r="PGN339" s="42" t="s">
        <v>608</v>
      </c>
      <c r="PGO339" s="42" t="s">
        <v>608</v>
      </c>
      <c r="PGP339" s="42" t="s">
        <v>608</v>
      </c>
      <c r="PGQ339" s="42" t="s">
        <v>608</v>
      </c>
      <c r="PGR339" s="42" t="s">
        <v>608</v>
      </c>
      <c r="PGS339" s="42" t="s">
        <v>608</v>
      </c>
      <c r="PGT339" s="42" t="s">
        <v>608</v>
      </c>
      <c r="PGU339" s="42" t="s">
        <v>608</v>
      </c>
      <c r="PGV339" s="42" t="s">
        <v>608</v>
      </c>
      <c r="PGW339" s="42" t="s">
        <v>608</v>
      </c>
      <c r="PGX339" s="42" t="s">
        <v>608</v>
      </c>
      <c r="PGY339" s="42" t="s">
        <v>608</v>
      </c>
      <c r="PGZ339" s="42" t="s">
        <v>608</v>
      </c>
      <c r="PHA339" s="42" t="s">
        <v>608</v>
      </c>
      <c r="PHB339" s="42" t="s">
        <v>608</v>
      </c>
      <c r="PHC339" s="42" t="s">
        <v>608</v>
      </c>
      <c r="PHD339" s="42" t="s">
        <v>608</v>
      </c>
      <c r="PHE339" s="42" t="s">
        <v>608</v>
      </c>
      <c r="PHF339" s="42" t="s">
        <v>608</v>
      </c>
      <c r="PHG339" s="42" t="s">
        <v>608</v>
      </c>
      <c r="PHH339" s="42" t="s">
        <v>608</v>
      </c>
      <c r="PHI339" s="42" t="s">
        <v>608</v>
      </c>
      <c r="PHJ339" s="42" t="s">
        <v>608</v>
      </c>
      <c r="PHK339" s="42" t="s">
        <v>608</v>
      </c>
      <c r="PHL339" s="42" t="s">
        <v>608</v>
      </c>
      <c r="PHM339" s="42" t="s">
        <v>608</v>
      </c>
      <c r="PHN339" s="42" t="s">
        <v>608</v>
      </c>
      <c r="PHO339" s="42" t="s">
        <v>608</v>
      </c>
      <c r="PHP339" s="42" t="s">
        <v>608</v>
      </c>
      <c r="PHQ339" s="42" t="s">
        <v>608</v>
      </c>
      <c r="PHR339" s="42" t="s">
        <v>608</v>
      </c>
      <c r="PHS339" s="42" t="s">
        <v>608</v>
      </c>
      <c r="PHT339" s="42" t="s">
        <v>608</v>
      </c>
      <c r="PHU339" s="42" t="s">
        <v>608</v>
      </c>
      <c r="PHV339" s="42" t="s">
        <v>608</v>
      </c>
      <c r="PHW339" s="42" t="s">
        <v>608</v>
      </c>
      <c r="PHX339" s="42" t="s">
        <v>608</v>
      </c>
      <c r="PHY339" s="42" t="s">
        <v>608</v>
      </c>
      <c r="PHZ339" s="42" t="s">
        <v>608</v>
      </c>
      <c r="PIA339" s="42" t="s">
        <v>608</v>
      </c>
      <c r="PIB339" s="42" t="s">
        <v>608</v>
      </c>
      <c r="PIC339" s="42" t="s">
        <v>608</v>
      </c>
      <c r="PID339" s="42" t="s">
        <v>608</v>
      </c>
      <c r="PIE339" s="42" t="s">
        <v>608</v>
      </c>
      <c r="PIF339" s="42" t="s">
        <v>608</v>
      </c>
      <c r="PIG339" s="42" t="s">
        <v>608</v>
      </c>
      <c r="PIH339" s="42" t="s">
        <v>608</v>
      </c>
      <c r="PII339" s="42" t="s">
        <v>608</v>
      </c>
      <c r="PIJ339" s="42" t="s">
        <v>608</v>
      </c>
      <c r="PIK339" s="42" t="s">
        <v>608</v>
      </c>
      <c r="PIL339" s="42" t="s">
        <v>608</v>
      </c>
      <c r="PIM339" s="42" t="s">
        <v>608</v>
      </c>
      <c r="PIN339" s="42" t="s">
        <v>608</v>
      </c>
      <c r="PIO339" s="42" t="s">
        <v>608</v>
      </c>
      <c r="PIP339" s="42" t="s">
        <v>608</v>
      </c>
      <c r="PIQ339" s="42" t="s">
        <v>608</v>
      </c>
      <c r="PIR339" s="42" t="s">
        <v>608</v>
      </c>
      <c r="PIS339" s="42" t="s">
        <v>608</v>
      </c>
      <c r="PIT339" s="42" t="s">
        <v>608</v>
      </c>
      <c r="PIU339" s="42" t="s">
        <v>608</v>
      </c>
      <c r="PIV339" s="42" t="s">
        <v>608</v>
      </c>
      <c r="PIW339" s="42" t="s">
        <v>608</v>
      </c>
      <c r="PIX339" s="42" t="s">
        <v>608</v>
      </c>
      <c r="PIY339" s="42" t="s">
        <v>608</v>
      </c>
      <c r="PIZ339" s="42" t="s">
        <v>608</v>
      </c>
      <c r="PJA339" s="42" t="s">
        <v>608</v>
      </c>
      <c r="PJB339" s="42" t="s">
        <v>608</v>
      </c>
      <c r="PJC339" s="42" t="s">
        <v>608</v>
      </c>
      <c r="PJD339" s="42" t="s">
        <v>608</v>
      </c>
      <c r="PJE339" s="42" t="s">
        <v>608</v>
      </c>
      <c r="PJF339" s="42" t="s">
        <v>608</v>
      </c>
      <c r="PJG339" s="42" t="s">
        <v>608</v>
      </c>
      <c r="PJH339" s="42" t="s">
        <v>608</v>
      </c>
      <c r="PJI339" s="42" t="s">
        <v>608</v>
      </c>
      <c r="PJJ339" s="42" t="s">
        <v>608</v>
      </c>
      <c r="PJK339" s="42" t="s">
        <v>608</v>
      </c>
      <c r="PJL339" s="42" t="s">
        <v>608</v>
      </c>
      <c r="PJM339" s="42" t="s">
        <v>608</v>
      </c>
      <c r="PJN339" s="42" t="s">
        <v>608</v>
      </c>
      <c r="PJO339" s="42" t="s">
        <v>608</v>
      </c>
      <c r="PJP339" s="42" t="s">
        <v>608</v>
      </c>
      <c r="PJQ339" s="42" t="s">
        <v>608</v>
      </c>
      <c r="PJR339" s="42" t="s">
        <v>608</v>
      </c>
      <c r="PJS339" s="42" t="s">
        <v>608</v>
      </c>
      <c r="PJT339" s="42" t="s">
        <v>608</v>
      </c>
      <c r="PJU339" s="42" t="s">
        <v>608</v>
      </c>
      <c r="PJV339" s="42" t="s">
        <v>608</v>
      </c>
      <c r="PJW339" s="42" t="s">
        <v>608</v>
      </c>
      <c r="PJX339" s="42" t="s">
        <v>608</v>
      </c>
      <c r="PJY339" s="42" t="s">
        <v>608</v>
      </c>
      <c r="PJZ339" s="42" t="s">
        <v>608</v>
      </c>
      <c r="PKA339" s="42" t="s">
        <v>608</v>
      </c>
      <c r="PKB339" s="42" t="s">
        <v>608</v>
      </c>
      <c r="PKC339" s="42" t="s">
        <v>608</v>
      </c>
      <c r="PKD339" s="42" t="s">
        <v>608</v>
      </c>
      <c r="PKE339" s="42" t="s">
        <v>608</v>
      </c>
      <c r="PKF339" s="42" t="s">
        <v>608</v>
      </c>
      <c r="PKG339" s="42" t="s">
        <v>608</v>
      </c>
      <c r="PKH339" s="42" t="s">
        <v>608</v>
      </c>
      <c r="PKI339" s="42" t="s">
        <v>608</v>
      </c>
      <c r="PKJ339" s="42" t="s">
        <v>608</v>
      </c>
      <c r="PKK339" s="42" t="s">
        <v>608</v>
      </c>
      <c r="PKL339" s="42" t="s">
        <v>608</v>
      </c>
      <c r="PKM339" s="42" t="s">
        <v>608</v>
      </c>
      <c r="PKN339" s="42" t="s">
        <v>608</v>
      </c>
      <c r="PKO339" s="42" t="s">
        <v>608</v>
      </c>
      <c r="PKP339" s="42" t="s">
        <v>608</v>
      </c>
      <c r="PKQ339" s="42" t="s">
        <v>608</v>
      </c>
      <c r="PKR339" s="42" t="s">
        <v>608</v>
      </c>
      <c r="PKS339" s="42" t="s">
        <v>608</v>
      </c>
      <c r="PKT339" s="42" t="s">
        <v>608</v>
      </c>
      <c r="PKU339" s="42" t="s">
        <v>608</v>
      </c>
      <c r="PKV339" s="42" t="s">
        <v>608</v>
      </c>
      <c r="PKW339" s="42" t="s">
        <v>608</v>
      </c>
      <c r="PKX339" s="42" t="s">
        <v>608</v>
      </c>
      <c r="PKY339" s="42" t="s">
        <v>608</v>
      </c>
      <c r="PKZ339" s="42" t="s">
        <v>608</v>
      </c>
      <c r="PLA339" s="42" t="s">
        <v>608</v>
      </c>
      <c r="PLB339" s="42" t="s">
        <v>608</v>
      </c>
      <c r="PLC339" s="42" t="s">
        <v>608</v>
      </c>
      <c r="PLD339" s="42" t="s">
        <v>608</v>
      </c>
      <c r="PLE339" s="42" t="s">
        <v>608</v>
      </c>
      <c r="PLF339" s="42" t="s">
        <v>608</v>
      </c>
      <c r="PLG339" s="42" t="s">
        <v>608</v>
      </c>
      <c r="PLH339" s="42" t="s">
        <v>608</v>
      </c>
      <c r="PLI339" s="42" t="s">
        <v>608</v>
      </c>
      <c r="PLJ339" s="42" t="s">
        <v>608</v>
      </c>
      <c r="PLK339" s="42" t="s">
        <v>608</v>
      </c>
      <c r="PLL339" s="42" t="s">
        <v>608</v>
      </c>
      <c r="PLM339" s="42" t="s">
        <v>608</v>
      </c>
      <c r="PLN339" s="42" t="s">
        <v>608</v>
      </c>
      <c r="PLO339" s="42" t="s">
        <v>608</v>
      </c>
      <c r="PLP339" s="42" t="s">
        <v>608</v>
      </c>
      <c r="PLQ339" s="42" t="s">
        <v>608</v>
      </c>
      <c r="PLR339" s="42" t="s">
        <v>608</v>
      </c>
      <c r="PLS339" s="42" t="s">
        <v>608</v>
      </c>
      <c r="PLT339" s="42" t="s">
        <v>608</v>
      </c>
      <c r="PLU339" s="42" t="s">
        <v>608</v>
      </c>
      <c r="PLV339" s="42" t="s">
        <v>608</v>
      </c>
      <c r="PLW339" s="42" t="s">
        <v>608</v>
      </c>
      <c r="PLX339" s="42" t="s">
        <v>608</v>
      </c>
      <c r="PLY339" s="42" t="s">
        <v>608</v>
      </c>
      <c r="PLZ339" s="42" t="s">
        <v>608</v>
      </c>
      <c r="PMA339" s="42" t="s">
        <v>608</v>
      </c>
      <c r="PMB339" s="42" t="s">
        <v>608</v>
      </c>
      <c r="PMC339" s="42" t="s">
        <v>608</v>
      </c>
      <c r="PMD339" s="42" t="s">
        <v>608</v>
      </c>
      <c r="PME339" s="42" t="s">
        <v>608</v>
      </c>
      <c r="PMF339" s="42" t="s">
        <v>608</v>
      </c>
      <c r="PMG339" s="42" t="s">
        <v>608</v>
      </c>
      <c r="PMH339" s="42" t="s">
        <v>608</v>
      </c>
      <c r="PMI339" s="42" t="s">
        <v>608</v>
      </c>
      <c r="PMJ339" s="42" t="s">
        <v>608</v>
      </c>
      <c r="PMK339" s="42" t="s">
        <v>608</v>
      </c>
      <c r="PML339" s="42" t="s">
        <v>608</v>
      </c>
      <c r="PMM339" s="42" t="s">
        <v>608</v>
      </c>
      <c r="PMN339" s="42" t="s">
        <v>608</v>
      </c>
      <c r="PMO339" s="42" t="s">
        <v>608</v>
      </c>
      <c r="PMP339" s="42" t="s">
        <v>608</v>
      </c>
      <c r="PMQ339" s="42" t="s">
        <v>608</v>
      </c>
      <c r="PMR339" s="42" t="s">
        <v>608</v>
      </c>
      <c r="PMS339" s="42" t="s">
        <v>608</v>
      </c>
      <c r="PMT339" s="42" t="s">
        <v>608</v>
      </c>
      <c r="PMU339" s="42" t="s">
        <v>608</v>
      </c>
      <c r="PMV339" s="42" t="s">
        <v>608</v>
      </c>
      <c r="PMW339" s="42" t="s">
        <v>608</v>
      </c>
      <c r="PMX339" s="42" t="s">
        <v>608</v>
      </c>
      <c r="PMY339" s="42" t="s">
        <v>608</v>
      </c>
      <c r="PMZ339" s="42" t="s">
        <v>608</v>
      </c>
      <c r="PNA339" s="42" t="s">
        <v>608</v>
      </c>
      <c r="PNB339" s="42" t="s">
        <v>608</v>
      </c>
      <c r="PNC339" s="42" t="s">
        <v>608</v>
      </c>
      <c r="PND339" s="42" t="s">
        <v>608</v>
      </c>
      <c r="PNE339" s="42" t="s">
        <v>608</v>
      </c>
      <c r="PNF339" s="42" t="s">
        <v>608</v>
      </c>
      <c r="PNG339" s="42" t="s">
        <v>608</v>
      </c>
      <c r="PNH339" s="42" t="s">
        <v>608</v>
      </c>
      <c r="PNI339" s="42" t="s">
        <v>608</v>
      </c>
      <c r="PNJ339" s="42" t="s">
        <v>608</v>
      </c>
      <c r="PNK339" s="42" t="s">
        <v>608</v>
      </c>
      <c r="PNL339" s="42" t="s">
        <v>608</v>
      </c>
      <c r="PNM339" s="42" t="s">
        <v>608</v>
      </c>
      <c r="PNN339" s="42" t="s">
        <v>608</v>
      </c>
      <c r="PNO339" s="42" t="s">
        <v>608</v>
      </c>
      <c r="PNP339" s="42" t="s">
        <v>608</v>
      </c>
      <c r="PNQ339" s="42" t="s">
        <v>608</v>
      </c>
      <c r="PNR339" s="42" t="s">
        <v>608</v>
      </c>
      <c r="PNS339" s="42" t="s">
        <v>608</v>
      </c>
      <c r="PNT339" s="42" t="s">
        <v>608</v>
      </c>
      <c r="PNU339" s="42" t="s">
        <v>608</v>
      </c>
      <c r="PNV339" s="42" t="s">
        <v>608</v>
      </c>
      <c r="PNW339" s="42" t="s">
        <v>608</v>
      </c>
      <c r="PNX339" s="42" t="s">
        <v>608</v>
      </c>
      <c r="PNY339" s="42" t="s">
        <v>608</v>
      </c>
      <c r="PNZ339" s="42" t="s">
        <v>608</v>
      </c>
      <c r="POA339" s="42" t="s">
        <v>608</v>
      </c>
      <c r="POB339" s="42" t="s">
        <v>608</v>
      </c>
      <c r="POC339" s="42" t="s">
        <v>608</v>
      </c>
      <c r="POD339" s="42" t="s">
        <v>608</v>
      </c>
      <c r="POE339" s="42" t="s">
        <v>608</v>
      </c>
      <c r="POF339" s="42" t="s">
        <v>608</v>
      </c>
      <c r="POG339" s="42" t="s">
        <v>608</v>
      </c>
      <c r="POH339" s="42" t="s">
        <v>608</v>
      </c>
      <c r="POI339" s="42" t="s">
        <v>608</v>
      </c>
      <c r="POJ339" s="42" t="s">
        <v>608</v>
      </c>
      <c r="POK339" s="42" t="s">
        <v>608</v>
      </c>
      <c r="POL339" s="42" t="s">
        <v>608</v>
      </c>
      <c r="POM339" s="42" t="s">
        <v>608</v>
      </c>
      <c r="PON339" s="42" t="s">
        <v>608</v>
      </c>
      <c r="POO339" s="42" t="s">
        <v>608</v>
      </c>
      <c r="POP339" s="42" t="s">
        <v>608</v>
      </c>
      <c r="POQ339" s="42" t="s">
        <v>608</v>
      </c>
      <c r="POR339" s="42" t="s">
        <v>608</v>
      </c>
      <c r="POS339" s="42" t="s">
        <v>608</v>
      </c>
      <c r="POT339" s="42" t="s">
        <v>608</v>
      </c>
      <c r="POU339" s="42" t="s">
        <v>608</v>
      </c>
      <c r="POV339" s="42" t="s">
        <v>608</v>
      </c>
      <c r="POW339" s="42" t="s">
        <v>608</v>
      </c>
      <c r="POX339" s="42" t="s">
        <v>608</v>
      </c>
      <c r="POY339" s="42" t="s">
        <v>608</v>
      </c>
      <c r="POZ339" s="42" t="s">
        <v>608</v>
      </c>
      <c r="PPA339" s="42" t="s">
        <v>608</v>
      </c>
      <c r="PPB339" s="42" t="s">
        <v>608</v>
      </c>
      <c r="PPC339" s="42" t="s">
        <v>608</v>
      </c>
      <c r="PPD339" s="42" t="s">
        <v>608</v>
      </c>
      <c r="PPE339" s="42" t="s">
        <v>608</v>
      </c>
      <c r="PPF339" s="42" t="s">
        <v>608</v>
      </c>
      <c r="PPG339" s="42" t="s">
        <v>608</v>
      </c>
      <c r="PPH339" s="42" t="s">
        <v>608</v>
      </c>
      <c r="PPI339" s="42" t="s">
        <v>608</v>
      </c>
      <c r="PPJ339" s="42" t="s">
        <v>608</v>
      </c>
      <c r="PPK339" s="42" t="s">
        <v>608</v>
      </c>
      <c r="PPL339" s="42" t="s">
        <v>608</v>
      </c>
      <c r="PPM339" s="42" t="s">
        <v>608</v>
      </c>
      <c r="PPN339" s="42" t="s">
        <v>608</v>
      </c>
      <c r="PPO339" s="42" t="s">
        <v>608</v>
      </c>
      <c r="PPP339" s="42" t="s">
        <v>608</v>
      </c>
      <c r="PPQ339" s="42" t="s">
        <v>608</v>
      </c>
      <c r="PPR339" s="42" t="s">
        <v>608</v>
      </c>
      <c r="PPS339" s="42" t="s">
        <v>608</v>
      </c>
      <c r="PPT339" s="42" t="s">
        <v>608</v>
      </c>
      <c r="PPU339" s="42" t="s">
        <v>608</v>
      </c>
      <c r="PPV339" s="42" t="s">
        <v>608</v>
      </c>
      <c r="PPW339" s="42" t="s">
        <v>608</v>
      </c>
      <c r="PPX339" s="42" t="s">
        <v>608</v>
      </c>
      <c r="PPY339" s="42" t="s">
        <v>608</v>
      </c>
      <c r="PPZ339" s="42" t="s">
        <v>608</v>
      </c>
      <c r="PQA339" s="42" t="s">
        <v>608</v>
      </c>
      <c r="PQB339" s="42" t="s">
        <v>608</v>
      </c>
      <c r="PQC339" s="42" t="s">
        <v>608</v>
      </c>
      <c r="PQD339" s="42" t="s">
        <v>608</v>
      </c>
      <c r="PQE339" s="42" t="s">
        <v>608</v>
      </c>
      <c r="PQF339" s="42" t="s">
        <v>608</v>
      </c>
      <c r="PQG339" s="42" t="s">
        <v>608</v>
      </c>
      <c r="PQH339" s="42" t="s">
        <v>608</v>
      </c>
      <c r="PQI339" s="42" t="s">
        <v>608</v>
      </c>
      <c r="PQJ339" s="42" t="s">
        <v>608</v>
      </c>
      <c r="PQK339" s="42" t="s">
        <v>608</v>
      </c>
      <c r="PQL339" s="42" t="s">
        <v>608</v>
      </c>
      <c r="PQM339" s="42" t="s">
        <v>608</v>
      </c>
      <c r="PQN339" s="42" t="s">
        <v>608</v>
      </c>
      <c r="PQO339" s="42" t="s">
        <v>608</v>
      </c>
      <c r="PQP339" s="42" t="s">
        <v>608</v>
      </c>
      <c r="PQQ339" s="42" t="s">
        <v>608</v>
      </c>
      <c r="PQR339" s="42" t="s">
        <v>608</v>
      </c>
      <c r="PQS339" s="42" t="s">
        <v>608</v>
      </c>
      <c r="PQT339" s="42" t="s">
        <v>608</v>
      </c>
      <c r="PQU339" s="42" t="s">
        <v>608</v>
      </c>
      <c r="PQV339" s="42" t="s">
        <v>608</v>
      </c>
      <c r="PQW339" s="42" t="s">
        <v>608</v>
      </c>
      <c r="PQX339" s="42" t="s">
        <v>608</v>
      </c>
      <c r="PQY339" s="42" t="s">
        <v>608</v>
      </c>
      <c r="PQZ339" s="42" t="s">
        <v>608</v>
      </c>
      <c r="PRA339" s="42" t="s">
        <v>608</v>
      </c>
      <c r="PRB339" s="42" t="s">
        <v>608</v>
      </c>
      <c r="PRC339" s="42" t="s">
        <v>608</v>
      </c>
      <c r="PRD339" s="42" t="s">
        <v>608</v>
      </c>
      <c r="PRE339" s="42" t="s">
        <v>608</v>
      </c>
      <c r="PRF339" s="42" t="s">
        <v>608</v>
      </c>
      <c r="PRG339" s="42" t="s">
        <v>608</v>
      </c>
      <c r="PRH339" s="42" t="s">
        <v>608</v>
      </c>
      <c r="PRI339" s="42" t="s">
        <v>608</v>
      </c>
      <c r="PRJ339" s="42" t="s">
        <v>608</v>
      </c>
      <c r="PRK339" s="42" t="s">
        <v>608</v>
      </c>
      <c r="PRL339" s="42" t="s">
        <v>608</v>
      </c>
      <c r="PRM339" s="42" t="s">
        <v>608</v>
      </c>
      <c r="PRN339" s="42" t="s">
        <v>608</v>
      </c>
      <c r="PRO339" s="42" t="s">
        <v>608</v>
      </c>
      <c r="PRP339" s="42" t="s">
        <v>608</v>
      </c>
      <c r="PRQ339" s="42" t="s">
        <v>608</v>
      </c>
      <c r="PRR339" s="42" t="s">
        <v>608</v>
      </c>
      <c r="PRS339" s="42" t="s">
        <v>608</v>
      </c>
      <c r="PRT339" s="42" t="s">
        <v>608</v>
      </c>
      <c r="PRU339" s="42" t="s">
        <v>608</v>
      </c>
      <c r="PRV339" s="42" t="s">
        <v>608</v>
      </c>
      <c r="PRW339" s="42" t="s">
        <v>608</v>
      </c>
      <c r="PRX339" s="42" t="s">
        <v>608</v>
      </c>
      <c r="PRY339" s="42" t="s">
        <v>608</v>
      </c>
      <c r="PRZ339" s="42" t="s">
        <v>608</v>
      </c>
      <c r="PSA339" s="42" t="s">
        <v>608</v>
      </c>
      <c r="PSB339" s="42" t="s">
        <v>608</v>
      </c>
      <c r="PSC339" s="42" t="s">
        <v>608</v>
      </c>
      <c r="PSD339" s="42" t="s">
        <v>608</v>
      </c>
      <c r="PSE339" s="42" t="s">
        <v>608</v>
      </c>
      <c r="PSF339" s="42" t="s">
        <v>608</v>
      </c>
      <c r="PSG339" s="42" t="s">
        <v>608</v>
      </c>
      <c r="PSH339" s="42" t="s">
        <v>608</v>
      </c>
      <c r="PSI339" s="42" t="s">
        <v>608</v>
      </c>
      <c r="PSJ339" s="42" t="s">
        <v>608</v>
      </c>
      <c r="PSK339" s="42" t="s">
        <v>608</v>
      </c>
      <c r="PSL339" s="42" t="s">
        <v>608</v>
      </c>
      <c r="PSM339" s="42" t="s">
        <v>608</v>
      </c>
      <c r="PSN339" s="42" t="s">
        <v>608</v>
      </c>
      <c r="PSO339" s="42" t="s">
        <v>608</v>
      </c>
      <c r="PSP339" s="42" t="s">
        <v>608</v>
      </c>
      <c r="PSQ339" s="42" t="s">
        <v>608</v>
      </c>
      <c r="PSR339" s="42" t="s">
        <v>608</v>
      </c>
      <c r="PSS339" s="42" t="s">
        <v>608</v>
      </c>
      <c r="PST339" s="42" t="s">
        <v>608</v>
      </c>
      <c r="PSU339" s="42" t="s">
        <v>608</v>
      </c>
      <c r="PSV339" s="42" t="s">
        <v>608</v>
      </c>
      <c r="PSW339" s="42" t="s">
        <v>608</v>
      </c>
      <c r="PSX339" s="42" t="s">
        <v>608</v>
      </c>
      <c r="PSY339" s="42" t="s">
        <v>608</v>
      </c>
      <c r="PSZ339" s="42" t="s">
        <v>608</v>
      </c>
      <c r="PTA339" s="42" t="s">
        <v>608</v>
      </c>
      <c r="PTB339" s="42" t="s">
        <v>608</v>
      </c>
      <c r="PTC339" s="42" t="s">
        <v>608</v>
      </c>
      <c r="PTD339" s="42" t="s">
        <v>608</v>
      </c>
      <c r="PTE339" s="42" t="s">
        <v>608</v>
      </c>
      <c r="PTF339" s="42" t="s">
        <v>608</v>
      </c>
      <c r="PTG339" s="42" t="s">
        <v>608</v>
      </c>
      <c r="PTH339" s="42" t="s">
        <v>608</v>
      </c>
      <c r="PTI339" s="42" t="s">
        <v>608</v>
      </c>
      <c r="PTJ339" s="42" t="s">
        <v>608</v>
      </c>
      <c r="PTK339" s="42" t="s">
        <v>608</v>
      </c>
      <c r="PTL339" s="42" t="s">
        <v>608</v>
      </c>
      <c r="PTM339" s="42" t="s">
        <v>608</v>
      </c>
      <c r="PTN339" s="42" t="s">
        <v>608</v>
      </c>
      <c r="PTO339" s="42" t="s">
        <v>608</v>
      </c>
      <c r="PTP339" s="42" t="s">
        <v>608</v>
      </c>
      <c r="PTQ339" s="42" t="s">
        <v>608</v>
      </c>
      <c r="PTR339" s="42" t="s">
        <v>608</v>
      </c>
      <c r="PTS339" s="42" t="s">
        <v>608</v>
      </c>
      <c r="PTT339" s="42" t="s">
        <v>608</v>
      </c>
      <c r="PTU339" s="42" t="s">
        <v>608</v>
      </c>
      <c r="PTV339" s="42" t="s">
        <v>608</v>
      </c>
      <c r="PTW339" s="42" t="s">
        <v>608</v>
      </c>
      <c r="PTX339" s="42" t="s">
        <v>608</v>
      </c>
      <c r="PTY339" s="42" t="s">
        <v>608</v>
      </c>
      <c r="PTZ339" s="42" t="s">
        <v>608</v>
      </c>
      <c r="PUA339" s="42" t="s">
        <v>608</v>
      </c>
      <c r="PUB339" s="42" t="s">
        <v>608</v>
      </c>
      <c r="PUC339" s="42" t="s">
        <v>608</v>
      </c>
      <c r="PUD339" s="42" t="s">
        <v>608</v>
      </c>
      <c r="PUE339" s="42" t="s">
        <v>608</v>
      </c>
      <c r="PUF339" s="42" t="s">
        <v>608</v>
      </c>
      <c r="PUG339" s="42" t="s">
        <v>608</v>
      </c>
      <c r="PUH339" s="42" t="s">
        <v>608</v>
      </c>
      <c r="PUI339" s="42" t="s">
        <v>608</v>
      </c>
      <c r="PUJ339" s="42" t="s">
        <v>608</v>
      </c>
      <c r="PUK339" s="42" t="s">
        <v>608</v>
      </c>
      <c r="PUL339" s="42" t="s">
        <v>608</v>
      </c>
      <c r="PUM339" s="42" t="s">
        <v>608</v>
      </c>
      <c r="PUN339" s="42" t="s">
        <v>608</v>
      </c>
      <c r="PUO339" s="42" t="s">
        <v>608</v>
      </c>
      <c r="PUP339" s="42" t="s">
        <v>608</v>
      </c>
      <c r="PUQ339" s="42" t="s">
        <v>608</v>
      </c>
      <c r="PUR339" s="42" t="s">
        <v>608</v>
      </c>
      <c r="PUS339" s="42" t="s">
        <v>608</v>
      </c>
      <c r="PUT339" s="42" t="s">
        <v>608</v>
      </c>
      <c r="PUU339" s="42" t="s">
        <v>608</v>
      </c>
      <c r="PUV339" s="42" t="s">
        <v>608</v>
      </c>
      <c r="PUW339" s="42" t="s">
        <v>608</v>
      </c>
      <c r="PUX339" s="42" t="s">
        <v>608</v>
      </c>
      <c r="PUY339" s="42" t="s">
        <v>608</v>
      </c>
      <c r="PUZ339" s="42" t="s">
        <v>608</v>
      </c>
      <c r="PVA339" s="42" t="s">
        <v>608</v>
      </c>
      <c r="PVB339" s="42" t="s">
        <v>608</v>
      </c>
      <c r="PVC339" s="42" t="s">
        <v>608</v>
      </c>
      <c r="PVD339" s="42" t="s">
        <v>608</v>
      </c>
      <c r="PVE339" s="42" t="s">
        <v>608</v>
      </c>
      <c r="PVF339" s="42" t="s">
        <v>608</v>
      </c>
      <c r="PVG339" s="42" t="s">
        <v>608</v>
      </c>
      <c r="PVH339" s="42" t="s">
        <v>608</v>
      </c>
      <c r="PVI339" s="42" t="s">
        <v>608</v>
      </c>
      <c r="PVJ339" s="42" t="s">
        <v>608</v>
      </c>
      <c r="PVK339" s="42" t="s">
        <v>608</v>
      </c>
      <c r="PVL339" s="42" t="s">
        <v>608</v>
      </c>
      <c r="PVM339" s="42" t="s">
        <v>608</v>
      </c>
      <c r="PVN339" s="42" t="s">
        <v>608</v>
      </c>
      <c r="PVO339" s="42" t="s">
        <v>608</v>
      </c>
      <c r="PVP339" s="42" t="s">
        <v>608</v>
      </c>
      <c r="PVQ339" s="42" t="s">
        <v>608</v>
      </c>
      <c r="PVR339" s="42" t="s">
        <v>608</v>
      </c>
      <c r="PVS339" s="42" t="s">
        <v>608</v>
      </c>
      <c r="PVT339" s="42" t="s">
        <v>608</v>
      </c>
      <c r="PVU339" s="42" t="s">
        <v>608</v>
      </c>
      <c r="PVV339" s="42" t="s">
        <v>608</v>
      </c>
      <c r="PVW339" s="42" t="s">
        <v>608</v>
      </c>
      <c r="PVX339" s="42" t="s">
        <v>608</v>
      </c>
      <c r="PVY339" s="42" t="s">
        <v>608</v>
      </c>
      <c r="PVZ339" s="42" t="s">
        <v>608</v>
      </c>
      <c r="PWA339" s="42" t="s">
        <v>608</v>
      </c>
      <c r="PWB339" s="42" t="s">
        <v>608</v>
      </c>
      <c r="PWC339" s="42" t="s">
        <v>608</v>
      </c>
      <c r="PWD339" s="42" t="s">
        <v>608</v>
      </c>
      <c r="PWE339" s="42" t="s">
        <v>608</v>
      </c>
      <c r="PWF339" s="42" t="s">
        <v>608</v>
      </c>
      <c r="PWG339" s="42" t="s">
        <v>608</v>
      </c>
      <c r="PWH339" s="42" t="s">
        <v>608</v>
      </c>
      <c r="PWI339" s="42" t="s">
        <v>608</v>
      </c>
      <c r="PWJ339" s="42" t="s">
        <v>608</v>
      </c>
      <c r="PWK339" s="42" t="s">
        <v>608</v>
      </c>
      <c r="PWL339" s="42" t="s">
        <v>608</v>
      </c>
      <c r="PWM339" s="42" t="s">
        <v>608</v>
      </c>
      <c r="PWN339" s="42" t="s">
        <v>608</v>
      </c>
      <c r="PWO339" s="42" t="s">
        <v>608</v>
      </c>
      <c r="PWP339" s="42" t="s">
        <v>608</v>
      </c>
      <c r="PWQ339" s="42" t="s">
        <v>608</v>
      </c>
      <c r="PWR339" s="42" t="s">
        <v>608</v>
      </c>
      <c r="PWS339" s="42" t="s">
        <v>608</v>
      </c>
      <c r="PWT339" s="42" t="s">
        <v>608</v>
      </c>
      <c r="PWU339" s="42" t="s">
        <v>608</v>
      </c>
      <c r="PWV339" s="42" t="s">
        <v>608</v>
      </c>
      <c r="PWW339" s="42" t="s">
        <v>608</v>
      </c>
      <c r="PWX339" s="42" t="s">
        <v>608</v>
      </c>
      <c r="PWY339" s="42" t="s">
        <v>608</v>
      </c>
      <c r="PWZ339" s="42" t="s">
        <v>608</v>
      </c>
      <c r="PXA339" s="42" t="s">
        <v>608</v>
      </c>
      <c r="PXB339" s="42" t="s">
        <v>608</v>
      </c>
      <c r="PXC339" s="42" t="s">
        <v>608</v>
      </c>
      <c r="PXD339" s="42" t="s">
        <v>608</v>
      </c>
      <c r="PXE339" s="42" t="s">
        <v>608</v>
      </c>
      <c r="PXF339" s="42" t="s">
        <v>608</v>
      </c>
      <c r="PXG339" s="42" t="s">
        <v>608</v>
      </c>
      <c r="PXH339" s="42" t="s">
        <v>608</v>
      </c>
      <c r="PXI339" s="42" t="s">
        <v>608</v>
      </c>
      <c r="PXJ339" s="42" t="s">
        <v>608</v>
      </c>
      <c r="PXK339" s="42" t="s">
        <v>608</v>
      </c>
      <c r="PXL339" s="42" t="s">
        <v>608</v>
      </c>
      <c r="PXM339" s="42" t="s">
        <v>608</v>
      </c>
      <c r="PXN339" s="42" t="s">
        <v>608</v>
      </c>
      <c r="PXO339" s="42" t="s">
        <v>608</v>
      </c>
      <c r="PXP339" s="42" t="s">
        <v>608</v>
      </c>
      <c r="PXQ339" s="42" t="s">
        <v>608</v>
      </c>
      <c r="PXR339" s="42" t="s">
        <v>608</v>
      </c>
      <c r="PXS339" s="42" t="s">
        <v>608</v>
      </c>
      <c r="PXT339" s="42" t="s">
        <v>608</v>
      </c>
      <c r="PXU339" s="42" t="s">
        <v>608</v>
      </c>
      <c r="PXV339" s="42" t="s">
        <v>608</v>
      </c>
      <c r="PXW339" s="42" t="s">
        <v>608</v>
      </c>
      <c r="PXX339" s="42" t="s">
        <v>608</v>
      </c>
      <c r="PXY339" s="42" t="s">
        <v>608</v>
      </c>
      <c r="PXZ339" s="42" t="s">
        <v>608</v>
      </c>
      <c r="PYA339" s="42" t="s">
        <v>608</v>
      </c>
      <c r="PYB339" s="42" t="s">
        <v>608</v>
      </c>
      <c r="PYC339" s="42" t="s">
        <v>608</v>
      </c>
      <c r="PYD339" s="42" t="s">
        <v>608</v>
      </c>
      <c r="PYE339" s="42" t="s">
        <v>608</v>
      </c>
      <c r="PYF339" s="42" t="s">
        <v>608</v>
      </c>
      <c r="PYG339" s="42" t="s">
        <v>608</v>
      </c>
      <c r="PYH339" s="42" t="s">
        <v>608</v>
      </c>
      <c r="PYI339" s="42" t="s">
        <v>608</v>
      </c>
      <c r="PYJ339" s="42" t="s">
        <v>608</v>
      </c>
      <c r="PYK339" s="42" t="s">
        <v>608</v>
      </c>
      <c r="PYL339" s="42" t="s">
        <v>608</v>
      </c>
      <c r="PYM339" s="42" t="s">
        <v>608</v>
      </c>
      <c r="PYN339" s="42" t="s">
        <v>608</v>
      </c>
      <c r="PYO339" s="42" t="s">
        <v>608</v>
      </c>
      <c r="PYP339" s="42" t="s">
        <v>608</v>
      </c>
      <c r="PYQ339" s="42" t="s">
        <v>608</v>
      </c>
      <c r="PYR339" s="42" t="s">
        <v>608</v>
      </c>
      <c r="PYS339" s="42" t="s">
        <v>608</v>
      </c>
      <c r="PYT339" s="42" t="s">
        <v>608</v>
      </c>
      <c r="PYU339" s="42" t="s">
        <v>608</v>
      </c>
      <c r="PYV339" s="42" t="s">
        <v>608</v>
      </c>
      <c r="PYW339" s="42" t="s">
        <v>608</v>
      </c>
      <c r="PYX339" s="42" t="s">
        <v>608</v>
      </c>
      <c r="PYY339" s="42" t="s">
        <v>608</v>
      </c>
      <c r="PYZ339" s="42" t="s">
        <v>608</v>
      </c>
      <c r="PZA339" s="42" t="s">
        <v>608</v>
      </c>
      <c r="PZB339" s="42" t="s">
        <v>608</v>
      </c>
      <c r="PZC339" s="42" t="s">
        <v>608</v>
      </c>
      <c r="PZD339" s="42" t="s">
        <v>608</v>
      </c>
      <c r="PZE339" s="42" t="s">
        <v>608</v>
      </c>
      <c r="PZF339" s="42" t="s">
        <v>608</v>
      </c>
      <c r="PZG339" s="42" t="s">
        <v>608</v>
      </c>
      <c r="PZH339" s="42" t="s">
        <v>608</v>
      </c>
      <c r="PZI339" s="42" t="s">
        <v>608</v>
      </c>
      <c r="PZJ339" s="42" t="s">
        <v>608</v>
      </c>
      <c r="PZK339" s="42" t="s">
        <v>608</v>
      </c>
      <c r="PZL339" s="42" t="s">
        <v>608</v>
      </c>
      <c r="PZM339" s="42" t="s">
        <v>608</v>
      </c>
      <c r="PZN339" s="42" t="s">
        <v>608</v>
      </c>
      <c r="PZO339" s="42" t="s">
        <v>608</v>
      </c>
      <c r="PZP339" s="42" t="s">
        <v>608</v>
      </c>
      <c r="PZQ339" s="42" t="s">
        <v>608</v>
      </c>
      <c r="PZR339" s="42" t="s">
        <v>608</v>
      </c>
      <c r="PZS339" s="42" t="s">
        <v>608</v>
      </c>
      <c r="PZT339" s="42" t="s">
        <v>608</v>
      </c>
      <c r="PZU339" s="42" t="s">
        <v>608</v>
      </c>
      <c r="PZV339" s="42" t="s">
        <v>608</v>
      </c>
      <c r="PZW339" s="42" t="s">
        <v>608</v>
      </c>
      <c r="PZX339" s="42" t="s">
        <v>608</v>
      </c>
      <c r="PZY339" s="42" t="s">
        <v>608</v>
      </c>
      <c r="PZZ339" s="42" t="s">
        <v>608</v>
      </c>
      <c r="QAA339" s="42" t="s">
        <v>608</v>
      </c>
      <c r="QAB339" s="42" t="s">
        <v>608</v>
      </c>
      <c r="QAC339" s="42" t="s">
        <v>608</v>
      </c>
      <c r="QAD339" s="42" t="s">
        <v>608</v>
      </c>
      <c r="QAE339" s="42" t="s">
        <v>608</v>
      </c>
      <c r="QAF339" s="42" t="s">
        <v>608</v>
      </c>
      <c r="QAG339" s="42" t="s">
        <v>608</v>
      </c>
      <c r="QAH339" s="42" t="s">
        <v>608</v>
      </c>
      <c r="QAI339" s="42" t="s">
        <v>608</v>
      </c>
      <c r="QAJ339" s="42" t="s">
        <v>608</v>
      </c>
      <c r="QAK339" s="42" t="s">
        <v>608</v>
      </c>
      <c r="QAL339" s="42" t="s">
        <v>608</v>
      </c>
      <c r="QAM339" s="42" t="s">
        <v>608</v>
      </c>
      <c r="QAN339" s="42" t="s">
        <v>608</v>
      </c>
      <c r="QAO339" s="42" t="s">
        <v>608</v>
      </c>
      <c r="QAP339" s="42" t="s">
        <v>608</v>
      </c>
      <c r="QAQ339" s="42" t="s">
        <v>608</v>
      </c>
      <c r="QAR339" s="42" t="s">
        <v>608</v>
      </c>
      <c r="QAS339" s="42" t="s">
        <v>608</v>
      </c>
      <c r="QAT339" s="42" t="s">
        <v>608</v>
      </c>
      <c r="QAU339" s="42" t="s">
        <v>608</v>
      </c>
      <c r="QAV339" s="42" t="s">
        <v>608</v>
      </c>
      <c r="QAW339" s="42" t="s">
        <v>608</v>
      </c>
      <c r="QAX339" s="42" t="s">
        <v>608</v>
      </c>
      <c r="QAY339" s="42" t="s">
        <v>608</v>
      </c>
      <c r="QAZ339" s="42" t="s">
        <v>608</v>
      </c>
      <c r="QBA339" s="42" t="s">
        <v>608</v>
      </c>
      <c r="QBB339" s="42" t="s">
        <v>608</v>
      </c>
      <c r="QBC339" s="42" t="s">
        <v>608</v>
      </c>
      <c r="QBD339" s="42" t="s">
        <v>608</v>
      </c>
      <c r="QBE339" s="42" t="s">
        <v>608</v>
      </c>
      <c r="QBF339" s="42" t="s">
        <v>608</v>
      </c>
      <c r="QBG339" s="42" t="s">
        <v>608</v>
      </c>
      <c r="QBH339" s="42" t="s">
        <v>608</v>
      </c>
      <c r="QBI339" s="42" t="s">
        <v>608</v>
      </c>
      <c r="QBJ339" s="42" t="s">
        <v>608</v>
      </c>
      <c r="QBK339" s="42" t="s">
        <v>608</v>
      </c>
      <c r="QBL339" s="42" t="s">
        <v>608</v>
      </c>
      <c r="QBM339" s="42" t="s">
        <v>608</v>
      </c>
      <c r="QBN339" s="42" t="s">
        <v>608</v>
      </c>
      <c r="QBO339" s="42" t="s">
        <v>608</v>
      </c>
      <c r="QBP339" s="42" t="s">
        <v>608</v>
      </c>
      <c r="QBQ339" s="42" t="s">
        <v>608</v>
      </c>
      <c r="QBR339" s="42" t="s">
        <v>608</v>
      </c>
      <c r="QBS339" s="42" t="s">
        <v>608</v>
      </c>
      <c r="QBT339" s="42" t="s">
        <v>608</v>
      </c>
      <c r="QBU339" s="42" t="s">
        <v>608</v>
      </c>
      <c r="QBV339" s="42" t="s">
        <v>608</v>
      </c>
      <c r="QBW339" s="42" t="s">
        <v>608</v>
      </c>
      <c r="QBX339" s="42" t="s">
        <v>608</v>
      </c>
      <c r="QBY339" s="42" t="s">
        <v>608</v>
      </c>
      <c r="QBZ339" s="42" t="s">
        <v>608</v>
      </c>
      <c r="QCA339" s="42" t="s">
        <v>608</v>
      </c>
      <c r="QCB339" s="42" t="s">
        <v>608</v>
      </c>
      <c r="QCC339" s="42" t="s">
        <v>608</v>
      </c>
      <c r="QCD339" s="42" t="s">
        <v>608</v>
      </c>
      <c r="QCE339" s="42" t="s">
        <v>608</v>
      </c>
      <c r="QCF339" s="42" t="s">
        <v>608</v>
      </c>
      <c r="QCG339" s="42" t="s">
        <v>608</v>
      </c>
      <c r="QCH339" s="42" t="s">
        <v>608</v>
      </c>
      <c r="QCI339" s="42" t="s">
        <v>608</v>
      </c>
      <c r="QCJ339" s="42" t="s">
        <v>608</v>
      </c>
      <c r="QCK339" s="42" t="s">
        <v>608</v>
      </c>
      <c r="QCL339" s="42" t="s">
        <v>608</v>
      </c>
      <c r="QCM339" s="42" t="s">
        <v>608</v>
      </c>
      <c r="QCN339" s="42" t="s">
        <v>608</v>
      </c>
      <c r="QCO339" s="42" t="s">
        <v>608</v>
      </c>
      <c r="QCP339" s="42" t="s">
        <v>608</v>
      </c>
      <c r="QCQ339" s="42" t="s">
        <v>608</v>
      </c>
      <c r="QCR339" s="42" t="s">
        <v>608</v>
      </c>
      <c r="QCS339" s="42" t="s">
        <v>608</v>
      </c>
      <c r="QCT339" s="42" t="s">
        <v>608</v>
      </c>
      <c r="QCU339" s="42" t="s">
        <v>608</v>
      </c>
      <c r="QCV339" s="42" t="s">
        <v>608</v>
      </c>
      <c r="QCW339" s="42" t="s">
        <v>608</v>
      </c>
      <c r="QCX339" s="42" t="s">
        <v>608</v>
      </c>
      <c r="QCY339" s="42" t="s">
        <v>608</v>
      </c>
      <c r="QCZ339" s="42" t="s">
        <v>608</v>
      </c>
      <c r="QDA339" s="42" t="s">
        <v>608</v>
      </c>
      <c r="QDB339" s="42" t="s">
        <v>608</v>
      </c>
      <c r="QDC339" s="42" t="s">
        <v>608</v>
      </c>
      <c r="QDD339" s="42" t="s">
        <v>608</v>
      </c>
      <c r="QDE339" s="42" t="s">
        <v>608</v>
      </c>
      <c r="QDF339" s="42" t="s">
        <v>608</v>
      </c>
      <c r="QDG339" s="42" t="s">
        <v>608</v>
      </c>
      <c r="QDH339" s="42" t="s">
        <v>608</v>
      </c>
      <c r="QDI339" s="42" t="s">
        <v>608</v>
      </c>
      <c r="QDJ339" s="42" t="s">
        <v>608</v>
      </c>
      <c r="QDK339" s="42" t="s">
        <v>608</v>
      </c>
      <c r="QDL339" s="42" t="s">
        <v>608</v>
      </c>
      <c r="QDM339" s="42" t="s">
        <v>608</v>
      </c>
      <c r="QDN339" s="42" t="s">
        <v>608</v>
      </c>
      <c r="QDO339" s="42" t="s">
        <v>608</v>
      </c>
      <c r="QDP339" s="42" t="s">
        <v>608</v>
      </c>
      <c r="QDQ339" s="42" t="s">
        <v>608</v>
      </c>
      <c r="QDR339" s="42" t="s">
        <v>608</v>
      </c>
      <c r="QDS339" s="42" t="s">
        <v>608</v>
      </c>
      <c r="QDT339" s="42" t="s">
        <v>608</v>
      </c>
      <c r="QDU339" s="42" t="s">
        <v>608</v>
      </c>
      <c r="QDV339" s="42" t="s">
        <v>608</v>
      </c>
      <c r="QDW339" s="42" t="s">
        <v>608</v>
      </c>
      <c r="QDX339" s="42" t="s">
        <v>608</v>
      </c>
      <c r="QDY339" s="42" t="s">
        <v>608</v>
      </c>
      <c r="QDZ339" s="42" t="s">
        <v>608</v>
      </c>
      <c r="QEA339" s="42" t="s">
        <v>608</v>
      </c>
      <c r="QEB339" s="42" t="s">
        <v>608</v>
      </c>
      <c r="QEC339" s="42" t="s">
        <v>608</v>
      </c>
      <c r="QED339" s="42" t="s">
        <v>608</v>
      </c>
      <c r="QEE339" s="42" t="s">
        <v>608</v>
      </c>
      <c r="QEF339" s="42" t="s">
        <v>608</v>
      </c>
      <c r="QEG339" s="42" t="s">
        <v>608</v>
      </c>
      <c r="QEH339" s="42" t="s">
        <v>608</v>
      </c>
      <c r="QEI339" s="42" t="s">
        <v>608</v>
      </c>
      <c r="QEJ339" s="42" t="s">
        <v>608</v>
      </c>
      <c r="QEK339" s="42" t="s">
        <v>608</v>
      </c>
      <c r="QEL339" s="42" t="s">
        <v>608</v>
      </c>
      <c r="QEM339" s="42" t="s">
        <v>608</v>
      </c>
      <c r="QEN339" s="42" t="s">
        <v>608</v>
      </c>
      <c r="QEO339" s="42" t="s">
        <v>608</v>
      </c>
      <c r="QEP339" s="42" t="s">
        <v>608</v>
      </c>
      <c r="QEQ339" s="42" t="s">
        <v>608</v>
      </c>
      <c r="QER339" s="42" t="s">
        <v>608</v>
      </c>
      <c r="QES339" s="42" t="s">
        <v>608</v>
      </c>
      <c r="QET339" s="42" t="s">
        <v>608</v>
      </c>
      <c r="QEU339" s="42" t="s">
        <v>608</v>
      </c>
      <c r="QEV339" s="42" t="s">
        <v>608</v>
      </c>
      <c r="QEW339" s="42" t="s">
        <v>608</v>
      </c>
      <c r="QEX339" s="42" t="s">
        <v>608</v>
      </c>
      <c r="QEY339" s="42" t="s">
        <v>608</v>
      </c>
      <c r="QEZ339" s="42" t="s">
        <v>608</v>
      </c>
      <c r="QFA339" s="42" t="s">
        <v>608</v>
      </c>
      <c r="QFB339" s="42" t="s">
        <v>608</v>
      </c>
      <c r="QFC339" s="42" t="s">
        <v>608</v>
      </c>
      <c r="QFD339" s="42" t="s">
        <v>608</v>
      </c>
      <c r="QFE339" s="42" t="s">
        <v>608</v>
      </c>
      <c r="QFF339" s="42" t="s">
        <v>608</v>
      </c>
      <c r="QFG339" s="42" t="s">
        <v>608</v>
      </c>
      <c r="QFH339" s="42" t="s">
        <v>608</v>
      </c>
      <c r="QFI339" s="42" t="s">
        <v>608</v>
      </c>
      <c r="QFJ339" s="42" t="s">
        <v>608</v>
      </c>
      <c r="QFK339" s="42" t="s">
        <v>608</v>
      </c>
      <c r="QFL339" s="42" t="s">
        <v>608</v>
      </c>
      <c r="QFM339" s="42" t="s">
        <v>608</v>
      </c>
      <c r="QFN339" s="42" t="s">
        <v>608</v>
      </c>
      <c r="QFO339" s="42" t="s">
        <v>608</v>
      </c>
      <c r="QFP339" s="42" t="s">
        <v>608</v>
      </c>
      <c r="QFQ339" s="42" t="s">
        <v>608</v>
      </c>
      <c r="QFR339" s="42" t="s">
        <v>608</v>
      </c>
      <c r="QFS339" s="42" t="s">
        <v>608</v>
      </c>
      <c r="QFT339" s="42" t="s">
        <v>608</v>
      </c>
      <c r="QFU339" s="42" t="s">
        <v>608</v>
      </c>
      <c r="QFV339" s="42" t="s">
        <v>608</v>
      </c>
      <c r="QFW339" s="42" t="s">
        <v>608</v>
      </c>
      <c r="QFX339" s="42" t="s">
        <v>608</v>
      </c>
      <c r="QFY339" s="42" t="s">
        <v>608</v>
      </c>
      <c r="QFZ339" s="42" t="s">
        <v>608</v>
      </c>
      <c r="QGA339" s="42" t="s">
        <v>608</v>
      </c>
      <c r="QGB339" s="42" t="s">
        <v>608</v>
      </c>
      <c r="QGC339" s="42" t="s">
        <v>608</v>
      </c>
      <c r="QGD339" s="42" t="s">
        <v>608</v>
      </c>
      <c r="QGE339" s="42" t="s">
        <v>608</v>
      </c>
      <c r="QGF339" s="42" t="s">
        <v>608</v>
      </c>
      <c r="QGG339" s="42" t="s">
        <v>608</v>
      </c>
      <c r="QGH339" s="42" t="s">
        <v>608</v>
      </c>
      <c r="QGI339" s="42" t="s">
        <v>608</v>
      </c>
      <c r="QGJ339" s="42" t="s">
        <v>608</v>
      </c>
      <c r="QGK339" s="42" t="s">
        <v>608</v>
      </c>
      <c r="QGL339" s="42" t="s">
        <v>608</v>
      </c>
      <c r="QGM339" s="42" t="s">
        <v>608</v>
      </c>
      <c r="QGN339" s="42" t="s">
        <v>608</v>
      </c>
      <c r="QGO339" s="42" t="s">
        <v>608</v>
      </c>
      <c r="QGP339" s="42" t="s">
        <v>608</v>
      </c>
      <c r="QGQ339" s="42" t="s">
        <v>608</v>
      </c>
      <c r="QGR339" s="42" t="s">
        <v>608</v>
      </c>
      <c r="QGS339" s="42" t="s">
        <v>608</v>
      </c>
      <c r="QGT339" s="42" t="s">
        <v>608</v>
      </c>
      <c r="QGU339" s="42" t="s">
        <v>608</v>
      </c>
      <c r="QGV339" s="42" t="s">
        <v>608</v>
      </c>
      <c r="QGW339" s="42" t="s">
        <v>608</v>
      </c>
      <c r="QGX339" s="42" t="s">
        <v>608</v>
      </c>
      <c r="QGY339" s="42" t="s">
        <v>608</v>
      </c>
      <c r="QGZ339" s="42" t="s">
        <v>608</v>
      </c>
      <c r="QHA339" s="42" t="s">
        <v>608</v>
      </c>
      <c r="QHB339" s="42" t="s">
        <v>608</v>
      </c>
      <c r="QHC339" s="42" t="s">
        <v>608</v>
      </c>
      <c r="QHD339" s="42" t="s">
        <v>608</v>
      </c>
      <c r="QHE339" s="42" t="s">
        <v>608</v>
      </c>
      <c r="QHF339" s="42" t="s">
        <v>608</v>
      </c>
      <c r="QHG339" s="42" t="s">
        <v>608</v>
      </c>
      <c r="QHH339" s="42" t="s">
        <v>608</v>
      </c>
      <c r="QHI339" s="42" t="s">
        <v>608</v>
      </c>
      <c r="QHJ339" s="42" t="s">
        <v>608</v>
      </c>
      <c r="QHK339" s="42" t="s">
        <v>608</v>
      </c>
      <c r="QHL339" s="42" t="s">
        <v>608</v>
      </c>
      <c r="QHM339" s="42" t="s">
        <v>608</v>
      </c>
      <c r="QHN339" s="42" t="s">
        <v>608</v>
      </c>
      <c r="QHO339" s="42" t="s">
        <v>608</v>
      </c>
      <c r="QHP339" s="42" t="s">
        <v>608</v>
      </c>
      <c r="QHQ339" s="42" t="s">
        <v>608</v>
      </c>
      <c r="QHR339" s="42" t="s">
        <v>608</v>
      </c>
      <c r="QHS339" s="42" t="s">
        <v>608</v>
      </c>
      <c r="QHT339" s="42" t="s">
        <v>608</v>
      </c>
      <c r="QHU339" s="42" t="s">
        <v>608</v>
      </c>
      <c r="QHV339" s="42" t="s">
        <v>608</v>
      </c>
      <c r="QHW339" s="42" t="s">
        <v>608</v>
      </c>
      <c r="QHX339" s="42" t="s">
        <v>608</v>
      </c>
      <c r="QHY339" s="42" t="s">
        <v>608</v>
      </c>
      <c r="QHZ339" s="42" t="s">
        <v>608</v>
      </c>
      <c r="QIA339" s="42" t="s">
        <v>608</v>
      </c>
      <c r="QIB339" s="42" t="s">
        <v>608</v>
      </c>
      <c r="QIC339" s="42" t="s">
        <v>608</v>
      </c>
      <c r="QID339" s="42" t="s">
        <v>608</v>
      </c>
      <c r="QIE339" s="42" t="s">
        <v>608</v>
      </c>
      <c r="QIF339" s="42" t="s">
        <v>608</v>
      </c>
      <c r="QIG339" s="42" t="s">
        <v>608</v>
      </c>
      <c r="QIH339" s="42" t="s">
        <v>608</v>
      </c>
      <c r="QII339" s="42" t="s">
        <v>608</v>
      </c>
      <c r="QIJ339" s="42" t="s">
        <v>608</v>
      </c>
      <c r="QIK339" s="42" t="s">
        <v>608</v>
      </c>
      <c r="QIL339" s="42" t="s">
        <v>608</v>
      </c>
      <c r="QIM339" s="42" t="s">
        <v>608</v>
      </c>
      <c r="QIN339" s="42" t="s">
        <v>608</v>
      </c>
      <c r="QIO339" s="42" t="s">
        <v>608</v>
      </c>
      <c r="QIP339" s="42" t="s">
        <v>608</v>
      </c>
      <c r="QIQ339" s="42" t="s">
        <v>608</v>
      </c>
      <c r="QIR339" s="42" t="s">
        <v>608</v>
      </c>
      <c r="QIS339" s="42" t="s">
        <v>608</v>
      </c>
      <c r="QIT339" s="42" t="s">
        <v>608</v>
      </c>
      <c r="QIU339" s="42" t="s">
        <v>608</v>
      </c>
      <c r="QIV339" s="42" t="s">
        <v>608</v>
      </c>
      <c r="QIW339" s="42" t="s">
        <v>608</v>
      </c>
      <c r="QIX339" s="42" t="s">
        <v>608</v>
      </c>
      <c r="QIY339" s="42" t="s">
        <v>608</v>
      </c>
      <c r="QIZ339" s="42" t="s">
        <v>608</v>
      </c>
      <c r="QJA339" s="42" t="s">
        <v>608</v>
      </c>
      <c r="QJB339" s="42" t="s">
        <v>608</v>
      </c>
      <c r="QJC339" s="42" t="s">
        <v>608</v>
      </c>
      <c r="QJD339" s="42" t="s">
        <v>608</v>
      </c>
      <c r="QJE339" s="42" t="s">
        <v>608</v>
      </c>
      <c r="QJF339" s="42" t="s">
        <v>608</v>
      </c>
      <c r="QJG339" s="42" t="s">
        <v>608</v>
      </c>
      <c r="QJH339" s="42" t="s">
        <v>608</v>
      </c>
      <c r="QJI339" s="42" t="s">
        <v>608</v>
      </c>
      <c r="QJJ339" s="42" t="s">
        <v>608</v>
      </c>
      <c r="QJK339" s="42" t="s">
        <v>608</v>
      </c>
      <c r="QJL339" s="42" t="s">
        <v>608</v>
      </c>
      <c r="QJM339" s="42" t="s">
        <v>608</v>
      </c>
      <c r="QJN339" s="42" t="s">
        <v>608</v>
      </c>
      <c r="QJO339" s="42" t="s">
        <v>608</v>
      </c>
      <c r="QJP339" s="42" t="s">
        <v>608</v>
      </c>
      <c r="QJQ339" s="42" t="s">
        <v>608</v>
      </c>
      <c r="QJR339" s="42" t="s">
        <v>608</v>
      </c>
      <c r="QJS339" s="42" t="s">
        <v>608</v>
      </c>
      <c r="QJT339" s="42" t="s">
        <v>608</v>
      </c>
      <c r="QJU339" s="42" t="s">
        <v>608</v>
      </c>
      <c r="QJV339" s="42" t="s">
        <v>608</v>
      </c>
      <c r="QJW339" s="42" t="s">
        <v>608</v>
      </c>
      <c r="QJX339" s="42" t="s">
        <v>608</v>
      </c>
      <c r="QJY339" s="42" t="s">
        <v>608</v>
      </c>
      <c r="QJZ339" s="42" t="s">
        <v>608</v>
      </c>
      <c r="QKA339" s="42" t="s">
        <v>608</v>
      </c>
      <c r="QKB339" s="42" t="s">
        <v>608</v>
      </c>
      <c r="QKC339" s="42" t="s">
        <v>608</v>
      </c>
      <c r="QKD339" s="42" t="s">
        <v>608</v>
      </c>
      <c r="QKE339" s="42" t="s">
        <v>608</v>
      </c>
      <c r="QKF339" s="42" t="s">
        <v>608</v>
      </c>
      <c r="QKG339" s="42" t="s">
        <v>608</v>
      </c>
      <c r="QKH339" s="42" t="s">
        <v>608</v>
      </c>
      <c r="QKI339" s="42" t="s">
        <v>608</v>
      </c>
      <c r="QKJ339" s="42" t="s">
        <v>608</v>
      </c>
      <c r="QKK339" s="42" t="s">
        <v>608</v>
      </c>
      <c r="QKL339" s="42" t="s">
        <v>608</v>
      </c>
      <c r="QKM339" s="42" t="s">
        <v>608</v>
      </c>
      <c r="QKN339" s="42" t="s">
        <v>608</v>
      </c>
      <c r="QKO339" s="42" t="s">
        <v>608</v>
      </c>
      <c r="QKP339" s="42" t="s">
        <v>608</v>
      </c>
      <c r="QKQ339" s="42" t="s">
        <v>608</v>
      </c>
      <c r="QKR339" s="42" t="s">
        <v>608</v>
      </c>
      <c r="QKS339" s="42" t="s">
        <v>608</v>
      </c>
      <c r="QKT339" s="42" t="s">
        <v>608</v>
      </c>
      <c r="QKU339" s="42" t="s">
        <v>608</v>
      </c>
      <c r="QKV339" s="42" t="s">
        <v>608</v>
      </c>
      <c r="QKW339" s="42" t="s">
        <v>608</v>
      </c>
      <c r="QKX339" s="42" t="s">
        <v>608</v>
      </c>
      <c r="QKY339" s="42" t="s">
        <v>608</v>
      </c>
      <c r="QKZ339" s="42" t="s">
        <v>608</v>
      </c>
      <c r="QLA339" s="42" t="s">
        <v>608</v>
      </c>
      <c r="QLB339" s="42" t="s">
        <v>608</v>
      </c>
      <c r="QLC339" s="42" t="s">
        <v>608</v>
      </c>
      <c r="QLD339" s="42" t="s">
        <v>608</v>
      </c>
      <c r="QLE339" s="42" t="s">
        <v>608</v>
      </c>
      <c r="QLF339" s="42" t="s">
        <v>608</v>
      </c>
      <c r="QLG339" s="42" t="s">
        <v>608</v>
      </c>
      <c r="QLH339" s="42" t="s">
        <v>608</v>
      </c>
      <c r="QLI339" s="42" t="s">
        <v>608</v>
      </c>
      <c r="QLJ339" s="42" t="s">
        <v>608</v>
      </c>
      <c r="QLK339" s="42" t="s">
        <v>608</v>
      </c>
      <c r="QLL339" s="42" t="s">
        <v>608</v>
      </c>
      <c r="QLM339" s="42" t="s">
        <v>608</v>
      </c>
      <c r="QLN339" s="42" t="s">
        <v>608</v>
      </c>
      <c r="QLO339" s="42" t="s">
        <v>608</v>
      </c>
      <c r="QLP339" s="42" t="s">
        <v>608</v>
      </c>
      <c r="QLQ339" s="42" t="s">
        <v>608</v>
      </c>
      <c r="QLR339" s="42" t="s">
        <v>608</v>
      </c>
      <c r="QLS339" s="42" t="s">
        <v>608</v>
      </c>
      <c r="QLT339" s="42" t="s">
        <v>608</v>
      </c>
      <c r="QLU339" s="42" t="s">
        <v>608</v>
      </c>
      <c r="QLV339" s="42" t="s">
        <v>608</v>
      </c>
      <c r="QLW339" s="42" t="s">
        <v>608</v>
      </c>
      <c r="QLX339" s="42" t="s">
        <v>608</v>
      </c>
      <c r="QLY339" s="42" t="s">
        <v>608</v>
      </c>
      <c r="QLZ339" s="42" t="s">
        <v>608</v>
      </c>
      <c r="QMA339" s="42" t="s">
        <v>608</v>
      </c>
      <c r="QMB339" s="42" t="s">
        <v>608</v>
      </c>
      <c r="QMC339" s="42" t="s">
        <v>608</v>
      </c>
      <c r="QMD339" s="42" t="s">
        <v>608</v>
      </c>
      <c r="QME339" s="42" t="s">
        <v>608</v>
      </c>
      <c r="QMF339" s="42" t="s">
        <v>608</v>
      </c>
      <c r="QMG339" s="42" t="s">
        <v>608</v>
      </c>
      <c r="QMH339" s="42" t="s">
        <v>608</v>
      </c>
      <c r="QMI339" s="42" t="s">
        <v>608</v>
      </c>
      <c r="QMJ339" s="42" t="s">
        <v>608</v>
      </c>
      <c r="QMK339" s="42" t="s">
        <v>608</v>
      </c>
      <c r="QML339" s="42" t="s">
        <v>608</v>
      </c>
      <c r="QMM339" s="42" t="s">
        <v>608</v>
      </c>
      <c r="QMN339" s="42" t="s">
        <v>608</v>
      </c>
      <c r="QMO339" s="42" t="s">
        <v>608</v>
      </c>
      <c r="QMP339" s="42" t="s">
        <v>608</v>
      </c>
      <c r="QMQ339" s="42" t="s">
        <v>608</v>
      </c>
      <c r="QMR339" s="42" t="s">
        <v>608</v>
      </c>
      <c r="QMS339" s="42" t="s">
        <v>608</v>
      </c>
      <c r="QMT339" s="42" t="s">
        <v>608</v>
      </c>
      <c r="QMU339" s="42" t="s">
        <v>608</v>
      </c>
      <c r="QMV339" s="42" t="s">
        <v>608</v>
      </c>
      <c r="QMW339" s="42" t="s">
        <v>608</v>
      </c>
      <c r="QMX339" s="42" t="s">
        <v>608</v>
      </c>
      <c r="QMY339" s="42" t="s">
        <v>608</v>
      </c>
      <c r="QMZ339" s="42" t="s">
        <v>608</v>
      </c>
      <c r="QNA339" s="42" t="s">
        <v>608</v>
      </c>
      <c r="QNB339" s="42" t="s">
        <v>608</v>
      </c>
      <c r="QNC339" s="42" t="s">
        <v>608</v>
      </c>
      <c r="QND339" s="42" t="s">
        <v>608</v>
      </c>
      <c r="QNE339" s="42" t="s">
        <v>608</v>
      </c>
      <c r="QNF339" s="42" t="s">
        <v>608</v>
      </c>
      <c r="QNG339" s="42" t="s">
        <v>608</v>
      </c>
      <c r="QNH339" s="42" t="s">
        <v>608</v>
      </c>
      <c r="QNI339" s="42" t="s">
        <v>608</v>
      </c>
      <c r="QNJ339" s="42" t="s">
        <v>608</v>
      </c>
      <c r="QNK339" s="42" t="s">
        <v>608</v>
      </c>
      <c r="QNL339" s="42" t="s">
        <v>608</v>
      </c>
      <c r="QNM339" s="42" t="s">
        <v>608</v>
      </c>
      <c r="QNN339" s="42" t="s">
        <v>608</v>
      </c>
      <c r="QNO339" s="42" t="s">
        <v>608</v>
      </c>
      <c r="QNP339" s="42" t="s">
        <v>608</v>
      </c>
      <c r="QNQ339" s="42" t="s">
        <v>608</v>
      </c>
      <c r="QNR339" s="42" t="s">
        <v>608</v>
      </c>
      <c r="QNS339" s="42" t="s">
        <v>608</v>
      </c>
      <c r="QNT339" s="42" t="s">
        <v>608</v>
      </c>
      <c r="QNU339" s="42" t="s">
        <v>608</v>
      </c>
      <c r="QNV339" s="42" t="s">
        <v>608</v>
      </c>
      <c r="QNW339" s="42" t="s">
        <v>608</v>
      </c>
      <c r="QNX339" s="42" t="s">
        <v>608</v>
      </c>
      <c r="QNY339" s="42" t="s">
        <v>608</v>
      </c>
      <c r="QNZ339" s="42" t="s">
        <v>608</v>
      </c>
      <c r="QOA339" s="42" t="s">
        <v>608</v>
      </c>
      <c r="QOB339" s="42" t="s">
        <v>608</v>
      </c>
      <c r="QOC339" s="42" t="s">
        <v>608</v>
      </c>
      <c r="QOD339" s="42" t="s">
        <v>608</v>
      </c>
      <c r="QOE339" s="42" t="s">
        <v>608</v>
      </c>
      <c r="QOF339" s="42" t="s">
        <v>608</v>
      </c>
      <c r="QOG339" s="42" t="s">
        <v>608</v>
      </c>
      <c r="QOH339" s="42" t="s">
        <v>608</v>
      </c>
      <c r="QOI339" s="42" t="s">
        <v>608</v>
      </c>
      <c r="QOJ339" s="42" t="s">
        <v>608</v>
      </c>
      <c r="QOK339" s="42" t="s">
        <v>608</v>
      </c>
      <c r="QOL339" s="42" t="s">
        <v>608</v>
      </c>
      <c r="QOM339" s="42" t="s">
        <v>608</v>
      </c>
      <c r="QON339" s="42" t="s">
        <v>608</v>
      </c>
      <c r="QOO339" s="42" t="s">
        <v>608</v>
      </c>
      <c r="QOP339" s="42" t="s">
        <v>608</v>
      </c>
      <c r="QOQ339" s="42" t="s">
        <v>608</v>
      </c>
      <c r="QOR339" s="42" t="s">
        <v>608</v>
      </c>
      <c r="QOS339" s="42" t="s">
        <v>608</v>
      </c>
      <c r="QOT339" s="42" t="s">
        <v>608</v>
      </c>
      <c r="QOU339" s="42" t="s">
        <v>608</v>
      </c>
      <c r="QOV339" s="42" t="s">
        <v>608</v>
      </c>
      <c r="QOW339" s="42" t="s">
        <v>608</v>
      </c>
      <c r="QOX339" s="42" t="s">
        <v>608</v>
      </c>
      <c r="QOY339" s="42" t="s">
        <v>608</v>
      </c>
      <c r="QOZ339" s="42" t="s">
        <v>608</v>
      </c>
      <c r="QPA339" s="42" t="s">
        <v>608</v>
      </c>
      <c r="QPB339" s="42" t="s">
        <v>608</v>
      </c>
      <c r="QPC339" s="42" t="s">
        <v>608</v>
      </c>
      <c r="QPD339" s="42" t="s">
        <v>608</v>
      </c>
      <c r="QPE339" s="42" t="s">
        <v>608</v>
      </c>
      <c r="QPF339" s="42" t="s">
        <v>608</v>
      </c>
      <c r="QPG339" s="42" t="s">
        <v>608</v>
      </c>
      <c r="QPH339" s="42" t="s">
        <v>608</v>
      </c>
      <c r="QPI339" s="42" t="s">
        <v>608</v>
      </c>
      <c r="QPJ339" s="42" t="s">
        <v>608</v>
      </c>
      <c r="QPK339" s="42" t="s">
        <v>608</v>
      </c>
      <c r="QPL339" s="42" t="s">
        <v>608</v>
      </c>
      <c r="QPM339" s="42" t="s">
        <v>608</v>
      </c>
      <c r="QPN339" s="42" t="s">
        <v>608</v>
      </c>
      <c r="QPO339" s="42" t="s">
        <v>608</v>
      </c>
      <c r="QPP339" s="42" t="s">
        <v>608</v>
      </c>
      <c r="QPQ339" s="42" t="s">
        <v>608</v>
      </c>
      <c r="QPR339" s="42" t="s">
        <v>608</v>
      </c>
      <c r="QPS339" s="42" t="s">
        <v>608</v>
      </c>
      <c r="QPT339" s="42" t="s">
        <v>608</v>
      </c>
      <c r="QPU339" s="42" t="s">
        <v>608</v>
      </c>
      <c r="QPV339" s="42" t="s">
        <v>608</v>
      </c>
      <c r="QPW339" s="42" t="s">
        <v>608</v>
      </c>
      <c r="QPX339" s="42" t="s">
        <v>608</v>
      </c>
      <c r="QPY339" s="42" t="s">
        <v>608</v>
      </c>
      <c r="QPZ339" s="42" t="s">
        <v>608</v>
      </c>
      <c r="QQA339" s="42" t="s">
        <v>608</v>
      </c>
      <c r="QQB339" s="42" t="s">
        <v>608</v>
      </c>
      <c r="QQC339" s="42" t="s">
        <v>608</v>
      </c>
      <c r="QQD339" s="42" t="s">
        <v>608</v>
      </c>
      <c r="QQE339" s="42" t="s">
        <v>608</v>
      </c>
      <c r="QQF339" s="42" t="s">
        <v>608</v>
      </c>
      <c r="QQG339" s="42" t="s">
        <v>608</v>
      </c>
      <c r="QQH339" s="42" t="s">
        <v>608</v>
      </c>
      <c r="QQI339" s="42" t="s">
        <v>608</v>
      </c>
      <c r="QQJ339" s="42" t="s">
        <v>608</v>
      </c>
      <c r="QQK339" s="42" t="s">
        <v>608</v>
      </c>
      <c r="QQL339" s="42" t="s">
        <v>608</v>
      </c>
      <c r="QQM339" s="42" t="s">
        <v>608</v>
      </c>
      <c r="QQN339" s="42" t="s">
        <v>608</v>
      </c>
      <c r="QQO339" s="42" t="s">
        <v>608</v>
      </c>
      <c r="QQP339" s="42" t="s">
        <v>608</v>
      </c>
      <c r="QQQ339" s="42" t="s">
        <v>608</v>
      </c>
      <c r="QQR339" s="42" t="s">
        <v>608</v>
      </c>
      <c r="QQS339" s="42" t="s">
        <v>608</v>
      </c>
      <c r="QQT339" s="42" t="s">
        <v>608</v>
      </c>
      <c r="QQU339" s="42" t="s">
        <v>608</v>
      </c>
      <c r="QQV339" s="42" t="s">
        <v>608</v>
      </c>
      <c r="QQW339" s="42" t="s">
        <v>608</v>
      </c>
      <c r="QQX339" s="42" t="s">
        <v>608</v>
      </c>
      <c r="QQY339" s="42" t="s">
        <v>608</v>
      </c>
      <c r="QQZ339" s="42" t="s">
        <v>608</v>
      </c>
      <c r="QRA339" s="42" t="s">
        <v>608</v>
      </c>
      <c r="QRB339" s="42" t="s">
        <v>608</v>
      </c>
      <c r="QRC339" s="42" t="s">
        <v>608</v>
      </c>
      <c r="QRD339" s="42" t="s">
        <v>608</v>
      </c>
      <c r="QRE339" s="42" t="s">
        <v>608</v>
      </c>
      <c r="QRF339" s="42" t="s">
        <v>608</v>
      </c>
      <c r="QRG339" s="42" t="s">
        <v>608</v>
      </c>
      <c r="QRH339" s="42" t="s">
        <v>608</v>
      </c>
      <c r="QRI339" s="42" t="s">
        <v>608</v>
      </c>
      <c r="QRJ339" s="42" t="s">
        <v>608</v>
      </c>
      <c r="QRK339" s="42" t="s">
        <v>608</v>
      </c>
      <c r="QRL339" s="42" t="s">
        <v>608</v>
      </c>
      <c r="QRM339" s="42" t="s">
        <v>608</v>
      </c>
      <c r="QRN339" s="42" t="s">
        <v>608</v>
      </c>
      <c r="QRO339" s="42" t="s">
        <v>608</v>
      </c>
      <c r="QRP339" s="42" t="s">
        <v>608</v>
      </c>
      <c r="QRQ339" s="42" t="s">
        <v>608</v>
      </c>
      <c r="QRR339" s="42" t="s">
        <v>608</v>
      </c>
      <c r="QRS339" s="42" t="s">
        <v>608</v>
      </c>
      <c r="QRT339" s="42" t="s">
        <v>608</v>
      </c>
      <c r="QRU339" s="42" t="s">
        <v>608</v>
      </c>
      <c r="QRV339" s="42" t="s">
        <v>608</v>
      </c>
      <c r="QRW339" s="42" t="s">
        <v>608</v>
      </c>
      <c r="QRX339" s="42" t="s">
        <v>608</v>
      </c>
      <c r="QRY339" s="42" t="s">
        <v>608</v>
      </c>
      <c r="QRZ339" s="42" t="s">
        <v>608</v>
      </c>
      <c r="QSA339" s="42" t="s">
        <v>608</v>
      </c>
      <c r="QSB339" s="42" t="s">
        <v>608</v>
      </c>
      <c r="QSC339" s="42" t="s">
        <v>608</v>
      </c>
      <c r="QSD339" s="42" t="s">
        <v>608</v>
      </c>
      <c r="QSE339" s="42" t="s">
        <v>608</v>
      </c>
      <c r="QSF339" s="42" t="s">
        <v>608</v>
      </c>
      <c r="QSG339" s="42" t="s">
        <v>608</v>
      </c>
      <c r="QSH339" s="42" t="s">
        <v>608</v>
      </c>
      <c r="QSI339" s="42" t="s">
        <v>608</v>
      </c>
      <c r="QSJ339" s="42" t="s">
        <v>608</v>
      </c>
      <c r="QSK339" s="42" t="s">
        <v>608</v>
      </c>
      <c r="QSL339" s="42" t="s">
        <v>608</v>
      </c>
      <c r="QSM339" s="42" t="s">
        <v>608</v>
      </c>
      <c r="QSN339" s="42" t="s">
        <v>608</v>
      </c>
      <c r="QSO339" s="42" t="s">
        <v>608</v>
      </c>
      <c r="QSP339" s="42" t="s">
        <v>608</v>
      </c>
      <c r="QSQ339" s="42" t="s">
        <v>608</v>
      </c>
      <c r="QSR339" s="42" t="s">
        <v>608</v>
      </c>
      <c r="QSS339" s="42" t="s">
        <v>608</v>
      </c>
      <c r="QST339" s="42" t="s">
        <v>608</v>
      </c>
      <c r="QSU339" s="42" t="s">
        <v>608</v>
      </c>
      <c r="QSV339" s="42" t="s">
        <v>608</v>
      </c>
      <c r="QSW339" s="42" t="s">
        <v>608</v>
      </c>
      <c r="QSX339" s="42" t="s">
        <v>608</v>
      </c>
      <c r="QSY339" s="42" t="s">
        <v>608</v>
      </c>
      <c r="QSZ339" s="42" t="s">
        <v>608</v>
      </c>
      <c r="QTA339" s="42" t="s">
        <v>608</v>
      </c>
      <c r="QTB339" s="42" t="s">
        <v>608</v>
      </c>
      <c r="QTC339" s="42" t="s">
        <v>608</v>
      </c>
      <c r="QTD339" s="42" t="s">
        <v>608</v>
      </c>
      <c r="QTE339" s="42" t="s">
        <v>608</v>
      </c>
      <c r="QTF339" s="42" t="s">
        <v>608</v>
      </c>
      <c r="QTG339" s="42" t="s">
        <v>608</v>
      </c>
      <c r="QTH339" s="42" t="s">
        <v>608</v>
      </c>
      <c r="QTI339" s="42" t="s">
        <v>608</v>
      </c>
      <c r="QTJ339" s="42" t="s">
        <v>608</v>
      </c>
      <c r="QTK339" s="42" t="s">
        <v>608</v>
      </c>
      <c r="QTL339" s="42" t="s">
        <v>608</v>
      </c>
      <c r="QTM339" s="42" t="s">
        <v>608</v>
      </c>
      <c r="QTN339" s="42" t="s">
        <v>608</v>
      </c>
      <c r="QTO339" s="42" t="s">
        <v>608</v>
      </c>
      <c r="QTP339" s="42" t="s">
        <v>608</v>
      </c>
      <c r="QTQ339" s="42" t="s">
        <v>608</v>
      </c>
      <c r="QTR339" s="42" t="s">
        <v>608</v>
      </c>
      <c r="QTS339" s="42" t="s">
        <v>608</v>
      </c>
      <c r="QTT339" s="42" t="s">
        <v>608</v>
      </c>
      <c r="QTU339" s="42" t="s">
        <v>608</v>
      </c>
      <c r="QTV339" s="42" t="s">
        <v>608</v>
      </c>
      <c r="QTW339" s="42" t="s">
        <v>608</v>
      </c>
      <c r="QTX339" s="42" t="s">
        <v>608</v>
      </c>
      <c r="QTY339" s="42" t="s">
        <v>608</v>
      </c>
      <c r="QTZ339" s="42" t="s">
        <v>608</v>
      </c>
      <c r="QUA339" s="42" t="s">
        <v>608</v>
      </c>
      <c r="QUB339" s="42" t="s">
        <v>608</v>
      </c>
      <c r="QUC339" s="42" t="s">
        <v>608</v>
      </c>
      <c r="QUD339" s="42" t="s">
        <v>608</v>
      </c>
      <c r="QUE339" s="42" t="s">
        <v>608</v>
      </c>
      <c r="QUF339" s="42" t="s">
        <v>608</v>
      </c>
      <c r="QUG339" s="42" t="s">
        <v>608</v>
      </c>
      <c r="QUH339" s="42" t="s">
        <v>608</v>
      </c>
      <c r="QUI339" s="42" t="s">
        <v>608</v>
      </c>
      <c r="QUJ339" s="42" t="s">
        <v>608</v>
      </c>
      <c r="QUK339" s="42" t="s">
        <v>608</v>
      </c>
      <c r="QUL339" s="42" t="s">
        <v>608</v>
      </c>
      <c r="QUM339" s="42" t="s">
        <v>608</v>
      </c>
      <c r="QUN339" s="42" t="s">
        <v>608</v>
      </c>
      <c r="QUO339" s="42" t="s">
        <v>608</v>
      </c>
      <c r="QUP339" s="42" t="s">
        <v>608</v>
      </c>
      <c r="QUQ339" s="42" t="s">
        <v>608</v>
      </c>
      <c r="QUR339" s="42" t="s">
        <v>608</v>
      </c>
      <c r="QUS339" s="42" t="s">
        <v>608</v>
      </c>
      <c r="QUT339" s="42" t="s">
        <v>608</v>
      </c>
      <c r="QUU339" s="42" t="s">
        <v>608</v>
      </c>
      <c r="QUV339" s="42" t="s">
        <v>608</v>
      </c>
      <c r="QUW339" s="42" t="s">
        <v>608</v>
      </c>
      <c r="QUX339" s="42" t="s">
        <v>608</v>
      </c>
      <c r="QUY339" s="42" t="s">
        <v>608</v>
      </c>
      <c r="QUZ339" s="42" t="s">
        <v>608</v>
      </c>
      <c r="QVA339" s="42" t="s">
        <v>608</v>
      </c>
      <c r="QVB339" s="42" t="s">
        <v>608</v>
      </c>
      <c r="QVC339" s="42" t="s">
        <v>608</v>
      </c>
      <c r="QVD339" s="42" t="s">
        <v>608</v>
      </c>
      <c r="QVE339" s="42" t="s">
        <v>608</v>
      </c>
      <c r="QVF339" s="42" t="s">
        <v>608</v>
      </c>
      <c r="QVG339" s="42" t="s">
        <v>608</v>
      </c>
      <c r="QVH339" s="42" t="s">
        <v>608</v>
      </c>
      <c r="QVI339" s="42" t="s">
        <v>608</v>
      </c>
      <c r="QVJ339" s="42" t="s">
        <v>608</v>
      </c>
      <c r="QVK339" s="42" t="s">
        <v>608</v>
      </c>
      <c r="QVL339" s="42" t="s">
        <v>608</v>
      </c>
      <c r="QVM339" s="42" t="s">
        <v>608</v>
      </c>
      <c r="QVN339" s="42" t="s">
        <v>608</v>
      </c>
      <c r="QVO339" s="42" t="s">
        <v>608</v>
      </c>
      <c r="QVP339" s="42" t="s">
        <v>608</v>
      </c>
      <c r="QVQ339" s="42" t="s">
        <v>608</v>
      </c>
      <c r="QVR339" s="42" t="s">
        <v>608</v>
      </c>
      <c r="QVS339" s="42" t="s">
        <v>608</v>
      </c>
      <c r="QVT339" s="42" t="s">
        <v>608</v>
      </c>
      <c r="QVU339" s="42" t="s">
        <v>608</v>
      </c>
      <c r="QVV339" s="42" t="s">
        <v>608</v>
      </c>
      <c r="QVW339" s="42" t="s">
        <v>608</v>
      </c>
      <c r="QVX339" s="42" t="s">
        <v>608</v>
      </c>
      <c r="QVY339" s="42" t="s">
        <v>608</v>
      </c>
      <c r="QVZ339" s="42" t="s">
        <v>608</v>
      </c>
      <c r="QWA339" s="42" t="s">
        <v>608</v>
      </c>
      <c r="QWB339" s="42" t="s">
        <v>608</v>
      </c>
      <c r="QWC339" s="42" t="s">
        <v>608</v>
      </c>
      <c r="QWD339" s="42" t="s">
        <v>608</v>
      </c>
      <c r="QWE339" s="42" t="s">
        <v>608</v>
      </c>
      <c r="QWF339" s="42" t="s">
        <v>608</v>
      </c>
      <c r="QWG339" s="42" t="s">
        <v>608</v>
      </c>
      <c r="QWH339" s="42" t="s">
        <v>608</v>
      </c>
      <c r="QWI339" s="42" t="s">
        <v>608</v>
      </c>
      <c r="QWJ339" s="42" t="s">
        <v>608</v>
      </c>
      <c r="QWK339" s="42" t="s">
        <v>608</v>
      </c>
      <c r="QWL339" s="42" t="s">
        <v>608</v>
      </c>
      <c r="QWM339" s="42" t="s">
        <v>608</v>
      </c>
      <c r="QWN339" s="42" t="s">
        <v>608</v>
      </c>
      <c r="QWO339" s="42" t="s">
        <v>608</v>
      </c>
      <c r="QWP339" s="42" t="s">
        <v>608</v>
      </c>
      <c r="QWQ339" s="42" t="s">
        <v>608</v>
      </c>
      <c r="QWR339" s="42" t="s">
        <v>608</v>
      </c>
      <c r="QWS339" s="42" t="s">
        <v>608</v>
      </c>
      <c r="QWT339" s="42" t="s">
        <v>608</v>
      </c>
      <c r="QWU339" s="42" t="s">
        <v>608</v>
      </c>
      <c r="QWV339" s="42" t="s">
        <v>608</v>
      </c>
      <c r="QWW339" s="42" t="s">
        <v>608</v>
      </c>
      <c r="QWX339" s="42" t="s">
        <v>608</v>
      </c>
      <c r="QWY339" s="42" t="s">
        <v>608</v>
      </c>
      <c r="QWZ339" s="42" t="s">
        <v>608</v>
      </c>
      <c r="QXA339" s="42" t="s">
        <v>608</v>
      </c>
      <c r="QXB339" s="42" t="s">
        <v>608</v>
      </c>
      <c r="QXC339" s="42" t="s">
        <v>608</v>
      </c>
      <c r="QXD339" s="42" t="s">
        <v>608</v>
      </c>
      <c r="QXE339" s="42" t="s">
        <v>608</v>
      </c>
      <c r="QXF339" s="42" t="s">
        <v>608</v>
      </c>
      <c r="QXG339" s="42" t="s">
        <v>608</v>
      </c>
      <c r="QXH339" s="42" t="s">
        <v>608</v>
      </c>
      <c r="QXI339" s="42" t="s">
        <v>608</v>
      </c>
      <c r="QXJ339" s="42" t="s">
        <v>608</v>
      </c>
      <c r="QXK339" s="42" t="s">
        <v>608</v>
      </c>
      <c r="QXL339" s="42" t="s">
        <v>608</v>
      </c>
      <c r="QXM339" s="42" t="s">
        <v>608</v>
      </c>
      <c r="QXN339" s="42" t="s">
        <v>608</v>
      </c>
      <c r="QXO339" s="42" t="s">
        <v>608</v>
      </c>
      <c r="QXP339" s="42" t="s">
        <v>608</v>
      </c>
      <c r="QXQ339" s="42" t="s">
        <v>608</v>
      </c>
      <c r="QXR339" s="42" t="s">
        <v>608</v>
      </c>
      <c r="QXS339" s="42" t="s">
        <v>608</v>
      </c>
      <c r="QXT339" s="42" t="s">
        <v>608</v>
      </c>
      <c r="QXU339" s="42" t="s">
        <v>608</v>
      </c>
      <c r="QXV339" s="42" t="s">
        <v>608</v>
      </c>
      <c r="QXW339" s="42" t="s">
        <v>608</v>
      </c>
      <c r="QXX339" s="42" t="s">
        <v>608</v>
      </c>
      <c r="QXY339" s="42" t="s">
        <v>608</v>
      </c>
      <c r="QXZ339" s="42" t="s">
        <v>608</v>
      </c>
      <c r="QYA339" s="42" t="s">
        <v>608</v>
      </c>
      <c r="QYB339" s="42" t="s">
        <v>608</v>
      </c>
      <c r="QYC339" s="42" t="s">
        <v>608</v>
      </c>
      <c r="QYD339" s="42" t="s">
        <v>608</v>
      </c>
      <c r="QYE339" s="42" t="s">
        <v>608</v>
      </c>
      <c r="QYF339" s="42" t="s">
        <v>608</v>
      </c>
      <c r="QYG339" s="42" t="s">
        <v>608</v>
      </c>
      <c r="QYH339" s="42" t="s">
        <v>608</v>
      </c>
      <c r="QYI339" s="42" t="s">
        <v>608</v>
      </c>
      <c r="QYJ339" s="42" t="s">
        <v>608</v>
      </c>
      <c r="QYK339" s="42" t="s">
        <v>608</v>
      </c>
      <c r="QYL339" s="42" t="s">
        <v>608</v>
      </c>
      <c r="QYM339" s="42" t="s">
        <v>608</v>
      </c>
      <c r="QYN339" s="42" t="s">
        <v>608</v>
      </c>
      <c r="QYO339" s="42" t="s">
        <v>608</v>
      </c>
      <c r="QYP339" s="42" t="s">
        <v>608</v>
      </c>
      <c r="QYQ339" s="42" t="s">
        <v>608</v>
      </c>
      <c r="QYR339" s="42" t="s">
        <v>608</v>
      </c>
      <c r="QYS339" s="42" t="s">
        <v>608</v>
      </c>
      <c r="QYT339" s="42" t="s">
        <v>608</v>
      </c>
      <c r="QYU339" s="42" t="s">
        <v>608</v>
      </c>
      <c r="QYV339" s="42" t="s">
        <v>608</v>
      </c>
      <c r="QYW339" s="42" t="s">
        <v>608</v>
      </c>
      <c r="QYX339" s="42" t="s">
        <v>608</v>
      </c>
      <c r="QYY339" s="42" t="s">
        <v>608</v>
      </c>
      <c r="QYZ339" s="42" t="s">
        <v>608</v>
      </c>
      <c r="QZA339" s="42" t="s">
        <v>608</v>
      </c>
      <c r="QZB339" s="42" t="s">
        <v>608</v>
      </c>
      <c r="QZC339" s="42" t="s">
        <v>608</v>
      </c>
      <c r="QZD339" s="42" t="s">
        <v>608</v>
      </c>
      <c r="QZE339" s="42" t="s">
        <v>608</v>
      </c>
      <c r="QZF339" s="42" t="s">
        <v>608</v>
      </c>
      <c r="QZG339" s="42" t="s">
        <v>608</v>
      </c>
      <c r="QZH339" s="42" t="s">
        <v>608</v>
      </c>
      <c r="QZI339" s="42" t="s">
        <v>608</v>
      </c>
      <c r="QZJ339" s="42" t="s">
        <v>608</v>
      </c>
      <c r="QZK339" s="42" t="s">
        <v>608</v>
      </c>
      <c r="QZL339" s="42" t="s">
        <v>608</v>
      </c>
      <c r="QZM339" s="42" t="s">
        <v>608</v>
      </c>
      <c r="QZN339" s="42" t="s">
        <v>608</v>
      </c>
      <c r="QZO339" s="42" t="s">
        <v>608</v>
      </c>
      <c r="QZP339" s="42" t="s">
        <v>608</v>
      </c>
      <c r="QZQ339" s="42" t="s">
        <v>608</v>
      </c>
      <c r="QZR339" s="42" t="s">
        <v>608</v>
      </c>
      <c r="QZS339" s="42" t="s">
        <v>608</v>
      </c>
      <c r="QZT339" s="42" t="s">
        <v>608</v>
      </c>
      <c r="QZU339" s="42" t="s">
        <v>608</v>
      </c>
      <c r="QZV339" s="42" t="s">
        <v>608</v>
      </c>
      <c r="QZW339" s="42" t="s">
        <v>608</v>
      </c>
      <c r="QZX339" s="42" t="s">
        <v>608</v>
      </c>
      <c r="QZY339" s="42" t="s">
        <v>608</v>
      </c>
      <c r="QZZ339" s="42" t="s">
        <v>608</v>
      </c>
      <c r="RAA339" s="42" t="s">
        <v>608</v>
      </c>
      <c r="RAB339" s="42" t="s">
        <v>608</v>
      </c>
      <c r="RAC339" s="42" t="s">
        <v>608</v>
      </c>
      <c r="RAD339" s="42" t="s">
        <v>608</v>
      </c>
      <c r="RAE339" s="42" t="s">
        <v>608</v>
      </c>
      <c r="RAF339" s="42" t="s">
        <v>608</v>
      </c>
      <c r="RAG339" s="42" t="s">
        <v>608</v>
      </c>
      <c r="RAH339" s="42" t="s">
        <v>608</v>
      </c>
      <c r="RAI339" s="42" t="s">
        <v>608</v>
      </c>
      <c r="RAJ339" s="42" t="s">
        <v>608</v>
      </c>
      <c r="RAK339" s="42" t="s">
        <v>608</v>
      </c>
      <c r="RAL339" s="42" t="s">
        <v>608</v>
      </c>
      <c r="RAM339" s="42" t="s">
        <v>608</v>
      </c>
      <c r="RAN339" s="42" t="s">
        <v>608</v>
      </c>
      <c r="RAO339" s="42" t="s">
        <v>608</v>
      </c>
      <c r="RAP339" s="42" t="s">
        <v>608</v>
      </c>
      <c r="RAQ339" s="42" t="s">
        <v>608</v>
      </c>
      <c r="RAR339" s="42" t="s">
        <v>608</v>
      </c>
      <c r="RAS339" s="42" t="s">
        <v>608</v>
      </c>
      <c r="RAT339" s="42" t="s">
        <v>608</v>
      </c>
      <c r="RAU339" s="42" t="s">
        <v>608</v>
      </c>
      <c r="RAV339" s="42" t="s">
        <v>608</v>
      </c>
      <c r="RAW339" s="42" t="s">
        <v>608</v>
      </c>
      <c r="RAX339" s="42" t="s">
        <v>608</v>
      </c>
      <c r="RAY339" s="42" t="s">
        <v>608</v>
      </c>
      <c r="RAZ339" s="42" t="s">
        <v>608</v>
      </c>
      <c r="RBA339" s="42" t="s">
        <v>608</v>
      </c>
      <c r="RBB339" s="42" t="s">
        <v>608</v>
      </c>
      <c r="RBC339" s="42" t="s">
        <v>608</v>
      </c>
      <c r="RBD339" s="42" t="s">
        <v>608</v>
      </c>
      <c r="RBE339" s="42" t="s">
        <v>608</v>
      </c>
      <c r="RBF339" s="42" t="s">
        <v>608</v>
      </c>
      <c r="RBG339" s="42" t="s">
        <v>608</v>
      </c>
      <c r="RBH339" s="42" t="s">
        <v>608</v>
      </c>
      <c r="RBI339" s="42" t="s">
        <v>608</v>
      </c>
      <c r="RBJ339" s="42" t="s">
        <v>608</v>
      </c>
      <c r="RBK339" s="42" t="s">
        <v>608</v>
      </c>
      <c r="RBL339" s="42" t="s">
        <v>608</v>
      </c>
      <c r="RBM339" s="42" t="s">
        <v>608</v>
      </c>
      <c r="RBN339" s="42" t="s">
        <v>608</v>
      </c>
      <c r="RBO339" s="42" t="s">
        <v>608</v>
      </c>
      <c r="RBP339" s="42" t="s">
        <v>608</v>
      </c>
      <c r="RBQ339" s="42" t="s">
        <v>608</v>
      </c>
      <c r="RBR339" s="42" t="s">
        <v>608</v>
      </c>
      <c r="RBS339" s="42" t="s">
        <v>608</v>
      </c>
      <c r="RBT339" s="42" t="s">
        <v>608</v>
      </c>
      <c r="RBU339" s="42" t="s">
        <v>608</v>
      </c>
      <c r="RBV339" s="42" t="s">
        <v>608</v>
      </c>
      <c r="RBW339" s="42" t="s">
        <v>608</v>
      </c>
      <c r="RBX339" s="42" t="s">
        <v>608</v>
      </c>
      <c r="RBY339" s="42" t="s">
        <v>608</v>
      </c>
      <c r="RBZ339" s="42" t="s">
        <v>608</v>
      </c>
      <c r="RCA339" s="42" t="s">
        <v>608</v>
      </c>
      <c r="RCB339" s="42" t="s">
        <v>608</v>
      </c>
      <c r="RCC339" s="42" t="s">
        <v>608</v>
      </c>
      <c r="RCD339" s="42" t="s">
        <v>608</v>
      </c>
      <c r="RCE339" s="42" t="s">
        <v>608</v>
      </c>
      <c r="RCF339" s="42" t="s">
        <v>608</v>
      </c>
      <c r="RCG339" s="42" t="s">
        <v>608</v>
      </c>
      <c r="RCH339" s="42" t="s">
        <v>608</v>
      </c>
      <c r="RCI339" s="42" t="s">
        <v>608</v>
      </c>
      <c r="RCJ339" s="42" t="s">
        <v>608</v>
      </c>
      <c r="RCK339" s="42" t="s">
        <v>608</v>
      </c>
      <c r="RCL339" s="42" t="s">
        <v>608</v>
      </c>
      <c r="RCM339" s="42" t="s">
        <v>608</v>
      </c>
      <c r="RCN339" s="42" t="s">
        <v>608</v>
      </c>
      <c r="RCO339" s="42" t="s">
        <v>608</v>
      </c>
      <c r="RCP339" s="42" t="s">
        <v>608</v>
      </c>
      <c r="RCQ339" s="42" t="s">
        <v>608</v>
      </c>
      <c r="RCR339" s="42" t="s">
        <v>608</v>
      </c>
      <c r="RCS339" s="42" t="s">
        <v>608</v>
      </c>
      <c r="RCT339" s="42" t="s">
        <v>608</v>
      </c>
      <c r="RCU339" s="42" t="s">
        <v>608</v>
      </c>
      <c r="RCV339" s="42" t="s">
        <v>608</v>
      </c>
      <c r="RCW339" s="42" t="s">
        <v>608</v>
      </c>
      <c r="RCX339" s="42" t="s">
        <v>608</v>
      </c>
      <c r="RCY339" s="42" t="s">
        <v>608</v>
      </c>
      <c r="RCZ339" s="42" t="s">
        <v>608</v>
      </c>
      <c r="RDA339" s="42" t="s">
        <v>608</v>
      </c>
      <c r="RDB339" s="42" t="s">
        <v>608</v>
      </c>
      <c r="RDC339" s="42" t="s">
        <v>608</v>
      </c>
      <c r="RDD339" s="42" t="s">
        <v>608</v>
      </c>
      <c r="RDE339" s="42" t="s">
        <v>608</v>
      </c>
      <c r="RDF339" s="42" t="s">
        <v>608</v>
      </c>
      <c r="RDG339" s="42" t="s">
        <v>608</v>
      </c>
      <c r="RDH339" s="42" t="s">
        <v>608</v>
      </c>
      <c r="RDI339" s="42" t="s">
        <v>608</v>
      </c>
      <c r="RDJ339" s="42" t="s">
        <v>608</v>
      </c>
      <c r="RDK339" s="42" t="s">
        <v>608</v>
      </c>
      <c r="RDL339" s="42" t="s">
        <v>608</v>
      </c>
      <c r="RDM339" s="42" t="s">
        <v>608</v>
      </c>
      <c r="RDN339" s="42" t="s">
        <v>608</v>
      </c>
      <c r="RDO339" s="42" t="s">
        <v>608</v>
      </c>
      <c r="RDP339" s="42" t="s">
        <v>608</v>
      </c>
      <c r="RDQ339" s="42" t="s">
        <v>608</v>
      </c>
      <c r="RDR339" s="42" t="s">
        <v>608</v>
      </c>
      <c r="RDS339" s="42" t="s">
        <v>608</v>
      </c>
      <c r="RDT339" s="42" t="s">
        <v>608</v>
      </c>
      <c r="RDU339" s="42" t="s">
        <v>608</v>
      </c>
      <c r="RDV339" s="42" t="s">
        <v>608</v>
      </c>
      <c r="RDW339" s="42" t="s">
        <v>608</v>
      </c>
      <c r="RDX339" s="42" t="s">
        <v>608</v>
      </c>
      <c r="RDY339" s="42" t="s">
        <v>608</v>
      </c>
      <c r="RDZ339" s="42" t="s">
        <v>608</v>
      </c>
      <c r="REA339" s="42" t="s">
        <v>608</v>
      </c>
      <c r="REB339" s="42" t="s">
        <v>608</v>
      </c>
      <c r="REC339" s="42" t="s">
        <v>608</v>
      </c>
      <c r="RED339" s="42" t="s">
        <v>608</v>
      </c>
      <c r="REE339" s="42" t="s">
        <v>608</v>
      </c>
      <c r="REF339" s="42" t="s">
        <v>608</v>
      </c>
      <c r="REG339" s="42" t="s">
        <v>608</v>
      </c>
      <c r="REH339" s="42" t="s">
        <v>608</v>
      </c>
      <c r="REI339" s="42" t="s">
        <v>608</v>
      </c>
      <c r="REJ339" s="42" t="s">
        <v>608</v>
      </c>
      <c r="REK339" s="42" t="s">
        <v>608</v>
      </c>
      <c r="REL339" s="42" t="s">
        <v>608</v>
      </c>
      <c r="REM339" s="42" t="s">
        <v>608</v>
      </c>
      <c r="REN339" s="42" t="s">
        <v>608</v>
      </c>
      <c r="REO339" s="42" t="s">
        <v>608</v>
      </c>
      <c r="REP339" s="42" t="s">
        <v>608</v>
      </c>
      <c r="REQ339" s="42" t="s">
        <v>608</v>
      </c>
      <c r="RER339" s="42" t="s">
        <v>608</v>
      </c>
      <c r="RES339" s="42" t="s">
        <v>608</v>
      </c>
      <c r="RET339" s="42" t="s">
        <v>608</v>
      </c>
      <c r="REU339" s="42" t="s">
        <v>608</v>
      </c>
      <c r="REV339" s="42" t="s">
        <v>608</v>
      </c>
      <c r="REW339" s="42" t="s">
        <v>608</v>
      </c>
      <c r="REX339" s="42" t="s">
        <v>608</v>
      </c>
      <c r="REY339" s="42" t="s">
        <v>608</v>
      </c>
      <c r="REZ339" s="42" t="s">
        <v>608</v>
      </c>
      <c r="RFA339" s="42" t="s">
        <v>608</v>
      </c>
      <c r="RFB339" s="42" t="s">
        <v>608</v>
      </c>
      <c r="RFC339" s="42" t="s">
        <v>608</v>
      </c>
      <c r="RFD339" s="42" t="s">
        <v>608</v>
      </c>
      <c r="RFE339" s="42" t="s">
        <v>608</v>
      </c>
      <c r="RFF339" s="42" t="s">
        <v>608</v>
      </c>
      <c r="RFG339" s="42" t="s">
        <v>608</v>
      </c>
      <c r="RFH339" s="42" t="s">
        <v>608</v>
      </c>
      <c r="RFI339" s="42" t="s">
        <v>608</v>
      </c>
      <c r="RFJ339" s="42" t="s">
        <v>608</v>
      </c>
      <c r="RFK339" s="42" t="s">
        <v>608</v>
      </c>
      <c r="RFL339" s="42" t="s">
        <v>608</v>
      </c>
      <c r="RFM339" s="42" t="s">
        <v>608</v>
      </c>
      <c r="RFN339" s="42" t="s">
        <v>608</v>
      </c>
      <c r="RFO339" s="42" t="s">
        <v>608</v>
      </c>
      <c r="RFP339" s="42" t="s">
        <v>608</v>
      </c>
      <c r="RFQ339" s="42" t="s">
        <v>608</v>
      </c>
      <c r="RFR339" s="42" t="s">
        <v>608</v>
      </c>
      <c r="RFS339" s="42" t="s">
        <v>608</v>
      </c>
      <c r="RFT339" s="42" t="s">
        <v>608</v>
      </c>
      <c r="RFU339" s="42" t="s">
        <v>608</v>
      </c>
      <c r="RFV339" s="42" t="s">
        <v>608</v>
      </c>
      <c r="RFW339" s="42" t="s">
        <v>608</v>
      </c>
      <c r="RFX339" s="42" t="s">
        <v>608</v>
      </c>
      <c r="RFY339" s="42" t="s">
        <v>608</v>
      </c>
      <c r="RFZ339" s="42" t="s">
        <v>608</v>
      </c>
      <c r="RGA339" s="42" t="s">
        <v>608</v>
      </c>
      <c r="RGB339" s="42" t="s">
        <v>608</v>
      </c>
      <c r="RGC339" s="42" t="s">
        <v>608</v>
      </c>
      <c r="RGD339" s="42" t="s">
        <v>608</v>
      </c>
      <c r="RGE339" s="42" t="s">
        <v>608</v>
      </c>
      <c r="RGF339" s="42" t="s">
        <v>608</v>
      </c>
      <c r="RGG339" s="42" t="s">
        <v>608</v>
      </c>
      <c r="RGH339" s="42" t="s">
        <v>608</v>
      </c>
      <c r="RGI339" s="42" t="s">
        <v>608</v>
      </c>
      <c r="RGJ339" s="42" t="s">
        <v>608</v>
      </c>
      <c r="RGK339" s="42" t="s">
        <v>608</v>
      </c>
      <c r="RGL339" s="42" t="s">
        <v>608</v>
      </c>
      <c r="RGM339" s="42" t="s">
        <v>608</v>
      </c>
      <c r="RGN339" s="42" t="s">
        <v>608</v>
      </c>
      <c r="RGO339" s="42" t="s">
        <v>608</v>
      </c>
      <c r="RGP339" s="42" t="s">
        <v>608</v>
      </c>
      <c r="RGQ339" s="42" t="s">
        <v>608</v>
      </c>
      <c r="RGR339" s="42" t="s">
        <v>608</v>
      </c>
      <c r="RGS339" s="42" t="s">
        <v>608</v>
      </c>
      <c r="RGT339" s="42" t="s">
        <v>608</v>
      </c>
      <c r="RGU339" s="42" t="s">
        <v>608</v>
      </c>
      <c r="RGV339" s="42" t="s">
        <v>608</v>
      </c>
      <c r="RGW339" s="42" t="s">
        <v>608</v>
      </c>
      <c r="RGX339" s="42" t="s">
        <v>608</v>
      </c>
      <c r="RGY339" s="42" t="s">
        <v>608</v>
      </c>
      <c r="RGZ339" s="42" t="s">
        <v>608</v>
      </c>
      <c r="RHA339" s="42" t="s">
        <v>608</v>
      </c>
      <c r="RHB339" s="42" t="s">
        <v>608</v>
      </c>
      <c r="RHC339" s="42" t="s">
        <v>608</v>
      </c>
      <c r="RHD339" s="42" t="s">
        <v>608</v>
      </c>
      <c r="RHE339" s="42" t="s">
        <v>608</v>
      </c>
      <c r="RHF339" s="42" t="s">
        <v>608</v>
      </c>
      <c r="RHG339" s="42" t="s">
        <v>608</v>
      </c>
      <c r="RHH339" s="42" t="s">
        <v>608</v>
      </c>
      <c r="RHI339" s="42" t="s">
        <v>608</v>
      </c>
      <c r="RHJ339" s="42" t="s">
        <v>608</v>
      </c>
      <c r="RHK339" s="42" t="s">
        <v>608</v>
      </c>
      <c r="RHL339" s="42" t="s">
        <v>608</v>
      </c>
      <c r="RHM339" s="42" t="s">
        <v>608</v>
      </c>
      <c r="RHN339" s="42" t="s">
        <v>608</v>
      </c>
      <c r="RHO339" s="42" t="s">
        <v>608</v>
      </c>
      <c r="RHP339" s="42" t="s">
        <v>608</v>
      </c>
      <c r="RHQ339" s="42" t="s">
        <v>608</v>
      </c>
      <c r="RHR339" s="42" t="s">
        <v>608</v>
      </c>
      <c r="RHS339" s="42" t="s">
        <v>608</v>
      </c>
      <c r="RHT339" s="42" t="s">
        <v>608</v>
      </c>
      <c r="RHU339" s="42" t="s">
        <v>608</v>
      </c>
      <c r="RHV339" s="42" t="s">
        <v>608</v>
      </c>
      <c r="RHW339" s="42" t="s">
        <v>608</v>
      </c>
      <c r="RHX339" s="42" t="s">
        <v>608</v>
      </c>
      <c r="RHY339" s="42" t="s">
        <v>608</v>
      </c>
      <c r="RHZ339" s="42" t="s">
        <v>608</v>
      </c>
      <c r="RIA339" s="42" t="s">
        <v>608</v>
      </c>
      <c r="RIB339" s="42" t="s">
        <v>608</v>
      </c>
      <c r="RIC339" s="42" t="s">
        <v>608</v>
      </c>
      <c r="RID339" s="42" t="s">
        <v>608</v>
      </c>
      <c r="RIE339" s="42" t="s">
        <v>608</v>
      </c>
      <c r="RIF339" s="42" t="s">
        <v>608</v>
      </c>
      <c r="RIG339" s="42" t="s">
        <v>608</v>
      </c>
      <c r="RIH339" s="42" t="s">
        <v>608</v>
      </c>
      <c r="RII339" s="42" t="s">
        <v>608</v>
      </c>
      <c r="RIJ339" s="42" t="s">
        <v>608</v>
      </c>
      <c r="RIK339" s="42" t="s">
        <v>608</v>
      </c>
      <c r="RIL339" s="42" t="s">
        <v>608</v>
      </c>
      <c r="RIM339" s="42" t="s">
        <v>608</v>
      </c>
      <c r="RIN339" s="42" t="s">
        <v>608</v>
      </c>
      <c r="RIO339" s="42" t="s">
        <v>608</v>
      </c>
      <c r="RIP339" s="42" t="s">
        <v>608</v>
      </c>
      <c r="RIQ339" s="42" t="s">
        <v>608</v>
      </c>
      <c r="RIR339" s="42" t="s">
        <v>608</v>
      </c>
      <c r="RIS339" s="42" t="s">
        <v>608</v>
      </c>
      <c r="RIT339" s="42" t="s">
        <v>608</v>
      </c>
      <c r="RIU339" s="42" t="s">
        <v>608</v>
      </c>
      <c r="RIV339" s="42" t="s">
        <v>608</v>
      </c>
      <c r="RIW339" s="42" t="s">
        <v>608</v>
      </c>
      <c r="RIX339" s="42" t="s">
        <v>608</v>
      </c>
      <c r="RIY339" s="42" t="s">
        <v>608</v>
      </c>
      <c r="RIZ339" s="42" t="s">
        <v>608</v>
      </c>
      <c r="RJA339" s="42" t="s">
        <v>608</v>
      </c>
      <c r="RJB339" s="42" t="s">
        <v>608</v>
      </c>
      <c r="RJC339" s="42" t="s">
        <v>608</v>
      </c>
      <c r="RJD339" s="42" t="s">
        <v>608</v>
      </c>
      <c r="RJE339" s="42" t="s">
        <v>608</v>
      </c>
      <c r="RJF339" s="42" t="s">
        <v>608</v>
      </c>
      <c r="RJG339" s="42" t="s">
        <v>608</v>
      </c>
      <c r="RJH339" s="42" t="s">
        <v>608</v>
      </c>
      <c r="RJI339" s="42" t="s">
        <v>608</v>
      </c>
      <c r="RJJ339" s="42" t="s">
        <v>608</v>
      </c>
      <c r="RJK339" s="42" t="s">
        <v>608</v>
      </c>
      <c r="RJL339" s="42" t="s">
        <v>608</v>
      </c>
      <c r="RJM339" s="42" t="s">
        <v>608</v>
      </c>
      <c r="RJN339" s="42" t="s">
        <v>608</v>
      </c>
      <c r="RJO339" s="42" t="s">
        <v>608</v>
      </c>
      <c r="RJP339" s="42" t="s">
        <v>608</v>
      </c>
      <c r="RJQ339" s="42" t="s">
        <v>608</v>
      </c>
      <c r="RJR339" s="42" t="s">
        <v>608</v>
      </c>
      <c r="RJS339" s="42" t="s">
        <v>608</v>
      </c>
      <c r="RJT339" s="42" t="s">
        <v>608</v>
      </c>
      <c r="RJU339" s="42" t="s">
        <v>608</v>
      </c>
      <c r="RJV339" s="42" t="s">
        <v>608</v>
      </c>
      <c r="RJW339" s="42" t="s">
        <v>608</v>
      </c>
      <c r="RJX339" s="42" t="s">
        <v>608</v>
      </c>
      <c r="RJY339" s="42" t="s">
        <v>608</v>
      </c>
      <c r="RJZ339" s="42" t="s">
        <v>608</v>
      </c>
      <c r="RKA339" s="42" t="s">
        <v>608</v>
      </c>
      <c r="RKB339" s="42" t="s">
        <v>608</v>
      </c>
      <c r="RKC339" s="42" t="s">
        <v>608</v>
      </c>
      <c r="RKD339" s="42" t="s">
        <v>608</v>
      </c>
      <c r="RKE339" s="42" t="s">
        <v>608</v>
      </c>
      <c r="RKF339" s="42" t="s">
        <v>608</v>
      </c>
      <c r="RKG339" s="42" t="s">
        <v>608</v>
      </c>
      <c r="RKH339" s="42" t="s">
        <v>608</v>
      </c>
      <c r="RKI339" s="42" t="s">
        <v>608</v>
      </c>
      <c r="RKJ339" s="42" t="s">
        <v>608</v>
      </c>
      <c r="RKK339" s="42" t="s">
        <v>608</v>
      </c>
      <c r="RKL339" s="42" t="s">
        <v>608</v>
      </c>
      <c r="RKM339" s="42" t="s">
        <v>608</v>
      </c>
      <c r="RKN339" s="42" t="s">
        <v>608</v>
      </c>
      <c r="RKO339" s="42" t="s">
        <v>608</v>
      </c>
      <c r="RKP339" s="42" t="s">
        <v>608</v>
      </c>
      <c r="RKQ339" s="42" t="s">
        <v>608</v>
      </c>
      <c r="RKR339" s="42" t="s">
        <v>608</v>
      </c>
      <c r="RKS339" s="42" t="s">
        <v>608</v>
      </c>
      <c r="RKT339" s="42" t="s">
        <v>608</v>
      </c>
      <c r="RKU339" s="42" t="s">
        <v>608</v>
      </c>
      <c r="RKV339" s="42" t="s">
        <v>608</v>
      </c>
      <c r="RKW339" s="42" t="s">
        <v>608</v>
      </c>
      <c r="RKX339" s="42" t="s">
        <v>608</v>
      </c>
      <c r="RKY339" s="42" t="s">
        <v>608</v>
      </c>
      <c r="RKZ339" s="42" t="s">
        <v>608</v>
      </c>
      <c r="RLA339" s="42" t="s">
        <v>608</v>
      </c>
      <c r="RLB339" s="42" t="s">
        <v>608</v>
      </c>
      <c r="RLC339" s="42" t="s">
        <v>608</v>
      </c>
      <c r="RLD339" s="42" t="s">
        <v>608</v>
      </c>
      <c r="RLE339" s="42" t="s">
        <v>608</v>
      </c>
      <c r="RLF339" s="42" t="s">
        <v>608</v>
      </c>
      <c r="RLG339" s="42" t="s">
        <v>608</v>
      </c>
      <c r="RLH339" s="42" t="s">
        <v>608</v>
      </c>
      <c r="RLI339" s="42" t="s">
        <v>608</v>
      </c>
      <c r="RLJ339" s="42" t="s">
        <v>608</v>
      </c>
      <c r="RLK339" s="42" t="s">
        <v>608</v>
      </c>
      <c r="RLL339" s="42" t="s">
        <v>608</v>
      </c>
      <c r="RLM339" s="42" t="s">
        <v>608</v>
      </c>
      <c r="RLN339" s="42" t="s">
        <v>608</v>
      </c>
      <c r="RLO339" s="42" t="s">
        <v>608</v>
      </c>
      <c r="RLP339" s="42" t="s">
        <v>608</v>
      </c>
      <c r="RLQ339" s="42" t="s">
        <v>608</v>
      </c>
      <c r="RLR339" s="42" t="s">
        <v>608</v>
      </c>
      <c r="RLS339" s="42" t="s">
        <v>608</v>
      </c>
      <c r="RLT339" s="42" t="s">
        <v>608</v>
      </c>
      <c r="RLU339" s="42" t="s">
        <v>608</v>
      </c>
      <c r="RLV339" s="42" t="s">
        <v>608</v>
      </c>
      <c r="RLW339" s="42" t="s">
        <v>608</v>
      </c>
      <c r="RLX339" s="42" t="s">
        <v>608</v>
      </c>
      <c r="RLY339" s="42" t="s">
        <v>608</v>
      </c>
      <c r="RLZ339" s="42" t="s">
        <v>608</v>
      </c>
      <c r="RMA339" s="42" t="s">
        <v>608</v>
      </c>
      <c r="RMB339" s="42" t="s">
        <v>608</v>
      </c>
      <c r="RMC339" s="42" t="s">
        <v>608</v>
      </c>
      <c r="RMD339" s="42" t="s">
        <v>608</v>
      </c>
      <c r="RME339" s="42" t="s">
        <v>608</v>
      </c>
      <c r="RMF339" s="42" t="s">
        <v>608</v>
      </c>
      <c r="RMG339" s="42" t="s">
        <v>608</v>
      </c>
      <c r="RMH339" s="42" t="s">
        <v>608</v>
      </c>
      <c r="RMI339" s="42" t="s">
        <v>608</v>
      </c>
      <c r="RMJ339" s="42" t="s">
        <v>608</v>
      </c>
      <c r="RMK339" s="42" t="s">
        <v>608</v>
      </c>
      <c r="RML339" s="42" t="s">
        <v>608</v>
      </c>
      <c r="RMM339" s="42" t="s">
        <v>608</v>
      </c>
      <c r="RMN339" s="42" t="s">
        <v>608</v>
      </c>
      <c r="RMO339" s="42" t="s">
        <v>608</v>
      </c>
      <c r="RMP339" s="42" t="s">
        <v>608</v>
      </c>
      <c r="RMQ339" s="42" t="s">
        <v>608</v>
      </c>
      <c r="RMR339" s="42" t="s">
        <v>608</v>
      </c>
      <c r="RMS339" s="42" t="s">
        <v>608</v>
      </c>
      <c r="RMT339" s="42" t="s">
        <v>608</v>
      </c>
      <c r="RMU339" s="42" t="s">
        <v>608</v>
      </c>
      <c r="RMV339" s="42" t="s">
        <v>608</v>
      </c>
      <c r="RMW339" s="42" t="s">
        <v>608</v>
      </c>
      <c r="RMX339" s="42" t="s">
        <v>608</v>
      </c>
      <c r="RMY339" s="42" t="s">
        <v>608</v>
      </c>
      <c r="RMZ339" s="42" t="s">
        <v>608</v>
      </c>
      <c r="RNA339" s="42" t="s">
        <v>608</v>
      </c>
      <c r="RNB339" s="42" t="s">
        <v>608</v>
      </c>
      <c r="RNC339" s="42" t="s">
        <v>608</v>
      </c>
      <c r="RND339" s="42" t="s">
        <v>608</v>
      </c>
      <c r="RNE339" s="42" t="s">
        <v>608</v>
      </c>
      <c r="RNF339" s="42" t="s">
        <v>608</v>
      </c>
      <c r="RNG339" s="42" t="s">
        <v>608</v>
      </c>
      <c r="RNH339" s="42" t="s">
        <v>608</v>
      </c>
      <c r="RNI339" s="42" t="s">
        <v>608</v>
      </c>
      <c r="RNJ339" s="42" t="s">
        <v>608</v>
      </c>
      <c r="RNK339" s="42" t="s">
        <v>608</v>
      </c>
      <c r="RNL339" s="42" t="s">
        <v>608</v>
      </c>
      <c r="RNM339" s="42" t="s">
        <v>608</v>
      </c>
      <c r="RNN339" s="42" t="s">
        <v>608</v>
      </c>
      <c r="RNO339" s="42" t="s">
        <v>608</v>
      </c>
      <c r="RNP339" s="42" t="s">
        <v>608</v>
      </c>
      <c r="RNQ339" s="42" t="s">
        <v>608</v>
      </c>
      <c r="RNR339" s="42" t="s">
        <v>608</v>
      </c>
      <c r="RNS339" s="42" t="s">
        <v>608</v>
      </c>
      <c r="RNT339" s="42" t="s">
        <v>608</v>
      </c>
      <c r="RNU339" s="42" t="s">
        <v>608</v>
      </c>
      <c r="RNV339" s="42" t="s">
        <v>608</v>
      </c>
      <c r="RNW339" s="42" t="s">
        <v>608</v>
      </c>
      <c r="RNX339" s="42" t="s">
        <v>608</v>
      </c>
      <c r="RNY339" s="42" t="s">
        <v>608</v>
      </c>
      <c r="RNZ339" s="42" t="s">
        <v>608</v>
      </c>
      <c r="ROA339" s="42" t="s">
        <v>608</v>
      </c>
      <c r="ROB339" s="42" t="s">
        <v>608</v>
      </c>
      <c r="ROC339" s="42" t="s">
        <v>608</v>
      </c>
      <c r="ROD339" s="42" t="s">
        <v>608</v>
      </c>
      <c r="ROE339" s="42" t="s">
        <v>608</v>
      </c>
      <c r="ROF339" s="42" t="s">
        <v>608</v>
      </c>
      <c r="ROG339" s="42" t="s">
        <v>608</v>
      </c>
      <c r="ROH339" s="42" t="s">
        <v>608</v>
      </c>
      <c r="ROI339" s="42" t="s">
        <v>608</v>
      </c>
      <c r="ROJ339" s="42" t="s">
        <v>608</v>
      </c>
      <c r="ROK339" s="42" t="s">
        <v>608</v>
      </c>
      <c r="ROL339" s="42" t="s">
        <v>608</v>
      </c>
      <c r="ROM339" s="42" t="s">
        <v>608</v>
      </c>
      <c r="RON339" s="42" t="s">
        <v>608</v>
      </c>
      <c r="ROO339" s="42" t="s">
        <v>608</v>
      </c>
      <c r="ROP339" s="42" t="s">
        <v>608</v>
      </c>
      <c r="ROQ339" s="42" t="s">
        <v>608</v>
      </c>
      <c r="ROR339" s="42" t="s">
        <v>608</v>
      </c>
      <c r="ROS339" s="42" t="s">
        <v>608</v>
      </c>
      <c r="ROT339" s="42" t="s">
        <v>608</v>
      </c>
      <c r="ROU339" s="42" t="s">
        <v>608</v>
      </c>
      <c r="ROV339" s="42" t="s">
        <v>608</v>
      </c>
      <c r="ROW339" s="42" t="s">
        <v>608</v>
      </c>
      <c r="ROX339" s="42" t="s">
        <v>608</v>
      </c>
      <c r="ROY339" s="42" t="s">
        <v>608</v>
      </c>
      <c r="ROZ339" s="42" t="s">
        <v>608</v>
      </c>
      <c r="RPA339" s="42" t="s">
        <v>608</v>
      </c>
      <c r="RPB339" s="42" t="s">
        <v>608</v>
      </c>
      <c r="RPC339" s="42" t="s">
        <v>608</v>
      </c>
      <c r="RPD339" s="42" t="s">
        <v>608</v>
      </c>
      <c r="RPE339" s="42" t="s">
        <v>608</v>
      </c>
      <c r="RPF339" s="42" t="s">
        <v>608</v>
      </c>
      <c r="RPG339" s="42" t="s">
        <v>608</v>
      </c>
      <c r="RPH339" s="42" t="s">
        <v>608</v>
      </c>
      <c r="RPI339" s="42" t="s">
        <v>608</v>
      </c>
      <c r="RPJ339" s="42" t="s">
        <v>608</v>
      </c>
      <c r="RPK339" s="42" t="s">
        <v>608</v>
      </c>
      <c r="RPL339" s="42" t="s">
        <v>608</v>
      </c>
      <c r="RPM339" s="42" t="s">
        <v>608</v>
      </c>
      <c r="RPN339" s="42" t="s">
        <v>608</v>
      </c>
      <c r="RPO339" s="42" t="s">
        <v>608</v>
      </c>
      <c r="RPP339" s="42" t="s">
        <v>608</v>
      </c>
      <c r="RPQ339" s="42" t="s">
        <v>608</v>
      </c>
      <c r="RPR339" s="42" t="s">
        <v>608</v>
      </c>
      <c r="RPS339" s="42" t="s">
        <v>608</v>
      </c>
      <c r="RPT339" s="42" t="s">
        <v>608</v>
      </c>
      <c r="RPU339" s="42" t="s">
        <v>608</v>
      </c>
      <c r="RPV339" s="42" t="s">
        <v>608</v>
      </c>
      <c r="RPW339" s="42" t="s">
        <v>608</v>
      </c>
      <c r="RPX339" s="42" t="s">
        <v>608</v>
      </c>
      <c r="RPY339" s="42" t="s">
        <v>608</v>
      </c>
      <c r="RPZ339" s="42" t="s">
        <v>608</v>
      </c>
      <c r="RQA339" s="42" t="s">
        <v>608</v>
      </c>
      <c r="RQB339" s="42" t="s">
        <v>608</v>
      </c>
      <c r="RQC339" s="42" t="s">
        <v>608</v>
      </c>
      <c r="RQD339" s="42" t="s">
        <v>608</v>
      </c>
      <c r="RQE339" s="42" t="s">
        <v>608</v>
      </c>
      <c r="RQF339" s="42" t="s">
        <v>608</v>
      </c>
      <c r="RQG339" s="42" t="s">
        <v>608</v>
      </c>
      <c r="RQH339" s="42" t="s">
        <v>608</v>
      </c>
      <c r="RQI339" s="42" t="s">
        <v>608</v>
      </c>
      <c r="RQJ339" s="42" t="s">
        <v>608</v>
      </c>
      <c r="RQK339" s="42" t="s">
        <v>608</v>
      </c>
      <c r="RQL339" s="42" t="s">
        <v>608</v>
      </c>
      <c r="RQM339" s="42" t="s">
        <v>608</v>
      </c>
      <c r="RQN339" s="42" t="s">
        <v>608</v>
      </c>
      <c r="RQO339" s="42" t="s">
        <v>608</v>
      </c>
      <c r="RQP339" s="42" t="s">
        <v>608</v>
      </c>
      <c r="RQQ339" s="42" t="s">
        <v>608</v>
      </c>
      <c r="RQR339" s="42" t="s">
        <v>608</v>
      </c>
      <c r="RQS339" s="42" t="s">
        <v>608</v>
      </c>
      <c r="RQT339" s="42" t="s">
        <v>608</v>
      </c>
      <c r="RQU339" s="42" t="s">
        <v>608</v>
      </c>
      <c r="RQV339" s="42" t="s">
        <v>608</v>
      </c>
      <c r="RQW339" s="42" t="s">
        <v>608</v>
      </c>
      <c r="RQX339" s="42" t="s">
        <v>608</v>
      </c>
      <c r="RQY339" s="42" t="s">
        <v>608</v>
      </c>
      <c r="RQZ339" s="42" t="s">
        <v>608</v>
      </c>
      <c r="RRA339" s="42" t="s">
        <v>608</v>
      </c>
      <c r="RRB339" s="42" t="s">
        <v>608</v>
      </c>
      <c r="RRC339" s="42" t="s">
        <v>608</v>
      </c>
      <c r="RRD339" s="42" t="s">
        <v>608</v>
      </c>
      <c r="RRE339" s="42" t="s">
        <v>608</v>
      </c>
      <c r="RRF339" s="42" t="s">
        <v>608</v>
      </c>
      <c r="RRG339" s="42" t="s">
        <v>608</v>
      </c>
      <c r="RRH339" s="42" t="s">
        <v>608</v>
      </c>
      <c r="RRI339" s="42" t="s">
        <v>608</v>
      </c>
      <c r="RRJ339" s="42" t="s">
        <v>608</v>
      </c>
      <c r="RRK339" s="42" t="s">
        <v>608</v>
      </c>
      <c r="RRL339" s="42" t="s">
        <v>608</v>
      </c>
      <c r="RRM339" s="42" t="s">
        <v>608</v>
      </c>
      <c r="RRN339" s="42" t="s">
        <v>608</v>
      </c>
      <c r="RRO339" s="42" t="s">
        <v>608</v>
      </c>
      <c r="RRP339" s="42" t="s">
        <v>608</v>
      </c>
      <c r="RRQ339" s="42" t="s">
        <v>608</v>
      </c>
      <c r="RRR339" s="42" t="s">
        <v>608</v>
      </c>
      <c r="RRS339" s="42" t="s">
        <v>608</v>
      </c>
      <c r="RRT339" s="42" t="s">
        <v>608</v>
      </c>
      <c r="RRU339" s="42" t="s">
        <v>608</v>
      </c>
      <c r="RRV339" s="42" t="s">
        <v>608</v>
      </c>
      <c r="RRW339" s="42" t="s">
        <v>608</v>
      </c>
      <c r="RRX339" s="42" t="s">
        <v>608</v>
      </c>
      <c r="RRY339" s="42" t="s">
        <v>608</v>
      </c>
      <c r="RRZ339" s="42" t="s">
        <v>608</v>
      </c>
      <c r="RSA339" s="42" t="s">
        <v>608</v>
      </c>
      <c r="RSB339" s="42" t="s">
        <v>608</v>
      </c>
      <c r="RSC339" s="42" t="s">
        <v>608</v>
      </c>
      <c r="RSD339" s="42" t="s">
        <v>608</v>
      </c>
      <c r="RSE339" s="42" t="s">
        <v>608</v>
      </c>
      <c r="RSF339" s="42" t="s">
        <v>608</v>
      </c>
      <c r="RSG339" s="42" t="s">
        <v>608</v>
      </c>
      <c r="RSH339" s="42" t="s">
        <v>608</v>
      </c>
      <c r="RSI339" s="42" t="s">
        <v>608</v>
      </c>
      <c r="RSJ339" s="42" t="s">
        <v>608</v>
      </c>
      <c r="RSK339" s="42" t="s">
        <v>608</v>
      </c>
      <c r="RSL339" s="42" t="s">
        <v>608</v>
      </c>
      <c r="RSM339" s="42" t="s">
        <v>608</v>
      </c>
      <c r="RSN339" s="42" t="s">
        <v>608</v>
      </c>
      <c r="RSO339" s="42" t="s">
        <v>608</v>
      </c>
      <c r="RSP339" s="42" t="s">
        <v>608</v>
      </c>
      <c r="RSQ339" s="42" t="s">
        <v>608</v>
      </c>
      <c r="RSR339" s="42" t="s">
        <v>608</v>
      </c>
      <c r="RSS339" s="42" t="s">
        <v>608</v>
      </c>
      <c r="RST339" s="42" t="s">
        <v>608</v>
      </c>
      <c r="RSU339" s="42" t="s">
        <v>608</v>
      </c>
      <c r="RSV339" s="42" t="s">
        <v>608</v>
      </c>
      <c r="RSW339" s="42" t="s">
        <v>608</v>
      </c>
      <c r="RSX339" s="42" t="s">
        <v>608</v>
      </c>
      <c r="RSY339" s="42" t="s">
        <v>608</v>
      </c>
      <c r="RSZ339" s="42" t="s">
        <v>608</v>
      </c>
      <c r="RTA339" s="42" t="s">
        <v>608</v>
      </c>
      <c r="RTB339" s="42" t="s">
        <v>608</v>
      </c>
      <c r="RTC339" s="42" t="s">
        <v>608</v>
      </c>
      <c r="RTD339" s="42" t="s">
        <v>608</v>
      </c>
      <c r="RTE339" s="42" t="s">
        <v>608</v>
      </c>
      <c r="RTF339" s="42" t="s">
        <v>608</v>
      </c>
      <c r="RTG339" s="42" t="s">
        <v>608</v>
      </c>
      <c r="RTH339" s="42" t="s">
        <v>608</v>
      </c>
      <c r="RTI339" s="42" t="s">
        <v>608</v>
      </c>
      <c r="RTJ339" s="42" t="s">
        <v>608</v>
      </c>
      <c r="RTK339" s="42" t="s">
        <v>608</v>
      </c>
      <c r="RTL339" s="42" t="s">
        <v>608</v>
      </c>
      <c r="RTM339" s="42" t="s">
        <v>608</v>
      </c>
      <c r="RTN339" s="42" t="s">
        <v>608</v>
      </c>
      <c r="RTO339" s="42" t="s">
        <v>608</v>
      </c>
      <c r="RTP339" s="42" t="s">
        <v>608</v>
      </c>
      <c r="RTQ339" s="42" t="s">
        <v>608</v>
      </c>
      <c r="RTR339" s="42" t="s">
        <v>608</v>
      </c>
      <c r="RTS339" s="42" t="s">
        <v>608</v>
      </c>
      <c r="RTT339" s="42" t="s">
        <v>608</v>
      </c>
      <c r="RTU339" s="42" t="s">
        <v>608</v>
      </c>
      <c r="RTV339" s="42" t="s">
        <v>608</v>
      </c>
      <c r="RTW339" s="42" t="s">
        <v>608</v>
      </c>
      <c r="RTX339" s="42" t="s">
        <v>608</v>
      </c>
      <c r="RTY339" s="42" t="s">
        <v>608</v>
      </c>
      <c r="RTZ339" s="42" t="s">
        <v>608</v>
      </c>
      <c r="RUA339" s="42" t="s">
        <v>608</v>
      </c>
      <c r="RUB339" s="42" t="s">
        <v>608</v>
      </c>
      <c r="RUC339" s="42" t="s">
        <v>608</v>
      </c>
      <c r="RUD339" s="42" t="s">
        <v>608</v>
      </c>
      <c r="RUE339" s="42" t="s">
        <v>608</v>
      </c>
      <c r="RUF339" s="42" t="s">
        <v>608</v>
      </c>
      <c r="RUG339" s="42" t="s">
        <v>608</v>
      </c>
      <c r="RUH339" s="42" t="s">
        <v>608</v>
      </c>
      <c r="RUI339" s="42" t="s">
        <v>608</v>
      </c>
      <c r="RUJ339" s="42" t="s">
        <v>608</v>
      </c>
      <c r="RUK339" s="42" t="s">
        <v>608</v>
      </c>
      <c r="RUL339" s="42" t="s">
        <v>608</v>
      </c>
      <c r="RUM339" s="42" t="s">
        <v>608</v>
      </c>
      <c r="RUN339" s="42" t="s">
        <v>608</v>
      </c>
      <c r="RUO339" s="42" t="s">
        <v>608</v>
      </c>
      <c r="RUP339" s="42" t="s">
        <v>608</v>
      </c>
      <c r="RUQ339" s="42" t="s">
        <v>608</v>
      </c>
      <c r="RUR339" s="42" t="s">
        <v>608</v>
      </c>
      <c r="RUS339" s="42" t="s">
        <v>608</v>
      </c>
      <c r="RUT339" s="42" t="s">
        <v>608</v>
      </c>
      <c r="RUU339" s="42" t="s">
        <v>608</v>
      </c>
      <c r="RUV339" s="42" t="s">
        <v>608</v>
      </c>
      <c r="RUW339" s="42" t="s">
        <v>608</v>
      </c>
      <c r="RUX339" s="42" t="s">
        <v>608</v>
      </c>
      <c r="RUY339" s="42" t="s">
        <v>608</v>
      </c>
      <c r="RUZ339" s="42" t="s">
        <v>608</v>
      </c>
      <c r="RVA339" s="42" t="s">
        <v>608</v>
      </c>
      <c r="RVB339" s="42" t="s">
        <v>608</v>
      </c>
      <c r="RVC339" s="42" t="s">
        <v>608</v>
      </c>
      <c r="RVD339" s="42" t="s">
        <v>608</v>
      </c>
      <c r="RVE339" s="42" t="s">
        <v>608</v>
      </c>
      <c r="RVF339" s="42" t="s">
        <v>608</v>
      </c>
      <c r="RVG339" s="42" t="s">
        <v>608</v>
      </c>
      <c r="RVH339" s="42" t="s">
        <v>608</v>
      </c>
      <c r="RVI339" s="42" t="s">
        <v>608</v>
      </c>
      <c r="RVJ339" s="42" t="s">
        <v>608</v>
      </c>
      <c r="RVK339" s="42" t="s">
        <v>608</v>
      </c>
      <c r="RVL339" s="42" t="s">
        <v>608</v>
      </c>
      <c r="RVM339" s="42" t="s">
        <v>608</v>
      </c>
      <c r="RVN339" s="42" t="s">
        <v>608</v>
      </c>
      <c r="RVO339" s="42" t="s">
        <v>608</v>
      </c>
      <c r="RVP339" s="42" t="s">
        <v>608</v>
      </c>
      <c r="RVQ339" s="42" t="s">
        <v>608</v>
      </c>
      <c r="RVR339" s="42" t="s">
        <v>608</v>
      </c>
      <c r="RVS339" s="42" t="s">
        <v>608</v>
      </c>
      <c r="RVT339" s="42" t="s">
        <v>608</v>
      </c>
      <c r="RVU339" s="42" t="s">
        <v>608</v>
      </c>
      <c r="RVV339" s="42" t="s">
        <v>608</v>
      </c>
      <c r="RVW339" s="42" t="s">
        <v>608</v>
      </c>
      <c r="RVX339" s="42" t="s">
        <v>608</v>
      </c>
      <c r="RVY339" s="42" t="s">
        <v>608</v>
      </c>
      <c r="RVZ339" s="42" t="s">
        <v>608</v>
      </c>
      <c r="RWA339" s="42" t="s">
        <v>608</v>
      </c>
      <c r="RWB339" s="42" t="s">
        <v>608</v>
      </c>
      <c r="RWC339" s="42" t="s">
        <v>608</v>
      </c>
      <c r="RWD339" s="42" t="s">
        <v>608</v>
      </c>
      <c r="RWE339" s="42" t="s">
        <v>608</v>
      </c>
      <c r="RWF339" s="42" t="s">
        <v>608</v>
      </c>
      <c r="RWG339" s="42" t="s">
        <v>608</v>
      </c>
      <c r="RWH339" s="42" t="s">
        <v>608</v>
      </c>
      <c r="RWI339" s="42" t="s">
        <v>608</v>
      </c>
      <c r="RWJ339" s="42" t="s">
        <v>608</v>
      </c>
      <c r="RWK339" s="42" t="s">
        <v>608</v>
      </c>
      <c r="RWL339" s="42" t="s">
        <v>608</v>
      </c>
      <c r="RWM339" s="42" t="s">
        <v>608</v>
      </c>
      <c r="RWN339" s="42" t="s">
        <v>608</v>
      </c>
      <c r="RWO339" s="42" t="s">
        <v>608</v>
      </c>
      <c r="RWP339" s="42" t="s">
        <v>608</v>
      </c>
      <c r="RWQ339" s="42" t="s">
        <v>608</v>
      </c>
      <c r="RWR339" s="42" t="s">
        <v>608</v>
      </c>
      <c r="RWS339" s="42" t="s">
        <v>608</v>
      </c>
      <c r="RWT339" s="42" t="s">
        <v>608</v>
      </c>
      <c r="RWU339" s="42" t="s">
        <v>608</v>
      </c>
      <c r="RWV339" s="42" t="s">
        <v>608</v>
      </c>
      <c r="RWW339" s="42" t="s">
        <v>608</v>
      </c>
      <c r="RWX339" s="42" t="s">
        <v>608</v>
      </c>
      <c r="RWY339" s="42" t="s">
        <v>608</v>
      </c>
      <c r="RWZ339" s="42" t="s">
        <v>608</v>
      </c>
      <c r="RXA339" s="42" t="s">
        <v>608</v>
      </c>
      <c r="RXB339" s="42" t="s">
        <v>608</v>
      </c>
      <c r="RXC339" s="42" t="s">
        <v>608</v>
      </c>
      <c r="RXD339" s="42" t="s">
        <v>608</v>
      </c>
      <c r="RXE339" s="42" t="s">
        <v>608</v>
      </c>
      <c r="RXF339" s="42" t="s">
        <v>608</v>
      </c>
      <c r="RXG339" s="42" t="s">
        <v>608</v>
      </c>
      <c r="RXH339" s="42" t="s">
        <v>608</v>
      </c>
      <c r="RXI339" s="42" t="s">
        <v>608</v>
      </c>
      <c r="RXJ339" s="42" t="s">
        <v>608</v>
      </c>
      <c r="RXK339" s="42" t="s">
        <v>608</v>
      </c>
      <c r="RXL339" s="42" t="s">
        <v>608</v>
      </c>
      <c r="RXM339" s="42" t="s">
        <v>608</v>
      </c>
      <c r="RXN339" s="42" t="s">
        <v>608</v>
      </c>
      <c r="RXO339" s="42" t="s">
        <v>608</v>
      </c>
      <c r="RXP339" s="42" t="s">
        <v>608</v>
      </c>
      <c r="RXQ339" s="42" t="s">
        <v>608</v>
      </c>
      <c r="RXR339" s="42" t="s">
        <v>608</v>
      </c>
      <c r="RXS339" s="42" t="s">
        <v>608</v>
      </c>
      <c r="RXT339" s="42" t="s">
        <v>608</v>
      </c>
      <c r="RXU339" s="42" t="s">
        <v>608</v>
      </c>
      <c r="RXV339" s="42" t="s">
        <v>608</v>
      </c>
      <c r="RXW339" s="42" t="s">
        <v>608</v>
      </c>
      <c r="RXX339" s="42" t="s">
        <v>608</v>
      </c>
      <c r="RXY339" s="42" t="s">
        <v>608</v>
      </c>
      <c r="RXZ339" s="42" t="s">
        <v>608</v>
      </c>
      <c r="RYA339" s="42" t="s">
        <v>608</v>
      </c>
      <c r="RYB339" s="42" t="s">
        <v>608</v>
      </c>
      <c r="RYC339" s="42" t="s">
        <v>608</v>
      </c>
      <c r="RYD339" s="42" t="s">
        <v>608</v>
      </c>
      <c r="RYE339" s="42" t="s">
        <v>608</v>
      </c>
      <c r="RYF339" s="42" t="s">
        <v>608</v>
      </c>
      <c r="RYG339" s="42" t="s">
        <v>608</v>
      </c>
      <c r="RYH339" s="42" t="s">
        <v>608</v>
      </c>
      <c r="RYI339" s="42" t="s">
        <v>608</v>
      </c>
      <c r="RYJ339" s="42" t="s">
        <v>608</v>
      </c>
      <c r="RYK339" s="42" t="s">
        <v>608</v>
      </c>
      <c r="RYL339" s="42" t="s">
        <v>608</v>
      </c>
      <c r="RYM339" s="42" t="s">
        <v>608</v>
      </c>
      <c r="RYN339" s="42" t="s">
        <v>608</v>
      </c>
      <c r="RYO339" s="42" t="s">
        <v>608</v>
      </c>
      <c r="RYP339" s="42" t="s">
        <v>608</v>
      </c>
      <c r="RYQ339" s="42" t="s">
        <v>608</v>
      </c>
      <c r="RYR339" s="42" t="s">
        <v>608</v>
      </c>
      <c r="RYS339" s="42" t="s">
        <v>608</v>
      </c>
      <c r="RYT339" s="42" t="s">
        <v>608</v>
      </c>
      <c r="RYU339" s="42" t="s">
        <v>608</v>
      </c>
      <c r="RYV339" s="42" t="s">
        <v>608</v>
      </c>
      <c r="RYW339" s="42" t="s">
        <v>608</v>
      </c>
      <c r="RYX339" s="42" t="s">
        <v>608</v>
      </c>
      <c r="RYY339" s="42" t="s">
        <v>608</v>
      </c>
      <c r="RYZ339" s="42" t="s">
        <v>608</v>
      </c>
      <c r="RZA339" s="42" t="s">
        <v>608</v>
      </c>
      <c r="RZB339" s="42" t="s">
        <v>608</v>
      </c>
      <c r="RZC339" s="42" t="s">
        <v>608</v>
      </c>
      <c r="RZD339" s="42" t="s">
        <v>608</v>
      </c>
      <c r="RZE339" s="42" t="s">
        <v>608</v>
      </c>
      <c r="RZF339" s="42" t="s">
        <v>608</v>
      </c>
      <c r="RZG339" s="42" t="s">
        <v>608</v>
      </c>
      <c r="RZH339" s="42" t="s">
        <v>608</v>
      </c>
      <c r="RZI339" s="42" t="s">
        <v>608</v>
      </c>
      <c r="RZJ339" s="42" t="s">
        <v>608</v>
      </c>
      <c r="RZK339" s="42" t="s">
        <v>608</v>
      </c>
      <c r="RZL339" s="42" t="s">
        <v>608</v>
      </c>
      <c r="RZM339" s="42" t="s">
        <v>608</v>
      </c>
      <c r="RZN339" s="42" t="s">
        <v>608</v>
      </c>
      <c r="RZO339" s="42" t="s">
        <v>608</v>
      </c>
      <c r="RZP339" s="42" t="s">
        <v>608</v>
      </c>
      <c r="RZQ339" s="42" t="s">
        <v>608</v>
      </c>
      <c r="RZR339" s="42" t="s">
        <v>608</v>
      </c>
      <c r="RZS339" s="42" t="s">
        <v>608</v>
      </c>
      <c r="RZT339" s="42" t="s">
        <v>608</v>
      </c>
      <c r="RZU339" s="42" t="s">
        <v>608</v>
      </c>
      <c r="RZV339" s="42" t="s">
        <v>608</v>
      </c>
      <c r="RZW339" s="42" t="s">
        <v>608</v>
      </c>
      <c r="RZX339" s="42" t="s">
        <v>608</v>
      </c>
      <c r="RZY339" s="42" t="s">
        <v>608</v>
      </c>
      <c r="RZZ339" s="42" t="s">
        <v>608</v>
      </c>
      <c r="SAA339" s="42" t="s">
        <v>608</v>
      </c>
      <c r="SAB339" s="42" t="s">
        <v>608</v>
      </c>
      <c r="SAC339" s="42" t="s">
        <v>608</v>
      </c>
      <c r="SAD339" s="42" t="s">
        <v>608</v>
      </c>
      <c r="SAE339" s="42" t="s">
        <v>608</v>
      </c>
      <c r="SAF339" s="42" t="s">
        <v>608</v>
      </c>
      <c r="SAG339" s="42" t="s">
        <v>608</v>
      </c>
      <c r="SAH339" s="42" t="s">
        <v>608</v>
      </c>
      <c r="SAI339" s="42" t="s">
        <v>608</v>
      </c>
      <c r="SAJ339" s="42" t="s">
        <v>608</v>
      </c>
      <c r="SAK339" s="42" t="s">
        <v>608</v>
      </c>
      <c r="SAL339" s="42" t="s">
        <v>608</v>
      </c>
      <c r="SAM339" s="42" t="s">
        <v>608</v>
      </c>
      <c r="SAN339" s="42" t="s">
        <v>608</v>
      </c>
      <c r="SAO339" s="42" t="s">
        <v>608</v>
      </c>
      <c r="SAP339" s="42" t="s">
        <v>608</v>
      </c>
      <c r="SAQ339" s="42" t="s">
        <v>608</v>
      </c>
      <c r="SAR339" s="42" t="s">
        <v>608</v>
      </c>
      <c r="SAS339" s="42" t="s">
        <v>608</v>
      </c>
      <c r="SAT339" s="42" t="s">
        <v>608</v>
      </c>
      <c r="SAU339" s="42" t="s">
        <v>608</v>
      </c>
      <c r="SAV339" s="42" t="s">
        <v>608</v>
      </c>
      <c r="SAW339" s="42" t="s">
        <v>608</v>
      </c>
      <c r="SAX339" s="42" t="s">
        <v>608</v>
      </c>
      <c r="SAY339" s="42" t="s">
        <v>608</v>
      </c>
      <c r="SAZ339" s="42" t="s">
        <v>608</v>
      </c>
      <c r="SBA339" s="42" t="s">
        <v>608</v>
      </c>
      <c r="SBB339" s="42" t="s">
        <v>608</v>
      </c>
      <c r="SBC339" s="42" t="s">
        <v>608</v>
      </c>
      <c r="SBD339" s="42" t="s">
        <v>608</v>
      </c>
      <c r="SBE339" s="42" t="s">
        <v>608</v>
      </c>
      <c r="SBF339" s="42" t="s">
        <v>608</v>
      </c>
      <c r="SBG339" s="42" t="s">
        <v>608</v>
      </c>
      <c r="SBH339" s="42" t="s">
        <v>608</v>
      </c>
      <c r="SBI339" s="42" t="s">
        <v>608</v>
      </c>
      <c r="SBJ339" s="42" t="s">
        <v>608</v>
      </c>
      <c r="SBK339" s="42" t="s">
        <v>608</v>
      </c>
      <c r="SBL339" s="42" t="s">
        <v>608</v>
      </c>
      <c r="SBM339" s="42" t="s">
        <v>608</v>
      </c>
      <c r="SBN339" s="42" t="s">
        <v>608</v>
      </c>
      <c r="SBO339" s="42" t="s">
        <v>608</v>
      </c>
      <c r="SBP339" s="42" t="s">
        <v>608</v>
      </c>
      <c r="SBQ339" s="42" t="s">
        <v>608</v>
      </c>
      <c r="SBR339" s="42" t="s">
        <v>608</v>
      </c>
      <c r="SBS339" s="42" t="s">
        <v>608</v>
      </c>
      <c r="SBT339" s="42" t="s">
        <v>608</v>
      </c>
      <c r="SBU339" s="42" t="s">
        <v>608</v>
      </c>
      <c r="SBV339" s="42" t="s">
        <v>608</v>
      </c>
      <c r="SBW339" s="42" t="s">
        <v>608</v>
      </c>
      <c r="SBX339" s="42" t="s">
        <v>608</v>
      </c>
      <c r="SBY339" s="42" t="s">
        <v>608</v>
      </c>
      <c r="SBZ339" s="42" t="s">
        <v>608</v>
      </c>
      <c r="SCA339" s="42" t="s">
        <v>608</v>
      </c>
      <c r="SCB339" s="42" t="s">
        <v>608</v>
      </c>
      <c r="SCC339" s="42" t="s">
        <v>608</v>
      </c>
      <c r="SCD339" s="42" t="s">
        <v>608</v>
      </c>
      <c r="SCE339" s="42" t="s">
        <v>608</v>
      </c>
      <c r="SCF339" s="42" t="s">
        <v>608</v>
      </c>
      <c r="SCG339" s="42" t="s">
        <v>608</v>
      </c>
      <c r="SCH339" s="42" t="s">
        <v>608</v>
      </c>
      <c r="SCI339" s="42" t="s">
        <v>608</v>
      </c>
      <c r="SCJ339" s="42" t="s">
        <v>608</v>
      </c>
      <c r="SCK339" s="42" t="s">
        <v>608</v>
      </c>
      <c r="SCL339" s="42" t="s">
        <v>608</v>
      </c>
      <c r="SCM339" s="42" t="s">
        <v>608</v>
      </c>
      <c r="SCN339" s="42" t="s">
        <v>608</v>
      </c>
      <c r="SCO339" s="42" t="s">
        <v>608</v>
      </c>
      <c r="SCP339" s="42" t="s">
        <v>608</v>
      </c>
      <c r="SCQ339" s="42" t="s">
        <v>608</v>
      </c>
      <c r="SCR339" s="42" t="s">
        <v>608</v>
      </c>
      <c r="SCS339" s="42" t="s">
        <v>608</v>
      </c>
      <c r="SCT339" s="42" t="s">
        <v>608</v>
      </c>
      <c r="SCU339" s="42" t="s">
        <v>608</v>
      </c>
      <c r="SCV339" s="42" t="s">
        <v>608</v>
      </c>
      <c r="SCW339" s="42" t="s">
        <v>608</v>
      </c>
      <c r="SCX339" s="42" t="s">
        <v>608</v>
      </c>
      <c r="SCY339" s="42" t="s">
        <v>608</v>
      </c>
      <c r="SCZ339" s="42" t="s">
        <v>608</v>
      </c>
      <c r="SDA339" s="42" t="s">
        <v>608</v>
      </c>
      <c r="SDB339" s="42" t="s">
        <v>608</v>
      </c>
      <c r="SDC339" s="42" t="s">
        <v>608</v>
      </c>
      <c r="SDD339" s="42" t="s">
        <v>608</v>
      </c>
      <c r="SDE339" s="42" t="s">
        <v>608</v>
      </c>
      <c r="SDF339" s="42" t="s">
        <v>608</v>
      </c>
      <c r="SDG339" s="42" t="s">
        <v>608</v>
      </c>
      <c r="SDH339" s="42" t="s">
        <v>608</v>
      </c>
      <c r="SDI339" s="42" t="s">
        <v>608</v>
      </c>
      <c r="SDJ339" s="42" t="s">
        <v>608</v>
      </c>
      <c r="SDK339" s="42" t="s">
        <v>608</v>
      </c>
      <c r="SDL339" s="42" t="s">
        <v>608</v>
      </c>
      <c r="SDM339" s="42" t="s">
        <v>608</v>
      </c>
      <c r="SDN339" s="42" t="s">
        <v>608</v>
      </c>
      <c r="SDO339" s="42" t="s">
        <v>608</v>
      </c>
      <c r="SDP339" s="42" t="s">
        <v>608</v>
      </c>
      <c r="SDQ339" s="42" t="s">
        <v>608</v>
      </c>
      <c r="SDR339" s="42" t="s">
        <v>608</v>
      </c>
      <c r="SDS339" s="42" t="s">
        <v>608</v>
      </c>
      <c r="SDT339" s="42" t="s">
        <v>608</v>
      </c>
      <c r="SDU339" s="42" t="s">
        <v>608</v>
      </c>
      <c r="SDV339" s="42" t="s">
        <v>608</v>
      </c>
      <c r="SDW339" s="42" t="s">
        <v>608</v>
      </c>
      <c r="SDX339" s="42" t="s">
        <v>608</v>
      </c>
      <c r="SDY339" s="42" t="s">
        <v>608</v>
      </c>
      <c r="SDZ339" s="42" t="s">
        <v>608</v>
      </c>
      <c r="SEA339" s="42" t="s">
        <v>608</v>
      </c>
      <c r="SEB339" s="42" t="s">
        <v>608</v>
      </c>
      <c r="SEC339" s="42" t="s">
        <v>608</v>
      </c>
      <c r="SED339" s="42" t="s">
        <v>608</v>
      </c>
      <c r="SEE339" s="42" t="s">
        <v>608</v>
      </c>
      <c r="SEF339" s="42" t="s">
        <v>608</v>
      </c>
      <c r="SEG339" s="42" t="s">
        <v>608</v>
      </c>
      <c r="SEH339" s="42" t="s">
        <v>608</v>
      </c>
      <c r="SEI339" s="42" t="s">
        <v>608</v>
      </c>
      <c r="SEJ339" s="42" t="s">
        <v>608</v>
      </c>
      <c r="SEK339" s="42" t="s">
        <v>608</v>
      </c>
      <c r="SEL339" s="42" t="s">
        <v>608</v>
      </c>
      <c r="SEM339" s="42" t="s">
        <v>608</v>
      </c>
      <c r="SEN339" s="42" t="s">
        <v>608</v>
      </c>
      <c r="SEO339" s="42" t="s">
        <v>608</v>
      </c>
      <c r="SEP339" s="42" t="s">
        <v>608</v>
      </c>
      <c r="SEQ339" s="42" t="s">
        <v>608</v>
      </c>
      <c r="SER339" s="42" t="s">
        <v>608</v>
      </c>
      <c r="SES339" s="42" t="s">
        <v>608</v>
      </c>
      <c r="SET339" s="42" t="s">
        <v>608</v>
      </c>
      <c r="SEU339" s="42" t="s">
        <v>608</v>
      </c>
      <c r="SEV339" s="42" t="s">
        <v>608</v>
      </c>
      <c r="SEW339" s="42" t="s">
        <v>608</v>
      </c>
      <c r="SEX339" s="42" t="s">
        <v>608</v>
      </c>
      <c r="SEY339" s="42" t="s">
        <v>608</v>
      </c>
      <c r="SEZ339" s="42" t="s">
        <v>608</v>
      </c>
      <c r="SFA339" s="42" t="s">
        <v>608</v>
      </c>
      <c r="SFB339" s="42" t="s">
        <v>608</v>
      </c>
      <c r="SFC339" s="42" t="s">
        <v>608</v>
      </c>
      <c r="SFD339" s="42" t="s">
        <v>608</v>
      </c>
      <c r="SFE339" s="42" t="s">
        <v>608</v>
      </c>
      <c r="SFF339" s="42" t="s">
        <v>608</v>
      </c>
      <c r="SFG339" s="42" t="s">
        <v>608</v>
      </c>
      <c r="SFH339" s="42" t="s">
        <v>608</v>
      </c>
      <c r="SFI339" s="42" t="s">
        <v>608</v>
      </c>
      <c r="SFJ339" s="42" t="s">
        <v>608</v>
      </c>
      <c r="SFK339" s="42" t="s">
        <v>608</v>
      </c>
      <c r="SFL339" s="42" t="s">
        <v>608</v>
      </c>
      <c r="SFM339" s="42" t="s">
        <v>608</v>
      </c>
      <c r="SFN339" s="42" t="s">
        <v>608</v>
      </c>
      <c r="SFO339" s="42" t="s">
        <v>608</v>
      </c>
      <c r="SFP339" s="42" t="s">
        <v>608</v>
      </c>
      <c r="SFQ339" s="42" t="s">
        <v>608</v>
      </c>
      <c r="SFR339" s="42" t="s">
        <v>608</v>
      </c>
      <c r="SFS339" s="42" t="s">
        <v>608</v>
      </c>
      <c r="SFT339" s="42" t="s">
        <v>608</v>
      </c>
      <c r="SFU339" s="42" t="s">
        <v>608</v>
      </c>
      <c r="SFV339" s="42" t="s">
        <v>608</v>
      </c>
      <c r="SFW339" s="42" t="s">
        <v>608</v>
      </c>
      <c r="SFX339" s="42" t="s">
        <v>608</v>
      </c>
      <c r="SFY339" s="42" t="s">
        <v>608</v>
      </c>
      <c r="SFZ339" s="42" t="s">
        <v>608</v>
      </c>
      <c r="SGA339" s="42" t="s">
        <v>608</v>
      </c>
      <c r="SGB339" s="42" t="s">
        <v>608</v>
      </c>
      <c r="SGC339" s="42" t="s">
        <v>608</v>
      </c>
      <c r="SGD339" s="42" t="s">
        <v>608</v>
      </c>
      <c r="SGE339" s="42" t="s">
        <v>608</v>
      </c>
      <c r="SGF339" s="42" t="s">
        <v>608</v>
      </c>
      <c r="SGG339" s="42" t="s">
        <v>608</v>
      </c>
      <c r="SGH339" s="42" t="s">
        <v>608</v>
      </c>
      <c r="SGI339" s="42" t="s">
        <v>608</v>
      </c>
      <c r="SGJ339" s="42" t="s">
        <v>608</v>
      </c>
      <c r="SGK339" s="42" t="s">
        <v>608</v>
      </c>
      <c r="SGL339" s="42" t="s">
        <v>608</v>
      </c>
      <c r="SGM339" s="42" t="s">
        <v>608</v>
      </c>
      <c r="SGN339" s="42" t="s">
        <v>608</v>
      </c>
      <c r="SGO339" s="42" t="s">
        <v>608</v>
      </c>
      <c r="SGP339" s="42" t="s">
        <v>608</v>
      </c>
      <c r="SGQ339" s="42" t="s">
        <v>608</v>
      </c>
      <c r="SGR339" s="42" t="s">
        <v>608</v>
      </c>
      <c r="SGS339" s="42" t="s">
        <v>608</v>
      </c>
      <c r="SGT339" s="42" t="s">
        <v>608</v>
      </c>
      <c r="SGU339" s="42" t="s">
        <v>608</v>
      </c>
      <c r="SGV339" s="42" t="s">
        <v>608</v>
      </c>
      <c r="SGW339" s="42" t="s">
        <v>608</v>
      </c>
      <c r="SGX339" s="42" t="s">
        <v>608</v>
      </c>
      <c r="SGY339" s="42" t="s">
        <v>608</v>
      </c>
      <c r="SGZ339" s="42" t="s">
        <v>608</v>
      </c>
      <c r="SHA339" s="42" t="s">
        <v>608</v>
      </c>
      <c r="SHB339" s="42" t="s">
        <v>608</v>
      </c>
      <c r="SHC339" s="42" t="s">
        <v>608</v>
      </c>
      <c r="SHD339" s="42" t="s">
        <v>608</v>
      </c>
      <c r="SHE339" s="42" t="s">
        <v>608</v>
      </c>
      <c r="SHF339" s="42" t="s">
        <v>608</v>
      </c>
      <c r="SHG339" s="42" t="s">
        <v>608</v>
      </c>
      <c r="SHH339" s="42" t="s">
        <v>608</v>
      </c>
      <c r="SHI339" s="42" t="s">
        <v>608</v>
      </c>
      <c r="SHJ339" s="42" t="s">
        <v>608</v>
      </c>
      <c r="SHK339" s="42" t="s">
        <v>608</v>
      </c>
      <c r="SHL339" s="42" t="s">
        <v>608</v>
      </c>
      <c r="SHM339" s="42" t="s">
        <v>608</v>
      </c>
      <c r="SHN339" s="42" t="s">
        <v>608</v>
      </c>
      <c r="SHO339" s="42" t="s">
        <v>608</v>
      </c>
      <c r="SHP339" s="42" t="s">
        <v>608</v>
      </c>
      <c r="SHQ339" s="42" t="s">
        <v>608</v>
      </c>
      <c r="SHR339" s="42" t="s">
        <v>608</v>
      </c>
      <c r="SHS339" s="42" t="s">
        <v>608</v>
      </c>
      <c r="SHT339" s="42" t="s">
        <v>608</v>
      </c>
      <c r="SHU339" s="42" t="s">
        <v>608</v>
      </c>
      <c r="SHV339" s="42" t="s">
        <v>608</v>
      </c>
      <c r="SHW339" s="42" t="s">
        <v>608</v>
      </c>
      <c r="SHX339" s="42" t="s">
        <v>608</v>
      </c>
      <c r="SHY339" s="42" t="s">
        <v>608</v>
      </c>
      <c r="SHZ339" s="42" t="s">
        <v>608</v>
      </c>
      <c r="SIA339" s="42" t="s">
        <v>608</v>
      </c>
      <c r="SIB339" s="42" t="s">
        <v>608</v>
      </c>
      <c r="SIC339" s="42" t="s">
        <v>608</v>
      </c>
      <c r="SID339" s="42" t="s">
        <v>608</v>
      </c>
      <c r="SIE339" s="42" t="s">
        <v>608</v>
      </c>
      <c r="SIF339" s="42" t="s">
        <v>608</v>
      </c>
      <c r="SIG339" s="42" t="s">
        <v>608</v>
      </c>
      <c r="SIH339" s="42" t="s">
        <v>608</v>
      </c>
      <c r="SII339" s="42" t="s">
        <v>608</v>
      </c>
      <c r="SIJ339" s="42" t="s">
        <v>608</v>
      </c>
      <c r="SIK339" s="42" t="s">
        <v>608</v>
      </c>
      <c r="SIL339" s="42" t="s">
        <v>608</v>
      </c>
      <c r="SIM339" s="42" t="s">
        <v>608</v>
      </c>
      <c r="SIN339" s="42" t="s">
        <v>608</v>
      </c>
      <c r="SIO339" s="42" t="s">
        <v>608</v>
      </c>
      <c r="SIP339" s="42" t="s">
        <v>608</v>
      </c>
      <c r="SIQ339" s="42" t="s">
        <v>608</v>
      </c>
      <c r="SIR339" s="42" t="s">
        <v>608</v>
      </c>
      <c r="SIS339" s="42" t="s">
        <v>608</v>
      </c>
      <c r="SIT339" s="42" t="s">
        <v>608</v>
      </c>
      <c r="SIU339" s="42" t="s">
        <v>608</v>
      </c>
      <c r="SIV339" s="42" t="s">
        <v>608</v>
      </c>
      <c r="SIW339" s="42" t="s">
        <v>608</v>
      </c>
      <c r="SIX339" s="42" t="s">
        <v>608</v>
      </c>
      <c r="SIY339" s="42" t="s">
        <v>608</v>
      </c>
      <c r="SIZ339" s="42" t="s">
        <v>608</v>
      </c>
      <c r="SJA339" s="42" t="s">
        <v>608</v>
      </c>
      <c r="SJB339" s="42" t="s">
        <v>608</v>
      </c>
      <c r="SJC339" s="42" t="s">
        <v>608</v>
      </c>
      <c r="SJD339" s="42" t="s">
        <v>608</v>
      </c>
      <c r="SJE339" s="42" t="s">
        <v>608</v>
      </c>
      <c r="SJF339" s="42" t="s">
        <v>608</v>
      </c>
      <c r="SJG339" s="42" t="s">
        <v>608</v>
      </c>
      <c r="SJH339" s="42" t="s">
        <v>608</v>
      </c>
      <c r="SJI339" s="42" t="s">
        <v>608</v>
      </c>
      <c r="SJJ339" s="42" t="s">
        <v>608</v>
      </c>
      <c r="SJK339" s="42" t="s">
        <v>608</v>
      </c>
      <c r="SJL339" s="42" t="s">
        <v>608</v>
      </c>
      <c r="SJM339" s="42" t="s">
        <v>608</v>
      </c>
      <c r="SJN339" s="42" t="s">
        <v>608</v>
      </c>
      <c r="SJO339" s="42" t="s">
        <v>608</v>
      </c>
      <c r="SJP339" s="42" t="s">
        <v>608</v>
      </c>
      <c r="SJQ339" s="42" t="s">
        <v>608</v>
      </c>
      <c r="SJR339" s="42" t="s">
        <v>608</v>
      </c>
      <c r="SJS339" s="42" t="s">
        <v>608</v>
      </c>
      <c r="SJT339" s="42" t="s">
        <v>608</v>
      </c>
      <c r="SJU339" s="42" t="s">
        <v>608</v>
      </c>
      <c r="SJV339" s="42" t="s">
        <v>608</v>
      </c>
      <c r="SJW339" s="42" t="s">
        <v>608</v>
      </c>
      <c r="SJX339" s="42" t="s">
        <v>608</v>
      </c>
      <c r="SJY339" s="42" t="s">
        <v>608</v>
      </c>
      <c r="SJZ339" s="42" t="s">
        <v>608</v>
      </c>
      <c r="SKA339" s="42" t="s">
        <v>608</v>
      </c>
      <c r="SKB339" s="42" t="s">
        <v>608</v>
      </c>
      <c r="SKC339" s="42" t="s">
        <v>608</v>
      </c>
      <c r="SKD339" s="42" t="s">
        <v>608</v>
      </c>
      <c r="SKE339" s="42" t="s">
        <v>608</v>
      </c>
      <c r="SKF339" s="42" t="s">
        <v>608</v>
      </c>
      <c r="SKG339" s="42" t="s">
        <v>608</v>
      </c>
      <c r="SKH339" s="42" t="s">
        <v>608</v>
      </c>
      <c r="SKI339" s="42" t="s">
        <v>608</v>
      </c>
      <c r="SKJ339" s="42" t="s">
        <v>608</v>
      </c>
      <c r="SKK339" s="42" t="s">
        <v>608</v>
      </c>
      <c r="SKL339" s="42" t="s">
        <v>608</v>
      </c>
      <c r="SKM339" s="42" t="s">
        <v>608</v>
      </c>
      <c r="SKN339" s="42" t="s">
        <v>608</v>
      </c>
      <c r="SKO339" s="42" t="s">
        <v>608</v>
      </c>
      <c r="SKP339" s="42" t="s">
        <v>608</v>
      </c>
      <c r="SKQ339" s="42" t="s">
        <v>608</v>
      </c>
      <c r="SKR339" s="42" t="s">
        <v>608</v>
      </c>
      <c r="SKS339" s="42" t="s">
        <v>608</v>
      </c>
      <c r="SKT339" s="42" t="s">
        <v>608</v>
      </c>
      <c r="SKU339" s="42" t="s">
        <v>608</v>
      </c>
      <c r="SKV339" s="42" t="s">
        <v>608</v>
      </c>
      <c r="SKW339" s="42" t="s">
        <v>608</v>
      </c>
      <c r="SKX339" s="42" t="s">
        <v>608</v>
      </c>
      <c r="SKY339" s="42" t="s">
        <v>608</v>
      </c>
      <c r="SKZ339" s="42" t="s">
        <v>608</v>
      </c>
      <c r="SLA339" s="42" t="s">
        <v>608</v>
      </c>
      <c r="SLB339" s="42" t="s">
        <v>608</v>
      </c>
      <c r="SLC339" s="42" t="s">
        <v>608</v>
      </c>
      <c r="SLD339" s="42" t="s">
        <v>608</v>
      </c>
      <c r="SLE339" s="42" t="s">
        <v>608</v>
      </c>
      <c r="SLF339" s="42" t="s">
        <v>608</v>
      </c>
      <c r="SLG339" s="42" t="s">
        <v>608</v>
      </c>
      <c r="SLH339" s="42" t="s">
        <v>608</v>
      </c>
      <c r="SLI339" s="42" t="s">
        <v>608</v>
      </c>
      <c r="SLJ339" s="42" t="s">
        <v>608</v>
      </c>
      <c r="SLK339" s="42" t="s">
        <v>608</v>
      </c>
      <c r="SLL339" s="42" t="s">
        <v>608</v>
      </c>
      <c r="SLM339" s="42" t="s">
        <v>608</v>
      </c>
      <c r="SLN339" s="42" t="s">
        <v>608</v>
      </c>
      <c r="SLO339" s="42" t="s">
        <v>608</v>
      </c>
      <c r="SLP339" s="42" t="s">
        <v>608</v>
      </c>
      <c r="SLQ339" s="42" t="s">
        <v>608</v>
      </c>
      <c r="SLR339" s="42" t="s">
        <v>608</v>
      </c>
      <c r="SLS339" s="42" t="s">
        <v>608</v>
      </c>
      <c r="SLT339" s="42" t="s">
        <v>608</v>
      </c>
      <c r="SLU339" s="42" t="s">
        <v>608</v>
      </c>
      <c r="SLV339" s="42" t="s">
        <v>608</v>
      </c>
      <c r="SLW339" s="42" t="s">
        <v>608</v>
      </c>
      <c r="SLX339" s="42" t="s">
        <v>608</v>
      </c>
      <c r="SLY339" s="42" t="s">
        <v>608</v>
      </c>
      <c r="SLZ339" s="42" t="s">
        <v>608</v>
      </c>
      <c r="SMA339" s="42" t="s">
        <v>608</v>
      </c>
      <c r="SMB339" s="42" t="s">
        <v>608</v>
      </c>
      <c r="SMC339" s="42" t="s">
        <v>608</v>
      </c>
      <c r="SMD339" s="42" t="s">
        <v>608</v>
      </c>
      <c r="SME339" s="42" t="s">
        <v>608</v>
      </c>
      <c r="SMF339" s="42" t="s">
        <v>608</v>
      </c>
      <c r="SMG339" s="42" t="s">
        <v>608</v>
      </c>
      <c r="SMH339" s="42" t="s">
        <v>608</v>
      </c>
      <c r="SMI339" s="42" t="s">
        <v>608</v>
      </c>
      <c r="SMJ339" s="42" t="s">
        <v>608</v>
      </c>
      <c r="SMK339" s="42" t="s">
        <v>608</v>
      </c>
      <c r="SML339" s="42" t="s">
        <v>608</v>
      </c>
      <c r="SMM339" s="42" t="s">
        <v>608</v>
      </c>
      <c r="SMN339" s="42" t="s">
        <v>608</v>
      </c>
      <c r="SMO339" s="42" t="s">
        <v>608</v>
      </c>
      <c r="SMP339" s="42" t="s">
        <v>608</v>
      </c>
      <c r="SMQ339" s="42" t="s">
        <v>608</v>
      </c>
      <c r="SMR339" s="42" t="s">
        <v>608</v>
      </c>
      <c r="SMS339" s="42" t="s">
        <v>608</v>
      </c>
      <c r="SMT339" s="42" t="s">
        <v>608</v>
      </c>
      <c r="SMU339" s="42" t="s">
        <v>608</v>
      </c>
      <c r="SMV339" s="42" t="s">
        <v>608</v>
      </c>
      <c r="SMW339" s="42" t="s">
        <v>608</v>
      </c>
      <c r="SMX339" s="42" t="s">
        <v>608</v>
      </c>
      <c r="SMY339" s="42" t="s">
        <v>608</v>
      </c>
      <c r="SMZ339" s="42" t="s">
        <v>608</v>
      </c>
      <c r="SNA339" s="42" t="s">
        <v>608</v>
      </c>
      <c r="SNB339" s="42" t="s">
        <v>608</v>
      </c>
      <c r="SNC339" s="42" t="s">
        <v>608</v>
      </c>
      <c r="SND339" s="42" t="s">
        <v>608</v>
      </c>
      <c r="SNE339" s="42" t="s">
        <v>608</v>
      </c>
      <c r="SNF339" s="42" t="s">
        <v>608</v>
      </c>
      <c r="SNG339" s="42" t="s">
        <v>608</v>
      </c>
      <c r="SNH339" s="42" t="s">
        <v>608</v>
      </c>
      <c r="SNI339" s="42" t="s">
        <v>608</v>
      </c>
      <c r="SNJ339" s="42" t="s">
        <v>608</v>
      </c>
      <c r="SNK339" s="42" t="s">
        <v>608</v>
      </c>
      <c r="SNL339" s="42" t="s">
        <v>608</v>
      </c>
      <c r="SNM339" s="42" t="s">
        <v>608</v>
      </c>
      <c r="SNN339" s="42" t="s">
        <v>608</v>
      </c>
      <c r="SNO339" s="42" t="s">
        <v>608</v>
      </c>
      <c r="SNP339" s="42" t="s">
        <v>608</v>
      </c>
      <c r="SNQ339" s="42" t="s">
        <v>608</v>
      </c>
      <c r="SNR339" s="42" t="s">
        <v>608</v>
      </c>
      <c r="SNS339" s="42" t="s">
        <v>608</v>
      </c>
      <c r="SNT339" s="42" t="s">
        <v>608</v>
      </c>
      <c r="SNU339" s="42" t="s">
        <v>608</v>
      </c>
      <c r="SNV339" s="42" t="s">
        <v>608</v>
      </c>
      <c r="SNW339" s="42" t="s">
        <v>608</v>
      </c>
      <c r="SNX339" s="42" t="s">
        <v>608</v>
      </c>
      <c r="SNY339" s="42" t="s">
        <v>608</v>
      </c>
      <c r="SNZ339" s="42" t="s">
        <v>608</v>
      </c>
      <c r="SOA339" s="42" t="s">
        <v>608</v>
      </c>
      <c r="SOB339" s="42" t="s">
        <v>608</v>
      </c>
      <c r="SOC339" s="42" t="s">
        <v>608</v>
      </c>
      <c r="SOD339" s="42" t="s">
        <v>608</v>
      </c>
      <c r="SOE339" s="42" t="s">
        <v>608</v>
      </c>
      <c r="SOF339" s="42" t="s">
        <v>608</v>
      </c>
      <c r="SOG339" s="42" t="s">
        <v>608</v>
      </c>
      <c r="SOH339" s="42" t="s">
        <v>608</v>
      </c>
      <c r="SOI339" s="42" t="s">
        <v>608</v>
      </c>
      <c r="SOJ339" s="42" t="s">
        <v>608</v>
      </c>
      <c r="SOK339" s="42" t="s">
        <v>608</v>
      </c>
      <c r="SOL339" s="42" t="s">
        <v>608</v>
      </c>
      <c r="SOM339" s="42" t="s">
        <v>608</v>
      </c>
      <c r="SON339" s="42" t="s">
        <v>608</v>
      </c>
      <c r="SOO339" s="42" t="s">
        <v>608</v>
      </c>
      <c r="SOP339" s="42" t="s">
        <v>608</v>
      </c>
      <c r="SOQ339" s="42" t="s">
        <v>608</v>
      </c>
      <c r="SOR339" s="42" t="s">
        <v>608</v>
      </c>
      <c r="SOS339" s="42" t="s">
        <v>608</v>
      </c>
      <c r="SOT339" s="42" t="s">
        <v>608</v>
      </c>
      <c r="SOU339" s="42" t="s">
        <v>608</v>
      </c>
      <c r="SOV339" s="42" t="s">
        <v>608</v>
      </c>
      <c r="SOW339" s="42" t="s">
        <v>608</v>
      </c>
      <c r="SOX339" s="42" t="s">
        <v>608</v>
      </c>
      <c r="SOY339" s="42" t="s">
        <v>608</v>
      </c>
      <c r="SOZ339" s="42" t="s">
        <v>608</v>
      </c>
      <c r="SPA339" s="42" t="s">
        <v>608</v>
      </c>
      <c r="SPB339" s="42" t="s">
        <v>608</v>
      </c>
      <c r="SPC339" s="42" t="s">
        <v>608</v>
      </c>
      <c r="SPD339" s="42" t="s">
        <v>608</v>
      </c>
      <c r="SPE339" s="42" t="s">
        <v>608</v>
      </c>
      <c r="SPF339" s="42" t="s">
        <v>608</v>
      </c>
      <c r="SPG339" s="42" t="s">
        <v>608</v>
      </c>
      <c r="SPH339" s="42" t="s">
        <v>608</v>
      </c>
      <c r="SPI339" s="42" t="s">
        <v>608</v>
      </c>
      <c r="SPJ339" s="42" t="s">
        <v>608</v>
      </c>
      <c r="SPK339" s="42" t="s">
        <v>608</v>
      </c>
      <c r="SPL339" s="42" t="s">
        <v>608</v>
      </c>
      <c r="SPM339" s="42" t="s">
        <v>608</v>
      </c>
      <c r="SPN339" s="42" t="s">
        <v>608</v>
      </c>
      <c r="SPO339" s="42" t="s">
        <v>608</v>
      </c>
      <c r="SPP339" s="42" t="s">
        <v>608</v>
      </c>
      <c r="SPQ339" s="42" t="s">
        <v>608</v>
      </c>
      <c r="SPR339" s="42" t="s">
        <v>608</v>
      </c>
      <c r="SPS339" s="42" t="s">
        <v>608</v>
      </c>
      <c r="SPT339" s="42" t="s">
        <v>608</v>
      </c>
      <c r="SPU339" s="42" t="s">
        <v>608</v>
      </c>
      <c r="SPV339" s="42" t="s">
        <v>608</v>
      </c>
      <c r="SPW339" s="42" t="s">
        <v>608</v>
      </c>
      <c r="SPX339" s="42" t="s">
        <v>608</v>
      </c>
      <c r="SPY339" s="42" t="s">
        <v>608</v>
      </c>
      <c r="SPZ339" s="42" t="s">
        <v>608</v>
      </c>
      <c r="SQA339" s="42" t="s">
        <v>608</v>
      </c>
      <c r="SQB339" s="42" t="s">
        <v>608</v>
      </c>
      <c r="SQC339" s="42" t="s">
        <v>608</v>
      </c>
      <c r="SQD339" s="42" t="s">
        <v>608</v>
      </c>
      <c r="SQE339" s="42" t="s">
        <v>608</v>
      </c>
      <c r="SQF339" s="42" t="s">
        <v>608</v>
      </c>
      <c r="SQG339" s="42" t="s">
        <v>608</v>
      </c>
      <c r="SQH339" s="42" t="s">
        <v>608</v>
      </c>
      <c r="SQI339" s="42" t="s">
        <v>608</v>
      </c>
      <c r="SQJ339" s="42" t="s">
        <v>608</v>
      </c>
      <c r="SQK339" s="42" t="s">
        <v>608</v>
      </c>
      <c r="SQL339" s="42" t="s">
        <v>608</v>
      </c>
      <c r="SQM339" s="42" t="s">
        <v>608</v>
      </c>
      <c r="SQN339" s="42" t="s">
        <v>608</v>
      </c>
      <c r="SQO339" s="42" t="s">
        <v>608</v>
      </c>
      <c r="SQP339" s="42" t="s">
        <v>608</v>
      </c>
      <c r="SQQ339" s="42" t="s">
        <v>608</v>
      </c>
      <c r="SQR339" s="42" t="s">
        <v>608</v>
      </c>
      <c r="SQS339" s="42" t="s">
        <v>608</v>
      </c>
      <c r="SQT339" s="42" t="s">
        <v>608</v>
      </c>
      <c r="SQU339" s="42" t="s">
        <v>608</v>
      </c>
      <c r="SQV339" s="42" t="s">
        <v>608</v>
      </c>
      <c r="SQW339" s="42" t="s">
        <v>608</v>
      </c>
      <c r="SQX339" s="42" t="s">
        <v>608</v>
      </c>
      <c r="SQY339" s="42" t="s">
        <v>608</v>
      </c>
      <c r="SQZ339" s="42" t="s">
        <v>608</v>
      </c>
      <c r="SRA339" s="42" t="s">
        <v>608</v>
      </c>
      <c r="SRB339" s="42" t="s">
        <v>608</v>
      </c>
      <c r="SRC339" s="42" t="s">
        <v>608</v>
      </c>
      <c r="SRD339" s="42" t="s">
        <v>608</v>
      </c>
      <c r="SRE339" s="42" t="s">
        <v>608</v>
      </c>
      <c r="SRF339" s="42" t="s">
        <v>608</v>
      </c>
      <c r="SRG339" s="42" t="s">
        <v>608</v>
      </c>
      <c r="SRH339" s="42" t="s">
        <v>608</v>
      </c>
      <c r="SRI339" s="42" t="s">
        <v>608</v>
      </c>
      <c r="SRJ339" s="42" t="s">
        <v>608</v>
      </c>
      <c r="SRK339" s="42" t="s">
        <v>608</v>
      </c>
      <c r="SRL339" s="42" t="s">
        <v>608</v>
      </c>
      <c r="SRM339" s="42" t="s">
        <v>608</v>
      </c>
      <c r="SRN339" s="42" t="s">
        <v>608</v>
      </c>
      <c r="SRO339" s="42" t="s">
        <v>608</v>
      </c>
      <c r="SRP339" s="42" t="s">
        <v>608</v>
      </c>
      <c r="SRQ339" s="42" t="s">
        <v>608</v>
      </c>
      <c r="SRR339" s="42" t="s">
        <v>608</v>
      </c>
      <c r="SRS339" s="42" t="s">
        <v>608</v>
      </c>
      <c r="SRT339" s="42" t="s">
        <v>608</v>
      </c>
      <c r="SRU339" s="42" t="s">
        <v>608</v>
      </c>
      <c r="SRV339" s="42" t="s">
        <v>608</v>
      </c>
      <c r="SRW339" s="42" t="s">
        <v>608</v>
      </c>
      <c r="SRX339" s="42" t="s">
        <v>608</v>
      </c>
      <c r="SRY339" s="42" t="s">
        <v>608</v>
      </c>
      <c r="SRZ339" s="42" t="s">
        <v>608</v>
      </c>
      <c r="SSA339" s="42" t="s">
        <v>608</v>
      </c>
      <c r="SSB339" s="42" t="s">
        <v>608</v>
      </c>
      <c r="SSC339" s="42" t="s">
        <v>608</v>
      </c>
      <c r="SSD339" s="42" t="s">
        <v>608</v>
      </c>
      <c r="SSE339" s="42" t="s">
        <v>608</v>
      </c>
      <c r="SSF339" s="42" t="s">
        <v>608</v>
      </c>
      <c r="SSG339" s="42" t="s">
        <v>608</v>
      </c>
      <c r="SSH339" s="42" t="s">
        <v>608</v>
      </c>
      <c r="SSI339" s="42" t="s">
        <v>608</v>
      </c>
      <c r="SSJ339" s="42" t="s">
        <v>608</v>
      </c>
      <c r="SSK339" s="42" t="s">
        <v>608</v>
      </c>
      <c r="SSL339" s="42" t="s">
        <v>608</v>
      </c>
      <c r="SSM339" s="42" t="s">
        <v>608</v>
      </c>
      <c r="SSN339" s="42" t="s">
        <v>608</v>
      </c>
      <c r="SSO339" s="42" t="s">
        <v>608</v>
      </c>
      <c r="SSP339" s="42" t="s">
        <v>608</v>
      </c>
      <c r="SSQ339" s="42" t="s">
        <v>608</v>
      </c>
      <c r="SSR339" s="42" t="s">
        <v>608</v>
      </c>
      <c r="SSS339" s="42" t="s">
        <v>608</v>
      </c>
      <c r="SST339" s="42" t="s">
        <v>608</v>
      </c>
      <c r="SSU339" s="42" t="s">
        <v>608</v>
      </c>
      <c r="SSV339" s="42" t="s">
        <v>608</v>
      </c>
      <c r="SSW339" s="42" t="s">
        <v>608</v>
      </c>
      <c r="SSX339" s="42" t="s">
        <v>608</v>
      </c>
      <c r="SSY339" s="42" t="s">
        <v>608</v>
      </c>
      <c r="SSZ339" s="42" t="s">
        <v>608</v>
      </c>
      <c r="STA339" s="42" t="s">
        <v>608</v>
      </c>
      <c r="STB339" s="42" t="s">
        <v>608</v>
      </c>
      <c r="STC339" s="42" t="s">
        <v>608</v>
      </c>
      <c r="STD339" s="42" t="s">
        <v>608</v>
      </c>
      <c r="STE339" s="42" t="s">
        <v>608</v>
      </c>
      <c r="STF339" s="42" t="s">
        <v>608</v>
      </c>
      <c r="STG339" s="42" t="s">
        <v>608</v>
      </c>
      <c r="STH339" s="42" t="s">
        <v>608</v>
      </c>
      <c r="STI339" s="42" t="s">
        <v>608</v>
      </c>
      <c r="STJ339" s="42" t="s">
        <v>608</v>
      </c>
      <c r="STK339" s="42" t="s">
        <v>608</v>
      </c>
      <c r="STL339" s="42" t="s">
        <v>608</v>
      </c>
      <c r="STM339" s="42" t="s">
        <v>608</v>
      </c>
      <c r="STN339" s="42" t="s">
        <v>608</v>
      </c>
      <c r="STO339" s="42" t="s">
        <v>608</v>
      </c>
      <c r="STP339" s="42" t="s">
        <v>608</v>
      </c>
      <c r="STQ339" s="42" t="s">
        <v>608</v>
      </c>
      <c r="STR339" s="42" t="s">
        <v>608</v>
      </c>
      <c r="STS339" s="42" t="s">
        <v>608</v>
      </c>
      <c r="STT339" s="42" t="s">
        <v>608</v>
      </c>
      <c r="STU339" s="42" t="s">
        <v>608</v>
      </c>
      <c r="STV339" s="42" t="s">
        <v>608</v>
      </c>
      <c r="STW339" s="42" t="s">
        <v>608</v>
      </c>
      <c r="STX339" s="42" t="s">
        <v>608</v>
      </c>
      <c r="STY339" s="42" t="s">
        <v>608</v>
      </c>
      <c r="STZ339" s="42" t="s">
        <v>608</v>
      </c>
      <c r="SUA339" s="42" t="s">
        <v>608</v>
      </c>
      <c r="SUB339" s="42" t="s">
        <v>608</v>
      </c>
      <c r="SUC339" s="42" t="s">
        <v>608</v>
      </c>
      <c r="SUD339" s="42" t="s">
        <v>608</v>
      </c>
      <c r="SUE339" s="42" t="s">
        <v>608</v>
      </c>
      <c r="SUF339" s="42" t="s">
        <v>608</v>
      </c>
      <c r="SUG339" s="42" t="s">
        <v>608</v>
      </c>
      <c r="SUH339" s="42" t="s">
        <v>608</v>
      </c>
      <c r="SUI339" s="42" t="s">
        <v>608</v>
      </c>
      <c r="SUJ339" s="42" t="s">
        <v>608</v>
      </c>
      <c r="SUK339" s="42" t="s">
        <v>608</v>
      </c>
      <c r="SUL339" s="42" t="s">
        <v>608</v>
      </c>
      <c r="SUM339" s="42" t="s">
        <v>608</v>
      </c>
      <c r="SUN339" s="42" t="s">
        <v>608</v>
      </c>
      <c r="SUO339" s="42" t="s">
        <v>608</v>
      </c>
      <c r="SUP339" s="42" t="s">
        <v>608</v>
      </c>
      <c r="SUQ339" s="42" t="s">
        <v>608</v>
      </c>
      <c r="SUR339" s="42" t="s">
        <v>608</v>
      </c>
      <c r="SUS339" s="42" t="s">
        <v>608</v>
      </c>
      <c r="SUT339" s="42" t="s">
        <v>608</v>
      </c>
      <c r="SUU339" s="42" t="s">
        <v>608</v>
      </c>
      <c r="SUV339" s="42" t="s">
        <v>608</v>
      </c>
      <c r="SUW339" s="42" t="s">
        <v>608</v>
      </c>
      <c r="SUX339" s="42" t="s">
        <v>608</v>
      </c>
      <c r="SUY339" s="42" t="s">
        <v>608</v>
      </c>
      <c r="SUZ339" s="42" t="s">
        <v>608</v>
      </c>
      <c r="SVA339" s="42" t="s">
        <v>608</v>
      </c>
      <c r="SVB339" s="42" t="s">
        <v>608</v>
      </c>
      <c r="SVC339" s="42" t="s">
        <v>608</v>
      </c>
      <c r="SVD339" s="42" t="s">
        <v>608</v>
      </c>
      <c r="SVE339" s="42" t="s">
        <v>608</v>
      </c>
      <c r="SVF339" s="42" t="s">
        <v>608</v>
      </c>
      <c r="SVG339" s="42" t="s">
        <v>608</v>
      </c>
      <c r="SVH339" s="42" t="s">
        <v>608</v>
      </c>
      <c r="SVI339" s="42" t="s">
        <v>608</v>
      </c>
      <c r="SVJ339" s="42" t="s">
        <v>608</v>
      </c>
      <c r="SVK339" s="42" t="s">
        <v>608</v>
      </c>
      <c r="SVL339" s="42" t="s">
        <v>608</v>
      </c>
      <c r="SVM339" s="42" t="s">
        <v>608</v>
      </c>
      <c r="SVN339" s="42" t="s">
        <v>608</v>
      </c>
      <c r="SVO339" s="42" t="s">
        <v>608</v>
      </c>
      <c r="SVP339" s="42" t="s">
        <v>608</v>
      </c>
      <c r="SVQ339" s="42" t="s">
        <v>608</v>
      </c>
      <c r="SVR339" s="42" t="s">
        <v>608</v>
      </c>
      <c r="SVS339" s="42" t="s">
        <v>608</v>
      </c>
      <c r="SVT339" s="42" t="s">
        <v>608</v>
      </c>
      <c r="SVU339" s="42" t="s">
        <v>608</v>
      </c>
      <c r="SVV339" s="42" t="s">
        <v>608</v>
      </c>
      <c r="SVW339" s="42" t="s">
        <v>608</v>
      </c>
      <c r="SVX339" s="42" t="s">
        <v>608</v>
      </c>
      <c r="SVY339" s="42" t="s">
        <v>608</v>
      </c>
      <c r="SVZ339" s="42" t="s">
        <v>608</v>
      </c>
      <c r="SWA339" s="42" t="s">
        <v>608</v>
      </c>
      <c r="SWB339" s="42" t="s">
        <v>608</v>
      </c>
      <c r="SWC339" s="42" t="s">
        <v>608</v>
      </c>
      <c r="SWD339" s="42" t="s">
        <v>608</v>
      </c>
      <c r="SWE339" s="42" t="s">
        <v>608</v>
      </c>
      <c r="SWF339" s="42" t="s">
        <v>608</v>
      </c>
      <c r="SWG339" s="42" t="s">
        <v>608</v>
      </c>
      <c r="SWH339" s="42" t="s">
        <v>608</v>
      </c>
      <c r="SWI339" s="42" t="s">
        <v>608</v>
      </c>
      <c r="SWJ339" s="42" t="s">
        <v>608</v>
      </c>
      <c r="SWK339" s="42" t="s">
        <v>608</v>
      </c>
      <c r="SWL339" s="42" t="s">
        <v>608</v>
      </c>
      <c r="SWM339" s="42" t="s">
        <v>608</v>
      </c>
      <c r="SWN339" s="42" t="s">
        <v>608</v>
      </c>
      <c r="SWO339" s="42" t="s">
        <v>608</v>
      </c>
      <c r="SWP339" s="42" t="s">
        <v>608</v>
      </c>
      <c r="SWQ339" s="42" t="s">
        <v>608</v>
      </c>
      <c r="SWR339" s="42" t="s">
        <v>608</v>
      </c>
      <c r="SWS339" s="42" t="s">
        <v>608</v>
      </c>
      <c r="SWT339" s="42" t="s">
        <v>608</v>
      </c>
      <c r="SWU339" s="42" t="s">
        <v>608</v>
      </c>
      <c r="SWV339" s="42" t="s">
        <v>608</v>
      </c>
      <c r="SWW339" s="42" t="s">
        <v>608</v>
      </c>
      <c r="SWX339" s="42" t="s">
        <v>608</v>
      </c>
      <c r="SWY339" s="42" t="s">
        <v>608</v>
      </c>
      <c r="SWZ339" s="42" t="s">
        <v>608</v>
      </c>
      <c r="SXA339" s="42" t="s">
        <v>608</v>
      </c>
      <c r="SXB339" s="42" t="s">
        <v>608</v>
      </c>
      <c r="SXC339" s="42" t="s">
        <v>608</v>
      </c>
      <c r="SXD339" s="42" t="s">
        <v>608</v>
      </c>
      <c r="SXE339" s="42" t="s">
        <v>608</v>
      </c>
      <c r="SXF339" s="42" t="s">
        <v>608</v>
      </c>
      <c r="SXG339" s="42" t="s">
        <v>608</v>
      </c>
      <c r="SXH339" s="42" t="s">
        <v>608</v>
      </c>
      <c r="SXI339" s="42" t="s">
        <v>608</v>
      </c>
      <c r="SXJ339" s="42" t="s">
        <v>608</v>
      </c>
      <c r="SXK339" s="42" t="s">
        <v>608</v>
      </c>
      <c r="SXL339" s="42" t="s">
        <v>608</v>
      </c>
      <c r="SXM339" s="42" t="s">
        <v>608</v>
      </c>
      <c r="SXN339" s="42" t="s">
        <v>608</v>
      </c>
      <c r="SXO339" s="42" t="s">
        <v>608</v>
      </c>
      <c r="SXP339" s="42" t="s">
        <v>608</v>
      </c>
      <c r="SXQ339" s="42" t="s">
        <v>608</v>
      </c>
      <c r="SXR339" s="42" t="s">
        <v>608</v>
      </c>
      <c r="SXS339" s="42" t="s">
        <v>608</v>
      </c>
      <c r="SXT339" s="42" t="s">
        <v>608</v>
      </c>
      <c r="SXU339" s="42" t="s">
        <v>608</v>
      </c>
      <c r="SXV339" s="42" t="s">
        <v>608</v>
      </c>
      <c r="SXW339" s="42" t="s">
        <v>608</v>
      </c>
      <c r="SXX339" s="42" t="s">
        <v>608</v>
      </c>
      <c r="SXY339" s="42" t="s">
        <v>608</v>
      </c>
      <c r="SXZ339" s="42" t="s">
        <v>608</v>
      </c>
      <c r="SYA339" s="42" t="s">
        <v>608</v>
      </c>
      <c r="SYB339" s="42" t="s">
        <v>608</v>
      </c>
      <c r="SYC339" s="42" t="s">
        <v>608</v>
      </c>
      <c r="SYD339" s="42" t="s">
        <v>608</v>
      </c>
      <c r="SYE339" s="42" t="s">
        <v>608</v>
      </c>
      <c r="SYF339" s="42" t="s">
        <v>608</v>
      </c>
      <c r="SYG339" s="42" t="s">
        <v>608</v>
      </c>
      <c r="SYH339" s="42" t="s">
        <v>608</v>
      </c>
      <c r="SYI339" s="42" t="s">
        <v>608</v>
      </c>
      <c r="SYJ339" s="42" t="s">
        <v>608</v>
      </c>
      <c r="SYK339" s="42" t="s">
        <v>608</v>
      </c>
      <c r="SYL339" s="42" t="s">
        <v>608</v>
      </c>
      <c r="SYM339" s="42" t="s">
        <v>608</v>
      </c>
      <c r="SYN339" s="42" t="s">
        <v>608</v>
      </c>
      <c r="SYO339" s="42" t="s">
        <v>608</v>
      </c>
      <c r="SYP339" s="42" t="s">
        <v>608</v>
      </c>
      <c r="SYQ339" s="42" t="s">
        <v>608</v>
      </c>
      <c r="SYR339" s="42" t="s">
        <v>608</v>
      </c>
      <c r="SYS339" s="42" t="s">
        <v>608</v>
      </c>
      <c r="SYT339" s="42" t="s">
        <v>608</v>
      </c>
      <c r="SYU339" s="42" t="s">
        <v>608</v>
      </c>
      <c r="SYV339" s="42" t="s">
        <v>608</v>
      </c>
      <c r="SYW339" s="42" t="s">
        <v>608</v>
      </c>
      <c r="SYX339" s="42" t="s">
        <v>608</v>
      </c>
      <c r="SYY339" s="42" t="s">
        <v>608</v>
      </c>
      <c r="SYZ339" s="42" t="s">
        <v>608</v>
      </c>
      <c r="SZA339" s="42" t="s">
        <v>608</v>
      </c>
      <c r="SZB339" s="42" t="s">
        <v>608</v>
      </c>
      <c r="SZC339" s="42" t="s">
        <v>608</v>
      </c>
      <c r="SZD339" s="42" t="s">
        <v>608</v>
      </c>
      <c r="SZE339" s="42" t="s">
        <v>608</v>
      </c>
      <c r="SZF339" s="42" t="s">
        <v>608</v>
      </c>
      <c r="SZG339" s="42" t="s">
        <v>608</v>
      </c>
      <c r="SZH339" s="42" t="s">
        <v>608</v>
      </c>
      <c r="SZI339" s="42" t="s">
        <v>608</v>
      </c>
      <c r="SZJ339" s="42" t="s">
        <v>608</v>
      </c>
      <c r="SZK339" s="42" t="s">
        <v>608</v>
      </c>
      <c r="SZL339" s="42" t="s">
        <v>608</v>
      </c>
      <c r="SZM339" s="42" t="s">
        <v>608</v>
      </c>
      <c r="SZN339" s="42" t="s">
        <v>608</v>
      </c>
      <c r="SZO339" s="42" t="s">
        <v>608</v>
      </c>
      <c r="SZP339" s="42" t="s">
        <v>608</v>
      </c>
      <c r="SZQ339" s="42" t="s">
        <v>608</v>
      </c>
      <c r="SZR339" s="42" t="s">
        <v>608</v>
      </c>
      <c r="SZS339" s="42" t="s">
        <v>608</v>
      </c>
      <c r="SZT339" s="42" t="s">
        <v>608</v>
      </c>
      <c r="SZU339" s="42" t="s">
        <v>608</v>
      </c>
      <c r="SZV339" s="42" t="s">
        <v>608</v>
      </c>
      <c r="SZW339" s="42" t="s">
        <v>608</v>
      </c>
      <c r="SZX339" s="42" t="s">
        <v>608</v>
      </c>
      <c r="SZY339" s="42" t="s">
        <v>608</v>
      </c>
      <c r="SZZ339" s="42" t="s">
        <v>608</v>
      </c>
      <c r="TAA339" s="42" t="s">
        <v>608</v>
      </c>
      <c r="TAB339" s="42" t="s">
        <v>608</v>
      </c>
      <c r="TAC339" s="42" t="s">
        <v>608</v>
      </c>
      <c r="TAD339" s="42" t="s">
        <v>608</v>
      </c>
      <c r="TAE339" s="42" t="s">
        <v>608</v>
      </c>
      <c r="TAF339" s="42" t="s">
        <v>608</v>
      </c>
      <c r="TAG339" s="42" t="s">
        <v>608</v>
      </c>
      <c r="TAH339" s="42" t="s">
        <v>608</v>
      </c>
      <c r="TAI339" s="42" t="s">
        <v>608</v>
      </c>
      <c r="TAJ339" s="42" t="s">
        <v>608</v>
      </c>
      <c r="TAK339" s="42" t="s">
        <v>608</v>
      </c>
      <c r="TAL339" s="42" t="s">
        <v>608</v>
      </c>
      <c r="TAM339" s="42" t="s">
        <v>608</v>
      </c>
      <c r="TAN339" s="42" t="s">
        <v>608</v>
      </c>
      <c r="TAO339" s="42" t="s">
        <v>608</v>
      </c>
      <c r="TAP339" s="42" t="s">
        <v>608</v>
      </c>
      <c r="TAQ339" s="42" t="s">
        <v>608</v>
      </c>
      <c r="TAR339" s="42" t="s">
        <v>608</v>
      </c>
      <c r="TAS339" s="42" t="s">
        <v>608</v>
      </c>
      <c r="TAT339" s="42" t="s">
        <v>608</v>
      </c>
      <c r="TAU339" s="42" t="s">
        <v>608</v>
      </c>
      <c r="TAV339" s="42" t="s">
        <v>608</v>
      </c>
      <c r="TAW339" s="42" t="s">
        <v>608</v>
      </c>
      <c r="TAX339" s="42" t="s">
        <v>608</v>
      </c>
      <c r="TAY339" s="42" t="s">
        <v>608</v>
      </c>
      <c r="TAZ339" s="42" t="s">
        <v>608</v>
      </c>
      <c r="TBA339" s="42" t="s">
        <v>608</v>
      </c>
      <c r="TBB339" s="42" t="s">
        <v>608</v>
      </c>
      <c r="TBC339" s="42" t="s">
        <v>608</v>
      </c>
      <c r="TBD339" s="42" t="s">
        <v>608</v>
      </c>
      <c r="TBE339" s="42" t="s">
        <v>608</v>
      </c>
      <c r="TBF339" s="42" t="s">
        <v>608</v>
      </c>
      <c r="TBG339" s="42" t="s">
        <v>608</v>
      </c>
      <c r="TBH339" s="42" t="s">
        <v>608</v>
      </c>
      <c r="TBI339" s="42" t="s">
        <v>608</v>
      </c>
      <c r="TBJ339" s="42" t="s">
        <v>608</v>
      </c>
      <c r="TBK339" s="42" t="s">
        <v>608</v>
      </c>
      <c r="TBL339" s="42" t="s">
        <v>608</v>
      </c>
      <c r="TBM339" s="42" t="s">
        <v>608</v>
      </c>
      <c r="TBN339" s="42" t="s">
        <v>608</v>
      </c>
      <c r="TBO339" s="42" t="s">
        <v>608</v>
      </c>
      <c r="TBP339" s="42" t="s">
        <v>608</v>
      </c>
      <c r="TBQ339" s="42" t="s">
        <v>608</v>
      </c>
      <c r="TBR339" s="42" t="s">
        <v>608</v>
      </c>
      <c r="TBS339" s="42" t="s">
        <v>608</v>
      </c>
      <c r="TBT339" s="42" t="s">
        <v>608</v>
      </c>
      <c r="TBU339" s="42" t="s">
        <v>608</v>
      </c>
      <c r="TBV339" s="42" t="s">
        <v>608</v>
      </c>
      <c r="TBW339" s="42" t="s">
        <v>608</v>
      </c>
      <c r="TBX339" s="42" t="s">
        <v>608</v>
      </c>
      <c r="TBY339" s="42" t="s">
        <v>608</v>
      </c>
      <c r="TBZ339" s="42" t="s">
        <v>608</v>
      </c>
      <c r="TCA339" s="42" t="s">
        <v>608</v>
      </c>
      <c r="TCB339" s="42" t="s">
        <v>608</v>
      </c>
      <c r="TCC339" s="42" t="s">
        <v>608</v>
      </c>
      <c r="TCD339" s="42" t="s">
        <v>608</v>
      </c>
      <c r="TCE339" s="42" t="s">
        <v>608</v>
      </c>
      <c r="TCF339" s="42" t="s">
        <v>608</v>
      </c>
      <c r="TCG339" s="42" t="s">
        <v>608</v>
      </c>
      <c r="TCH339" s="42" t="s">
        <v>608</v>
      </c>
      <c r="TCI339" s="42" t="s">
        <v>608</v>
      </c>
      <c r="TCJ339" s="42" t="s">
        <v>608</v>
      </c>
      <c r="TCK339" s="42" t="s">
        <v>608</v>
      </c>
      <c r="TCL339" s="42" t="s">
        <v>608</v>
      </c>
      <c r="TCM339" s="42" t="s">
        <v>608</v>
      </c>
      <c r="TCN339" s="42" t="s">
        <v>608</v>
      </c>
      <c r="TCO339" s="42" t="s">
        <v>608</v>
      </c>
      <c r="TCP339" s="42" t="s">
        <v>608</v>
      </c>
      <c r="TCQ339" s="42" t="s">
        <v>608</v>
      </c>
      <c r="TCR339" s="42" t="s">
        <v>608</v>
      </c>
      <c r="TCS339" s="42" t="s">
        <v>608</v>
      </c>
      <c r="TCT339" s="42" t="s">
        <v>608</v>
      </c>
      <c r="TCU339" s="42" t="s">
        <v>608</v>
      </c>
      <c r="TCV339" s="42" t="s">
        <v>608</v>
      </c>
      <c r="TCW339" s="42" t="s">
        <v>608</v>
      </c>
      <c r="TCX339" s="42" t="s">
        <v>608</v>
      </c>
      <c r="TCY339" s="42" t="s">
        <v>608</v>
      </c>
      <c r="TCZ339" s="42" t="s">
        <v>608</v>
      </c>
      <c r="TDA339" s="42" t="s">
        <v>608</v>
      </c>
      <c r="TDB339" s="42" t="s">
        <v>608</v>
      </c>
      <c r="TDC339" s="42" t="s">
        <v>608</v>
      </c>
      <c r="TDD339" s="42" t="s">
        <v>608</v>
      </c>
      <c r="TDE339" s="42" t="s">
        <v>608</v>
      </c>
      <c r="TDF339" s="42" t="s">
        <v>608</v>
      </c>
      <c r="TDG339" s="42" t="s">
        <v>608</v>
      </c>
      <c r="TDH339" s="42" t="s">
        <v>608</v>
      </c>
      <c r="TDI339" s="42" t="s">
        <v>608</v>
      </c>
      <c r="TDJ339" s="42" t="s">
        <v>608</v>
      </c>
      <c r="TDK339" s="42" t="s">
        <v>608</v>
      </c>
      <c r="TDL339" s="42" t="s">
        <v>608</v>
      </c>
      <c r="TDM339" s="42" t="s">
        <v>608</v>
      </c>
      <c r="TDN339" s="42" t="s">
        <v>608</v>
      </c>
      <c r="TDO339" s="42" t="s">
        <v>608</v>
      </c>
      <c r="TDP339" s="42" t="s">
        <v>608</v>
      </c>
      <c r="TDQ339" s="42" t="s">
        <v>608</v>
      </c>
      <c r="TDR339" s="42" t="s">
        <v>608</v>
      </c>
      <c r="TDS339" s="42" t="s">
        <v>608</v>
      </c>
      <c r="TDT339" s="42" t="s">
        <v>608</v>
      </c>
      <c r="TDU339" s="42" t="s">
        <v>608</v>
      </c>
      <c r="TDV339" s="42" t="s">
        <v>608</v>
      </c>
      <c r="TDW339" s="42" t="s">
        <v>608</v>
      </c>
      <c r="TDX339" s="42" t="s">
        <v>608</v>
      </c>
      <c r="TDY339" s="42" t="s">
        <v>608</v>
      </c>
      <c r="TDZ339" s="42" t="s">
        <v>608</v>
      </c>
      <c r="TEA339" s="42" t="s">
        <v>608</v>
      </c>
      <c r="TEB339" s="42" t="s">
        <v>608</v>
      </c>
      <c r="TEC339" s="42" t="s">
        <v>608</v>
      </c>
      <c r="TED339" s="42" t="s">
        <v>608</v>
      </c>
      <c r="TEE339" s="42" t="s">
        <v>608</v>
      </c>
      <c r="TEF339" s="42" t="s">
        <v>608</v>
      </c>
      <c r="TEG339" s="42" t="s">
        <v>608</v>
      </c>
      <c r="TEH339" s="42" t="s">
        <v>608</v>
      </c>
      <c r="TEI339" s="42" t="s">
        <v>608</v>
      </c>
      <c r="TEJ339" s="42" t="s">
        <v>608</v>
      </c>
      <c r="TEK339" s="42" t="s">
        <v>608</v>
      </c>
      <c r="TEL339" s="42" t="s">
        <v>608</v>
      </c>
      <c r="TEM339" s="42" t="s">
        <v>608</v>
      </c>
      <c r="TEN339" s="42" t="s">
        <v>608</v>
      </c>
      <c r="TEO339" s="42" t="s">
        <v>608</v>
      </c>
      <c r="TEP339" s="42" t="s">
        <v>608</v>
      </c>
      <c r="TEQ339" s="42" t="s">
        <v>608</v>
      </c>
      <c r="TER339" s="42" t="s">
        <v>608</v>
      </c>
      <c r="TES339" s="42" t="s">
        <v>608</v>
      </c>
      <c r="TET339" s="42" t="s">
        <v>608</v>
      </c>
      <c r="TEU339" s="42" t="s">
        <v>608</v>
      </c>
      <c r="TEV339" s="42" t="s">
        <v>608</v>
      </c>
      <c r="TEW339" s="42" t="s">
        <v>608</v>
      </c>
      <c r="TEX339" s="42" t="s">
        <v>608</v>
      </c>
      <c r="TEY339" s="42" t="s">
        <v>608</v>
      </c>
      <c r="TEZ339" s="42" t="s">
        <v>608</v>
      </c>
      <c r="TFA339" s="42" t="s">
        <v>608</v>
      </c>
      <c r="TFB339" s="42" t="s">
        <v>608</v>
      </c>
      <c r="TFC339" s="42" t="s">
        <v>608</v>
      </c>
      <c r="TFD339" s="42" t="s">
        <v>608</v>
      </c>
      <c r="TFE339" s="42" t="s">
        <v>608</v>
      </c>
      <c r="TFF339" s="42" t="s">
        <v>608</v>
      </c>
      <c r="TFG339" s="42" t="s">
        <v>608</v>
      </c>
      <c r="TFH339" s="42" t="s">
        <v>608</v>
      </c>
      <c r="TFI339" s="42" t="s">
        <v>608</v>
      </c>
      <c r="TFJ339" s="42" t="s">
        <v>608</v>
      </c>
      <c r="TFK339" s="42" t="s">
        <v>608</v>
      </c>
      <c r="TFL339" s="42" t="s">
        <v>608</v>
      </c>
      <c r="TFM339" s="42" t="s">
        <v>608</v>
      </c>
      <c r="TFN339" s="42" t="s">
        <v>608</v>
      </c>
      <c r="TFO339" s="42" t="s">
        <v>608</v>
      </c>
      <c r="TFP339" s="42" t="s">
        <v>608</v>
      </c>
      <c r="TFQ339" s="42" t="s">
        <v>608</v>
      </c>
      <c r="TFR339" s="42" t="s">
        <v>608</v>
      </c>
      <c r="TFS339" s="42" t="s">
        <v>608</v>
      </c>
      <c r="TFT339" s="42" t="s">
        <v>608</v>
      </c>
      <c r="TFU339" s="42" t="s">
        <v>608</v>
      </c>
      <c r="TFV339" s="42" t="s">
        <v>608</v>
      </c>
      <c r="TFW339" s="42" t="s">
        <v>608</v>
      </c>
      <c r="TFX339" s="42" t="s">
        <v>608</v>
      </c>
      <c r="TFY339" s="42" t="s">
        <v>608</v>
      </c>
      <c r="TFZ339" s="42" t="s">
        <v>608</v>
      </c>
      <c r="TGA339" s="42" t="s">
        <v>608</v>
      </c>
      <c r="TGB339" s="42" t="s">
        <v>608</v>
      </c>
      <c r="TGC339" s="42" t="s">
        <v>608</v>
      </c>
      <c r="TGD339" s="42" t="s">
        <v>608</v>
      </c>
      <c r="TGE339" s="42" t="s">
        <v>608</v>
      </c>
      <c r="TGF339" s="42" t="s">
        <v>608</v>
      </c>
      <c r="TGG339" s="42" t="s">
        <v>608</v>
      </c>
      <c r="TGH339" s="42" t="s">
        <v>608</v>
      </c>
      <c r="TGI339" s="42" t="s">
        <v>608</v>
      </c>
      <c r="TGJ339" s="42" t="s">
        <v>608</v>
      </c>
      <c r="TGK339" s="42" t="s">
        <v>608</v>
      </c>
      <c r="TGL339" s="42" t="s">
        <v>608</v>
      </c>
      <c r="TGM339" s="42" t="s">
        <v>608</v>
      </c>
      <c r="TGN339" s="42" t="s">
        <v>608</v>
      </c>
      <c r="TGO339" s="42" t="s">
        <v>608</v>
      </c>
      <c r="TGP339" s="42" t="s">
        <v>608</v>
      </c>
      <c r="TGQ339" s="42" t="s">
        <v>608</v>
      </c>
      <c r="TGR339" s="42" t="s">
        <v>608</v>
      </c>
      <c r="TGS339" s="42" t="s">
        <v>608</v>
      </c>
      <c r="TGT339" s="42" t="s">
        <v>608</v>
      </c>
      <c r="TGU339" s="42" t="s">
        <v>608</v>
      </c>
      <c r="TGV339" s="42" t="s">
        <v>608</v>
      </c>
      <c r="TGW339" s="42" t="s">
        <v>608</v>
      </c>
      <c r="TGX339" s="42" t="s">
        <v>608</v>
      </c>
      <c r="TGY339" s="42" t="s">
        <v>608</v>
      </c>
      <c r="TGZ339" s="42" t="s">
        <v>608</v>
      </c>
      <c r="THA339" s="42" t="s">
        <v>608</v>
      </c>
      <c r="THB339" s="42" t="s">
        <v>608</v>
      </c>
      <c r="THC339" s="42" t="s">
        <v>608</v>
      </c>
      <c r="THD339" s="42" t="s">
        <v>608</v>
      </c>
      <c r="THE339" s="42" t="s">
        <v>608</v>
      </c>
      <c r="THF339" s="42" t="s">
        <v>608</v>
      </c>
      <c r="THG339" s="42" t="s">
        <v>608</v>
      </c>
      <c r="THH339" s="42" t="s">
        <v>608</v>
      </c>
      <c r="THI339" s="42" t="s">
        <v>608</v>
      </c>
      <c r="THJ339" s="42" t="s">
        <v>608</v>
      </c>
      <c r="THK339" s="42" t="s">
        <v>608</v>
      </c>
      <c r="THL339" s="42" t="s">
        <v>608</v>
      </c>
      <c r="THM339" s="42" t="s">
        <v>608</v>
      </c>
      <c r="THN339" s="42" t="s">
        <v>608</v>
      </c>
      <c r="THO339" s="42" t="s">
        <v>608</v>
      </c>
      <c r="THP339" s="42" t="s">
        <v>608</v>
      </c>
      <c r="THQ339" s="42" t="s">
        <v>608</v>
      </c>
      <c r="THR339" s="42" t="s">
        <v>608</v>
      </c>
      <c r="THS339" s="42" t="s">
        <v>608</v>
      </c>
      <c r="THT339" s="42" t="s">
        <v>608</v>
      </c>
      <c r="THU339" s="42" t="s">
        <v>608</v>
      </c>
      <c r="THV339" s="42" t="s">
        <v>608</v>
      </c>
      <c r="THW339" s="42" t="s">
        <v>608</v>
      </c>
      <c r="THX339" s="42" t="s">
        <v>608</v>
      </c>
      <c r="THY339" s="42" t="s">
        <v>608</v>
      </c>
      <c r="THZ339" s="42" t="s">
        <v>608</v>
      </c>
      <c r="TIA339" s="42" t="s">
        <v>608</v>
      </c>
      <c r="TIB339" s="42" t="s">
        <v>608</v>
      </c>
      <c r="TIC339" s="42" t="s">
        <v>608</v>
      </c>
      <c r="TID339" s="42" t="s">
        <v>608</v>
      </c>
      <c r="TIE339" s="42" t="s">
        <v>608</v>
      </c>
      <c r="TIF339" s="42" t="s">
        <v>608</v>
      </c>
      <c r="TIG339" s="42" t="s">
        <v>608</v>
      </c>
      <c r="TIH339" s="42" t="s">
        <v>608</v>
      </c>
      <c r="TII339" s="42" t="s">
        <v>608</v>
      </c>
      <c r="TIJ339" s="42" t="s">
        <v>608</v>
      </c>
      <c r="TIK339" s="42" t="s">
        <v>608</v>
      </c>
      <c r="TIL339" s="42" t="s">
        <v>608</v>
      </c>
      <c r="TIM339" s="42" t="s">
        <v>608</v>
      </c>
      <c r="TIN339" s="42" t="s">
        <v>608</v>
      </c>
      <c r="TIO339" s="42" t="s">
        <v>608</v>
      </c>
      <c r="TIP339" s="42" t="s">
        <v>608</v>
      </c>
      <c r="TIQ339" s="42" t="s">
        <v>608</v>
      </c>
      <c r="TIR339" s="42" t="s">
        <v>608</v>
      </c>
      <c r="TIS339" s="42" t="s">
        <v>608</v>
      </c>
      <c r="TIT339" s="42" t="s">
        <v>608</v>
      </c>
      <c r="TIU339" s="42" t="s">
        <v>608</v>
      </c>
      <c r="TIV339" s="42" t="s">
        <v>608</v>
      </c>
      <c r="TIW339" s="42" t="s">
        <v>608</v>
      </c>
      <c r="TIX339" s="42" t="s">
        <v>608</v>
      </c>
      <c r="TIY339" s="42" t="s">
        <v>608</v>
      </c>
      <c r="TIZ339" s="42" t="s">
        <v>608</v>
      </c>
      <c r="TJA339" s="42" t="s">
        <v>608</v>
      </c>
      <c r="TJB339" s="42" t="s">
        <v>608</v>
      </c>
      <c r="TJC339" s="42" t="s">
        <v>608</v>
      </c>
      <c r="TJD339" s="42" t="s">
        <v>608</v>
      </c>
      <c r="TJE339" s="42" t="s">
        <v>608</v>
      </c>
      <c r="TJF339" s="42" t="s">
        <v>608</v>
      </c>
      <c r="TJG339" s="42" t="s">
        <v>608</v>
      </c>
      <c r="TJH339" s="42" t="s">
        <v>608</v>
      </c>
      <c r="TJI339" s="42" t="s">
        <v>608</v>
      </c>
      <c r="TJJ339" s="42" t="s">
        <v>608</v>
      </c>
      <c r="TJK339" s="42" t="s">
        <v>608</v>
      </c>
      <c r="TJL339" s="42" t="s">
        <v>608</v>
      </c>
      <c r="TJM339" s="42" t="s">
        <v>608</v>
      </c>
      <c r="TJN339" s="42" t="s">
        <v>608</v>
      </c>
      <c r="TJO339" s="42" t="s">
        <v>608</v>
      </c>
      <c r="TJP339" s="42" t="s">
        <v>608</v>
      </c>
      <c r="TJQ339" s="42" t="s">
        <v>608</v>
      </c>
      <c r="TJR339" s="42" t="s">
        <v>608</v>
      </c>
      <c r="TJS339" s="42" t="s">
        <v>608</v>
      </c>
      <c r="TJT339" s="42" t="s">
        <v>608</v>
      </c>
      <c r="TJU339" s="42" t="s">
        <v>608</v>
      </c>
      <c r="TJV339" s="42" t="s">
        <v>608</v>
      </c>
      <c r="TJW339" s="42" t="s">
        <v>608</v>
      </c>
      <c r="TJX339" s="42" t="s">
        <v>608</v>
      </c>
      <c r="TJY339" s="42" t="s">
        <v>608</v>
      </c>
      <c r="TJZ339" s="42" t="s">
        <v>608</v>
      </c>
      <c r="TKA339" s="42" t="s">
        <v>608</v>
      </c>
      <c r="TKB339" s="42" t="s">
        <v>608</v>
      </c>
      <c r="TKC339" s="42" t="s">
        <v>608</v>
      </c>
      <c r="TKD339" s="42" t="s">
        <v>608</v>
      </c>
      <c r="TKE339" s="42" t="s">
        <v>608</v>
      </c>
      <c r="TKF339" s="42" t="s">
        <v>608</v>
      </c>
      <c r="TKG339" s="42" t="s">
        <v>608</v>
      </c>
      <c r="TKH339" s="42" t="s">
        <v>608</v>
      </c>
      <c r="TKI339" s="42" t="s">
        <v>608</v>
      </c>
      <c r="TKJ339" s="42" t="s">
        <v>608</v>
      </c>
      <c r="TKK339" s="42" t="s">
        <v>608</v>
      </c>
      <c r="TKL339" s="42" t="s">
        <v>608</v>
      </c>
      <c r="TKM339" s="42" t="s">
        <v>608</v>
      </c>
      <c r="TKN339" s="42" t="s">
        <v>608</v>
      </c>
      <c r="TKO339" s="42" t="s">
        <v>608</v>
      </c>
      <c r="TKP339" s="42" t="s">
        <v>608</v>
      </c>
      <c r="TKQ339" s="42" t="s">
        <v>608</v>
      </c>
      <c r="TKR339" s="42" t="s">
        <v>608</v>
      </c>
      <c r="TKS339" s="42" t="s">
        <v>608</v>
      </c>
      <c r="TKT339" s="42" t="s">
        <v>608</v>
      </c>
      <c r="TKU339" s="42" t="s">
        <v>608</v>
      </c>
      <c r="TKV339" s="42" t="s">
        <v>608</v>
      </c>
      <c r="TKW339" s="42" t="s">
        <v>608</v>
      </c>
      <c r="TKX339" s="42" t="s">
        <v>608</v>
      </c>
      <c r="TKY339" s="42" t="s">
        <v>608</v>
      </c>
      <c r="TKZ339" s="42" t="s">
        <v>608</v>
      </c>
      <c r="TLA339" s="42" t="s">
        <v>608</v>
      </c>
      <c r="TLB339" s="42" t="s">
        <v>608</v>
      </c>
      <c r="TLC339" s="42" t="s">
        <v>608</v>
      </c>
      <c r="TLD339" s="42" t="s">
        <v>608</v>
      </c>
      <c r="TLE339" s="42" t="s">
        <v>608</v>
      </c>
      <c r="TLF339" s="42" t="s">
        <v>608</v>
      </c>
      <c r="TLG339" s="42" t="s">
        <v>608</v>
      </c>
      <c r="TLH339" s="42" t="s">
        <v>608</v>
      </c>
      <c r="TLI339" s="42" t="s">
        <v>608</v>
      </c>
      <c r="TLJ339" s="42" t="s">
        <v>608</v>
      </c>
      <c r="TLK339" s="42" t="s">
        <v>608</v>
      </c>
      <c r="TLL339" s="42" t="s">
        <v>608</v>
      </c>
      <c r="TLM339" s="42" t="s">
        <v>608</v>
      </c>
      <c r="TLN339" s="42" t="s">
        <v>608</v>
      </c>
      <c r="TLO339" s="42" t="s">
        <v>608</v>
      </c>
      <c r="TLP339" s="42" t="s">
        <v>608</v>
      </c>
      <c r="TLQ339" s="42" t="s">
        <v>608</v>
      </c>
      <c r="TLR339" s="42" t="s">
        <v>608</v>
      </c>
      <c r="TLS339" s="42" t="s">
        <v>608</v>
      </c>
      <c r="TLT339" s="42" t="s">
        <v>608</v>
      </c>
      <c r="TLU339" s="42" t="s">
        <v>608</v>
      </c>
      <c r="TLV339" s="42" t="s">
        <v>608</v>
      </c>
      <c r="TLW339" s="42" t="s">
        <v>608</v>
      </c>
      <c r="TLX339" s="42" t="s">
        <v>608</v>
      </c>
      <c r="TLY339" s="42" t="s">
        <v>608</v>
      </c>
      <c r="TLZ339" s="42" t="s">
        <v>608</v>
      </c>
      <c r="TMA339" s="42" t="s">
        <v>608</v>
      </c>
      <c r="TMB339" s="42" t="s">
        <v>608</v>
      </c>
      <c r="TMC339" s="42" t="s">
        <v>608</v>
      </c>
      <c r="TMD339" s="42" t="s">
        <v>608</v>
      </c>
      <c r="TME339" s="42" t="s">
        <v>608</v>
      </c>
      <c r="TMF339" s="42" t="s">
        <v>608</v>
      </c>
      <c r="TMG339" s="42" t="s">
        <v>608</v>
      </c>
      <c r="TMH339" s="42" t="s">
        <v>608</v>
      </c>
      <c r="TMI339" s="42" t="s">
        <v>608</v>
      </c>
      <c r="TMJ339" s="42" t="s">
        <v>608</v>
      </c>
      <c r="TMK339" s="42" t="s">
        <v>608</v>
      </c>
      <c r="TML339" s="42" t="s">
        <v>608</v>
      </c>
      <c r="TMM339" s="42" t="s">
        <v>608</v>
      </c>
      <c r="TMN339" s="42" t="s">
        <v>608</v>
      </c>
      <c r="TMO339" s="42" t="s">
        <v>608</v>
      </c>
      <c r="TMP339" s="42" t="s">
        <v>608</v>
      </c>
      <c r="TMQ339" s="42" t="s">
        <v>608</v>
      </c>
      <c r="TMR339" s="42" t="s">
        <v>608</v>
      </c>
      <c r="TMS339" s="42" t="s">
        <v>608</v>
      </c>
      <c r="TMT339" s="42" t="s">
        <v>608</v>
      </c>
      <c r="TMU339" s="42" t="s">
        <v>608</v>
      </c>
      <c r="TMV339" s="42" t="s">
        <v>608</v>
      </c>
      <c r="TMW339" s="42" t="s">
        <v>608</v>
      </c>
      <c r="TMX339" s="42" t="s">
        <v>608</v>
      </c>
      <c r="TMY339" s="42" t="s">
        <v>608</v>
      </c>
      <c r="TMZ339" s="42" t="s">
        <v>608</v>
      </c>
      <c r="TNA339" s="42" t="s">
        <v>608</v>
      </c>
      <c r="TNB339" s="42" t="s">
        <v>608</v>
      </c>
      <c r="TNC339" s="42" t="s">
        <v>608</v>
      </c>
      <c r="TND339" s="42" t="s">
        <v>608</v>
      </c>
      <c r="TNE339" s="42" t="s">
        <v>608</v>
      </c>
      <c r="TNF339" s="42" t="s">
        <v>608</v>
      </c>
      <c r="TNG339" s="42" t="s">
        <v>608</v>
      </c>
      <c r="TNH339" s="42" t="s">
        <v>608</v>
      </c>
      <c r="TNI339" s="42" t="s">
        <v>608</v>
      </c>
      <c r="TNJ339" s="42" t="s">
        <v>608</v>
      </c>
      <c r="TNK339" s="42" t="s">
        <v>608</v>
      </c>
      <c r="TNL339" s="42" t="s">
        <v>608</v>
      </c>
      <c r="TNM339" s="42" t="s">
        <v>608</v>
      </c>
      <c r="TNN339" s="42" t="s">
        <v>608</v>
      </c>
      <c r="TNO339" s="42" t="s">
        <v>608</v>
      </c>
      <c r="TNP339" s="42" t="s">
        <v>608</v>
      </c>
      <c r="TNQ339" s="42" t="s">
        <v>608</v>
      </c>
      <c r="TNR339" s="42" t="s">
        <v>608</v>
      </c>
      <c r="TNS339" s="42" t="s">
        <v>608</v>
      </c>
      <c r="TNT339" s="42" t="s">
        <v>608</v>
      </c>
      <c r="TNU339" s="42" t="s">
        <v>608</v>
      </c>
      <c r="TNV339" s="42" t="s">
        <v>608</v>
      </c>
      <c r="TNW339" s="42" t="s">
        <v>608</v>
      </c>
      <c r="TNX339" s="42" t="s">
        <v>608</v>
      </c>
      <c r="TNY339" s="42" t="s">
        <v>608</v>
      </c>
      <c r="TNZ339" s="42" t="s">
        <v>608</v>
      </c>
      <c r="TOA339" s="42" t="s">
        <v>608</v>
      </c>
      <c r="TOB339" s="42" t="s">
        <v>608</v>
      </c>
      <c r="TOC339" s="42" t="s">
        <v>608</v>
      </c>
      <c r="TOD339" s="42" t="s">
        <v>608</v>
      </c>
      <c r="TOE339" s="42" t="s">
        <v>608</v>
      </c>
      <c r="TOF339" s="42" t="s">
        <v>608</v>
      </c>
      <c r="TOG339" s="42" t="s">
        <v>608</v>
      </c>
      <c r="TOH339" s="42" t="s">
        <v>608</v>
      </c>
      <c r="TOI339" s="42" t="s">
        <v>608</v>
      </c>
      <c r="TOJ339" s="42" t="s">
        <v>608</v>
      </c>
      <c r="TOK339" s="42" t="s">
        <v>608</v>
      </c>
      <c r="TOL339" s="42" t="s">
        <v>608</v>
      </c>
      <c r="TOM339" s="42" t="s">
        <v>608</v>
      </c>
      <c r="TON339" s="42" t="s">
        <v>608</v>
      </c>
      <c r="TOO339" s="42" t="s">
        <v>608</v>
      </c>
      <c r="TOP339" s="42" t="s">
        <v>608</v>
      </c>
      <c r="TOQ339" s="42" t="s">
        <v>608</v>
      </c>
      <c r="TOR339" s="42" t="s">
        <v>608</v>
      </c>
      <c r="TOS339" s="42" t="s">
        <v>608</v>
      </c>
      <c r="TOT339" s="42" t="s">
        <v>608</v>
      </c>
      <c r="TOU339" s="42" t="s">
        <v>608</v>
      </c>
      <c r="TOV339" s="42" t="s">
        <v>608</v>
      </c>
      <c r="TOW339" s="42" t="s">
        <v>608</v>
      </c>
      <c r="TOX339" s="42" t="s">
        <v>608</v>
      </c>
      <c r="TOY339" s="42" t="s">
        <v>608</v>
      </c>
      <c r="TOZ339" s="42" t="s">
        <v>608</v>
      </c>
      <c r="TPA339" s="42" t="s">
        <v>608</v>
      </c>
      <c r="TPB339" s="42" t="s">
        <v>608</v>
      </c>
      <c r="TPC339" s="42" t="s">
        <v>608</v>
      </c>
      <c r="TPD339" s="42" t="s">
        <v>608</v>
      </c>
      <c r="TPE339" s="42" t="s">
        <v>608</v>
      </c>
      <c r="TPF339" s="42" t="s">
        <v>608</v>
      </c>
      <c r="TPG339" s="42" t="s">
        <v>608</v>
      </c>
      <c r="TPH339" s="42" t="s">
        <v>608</v>
      </c>
      <c r="TPI339" s="42" t="s">
        <v>608</v>
      </c>
      <c r="TPJ339" s="42" t="s">
        <v>608</v>
      </c>
      <c r="TPK339" s="42" t="s">
        <v>608</v>
      </c>
      <c r="TPL339" s="42" t="s">
        <v>608</v>
      </c>
      <c r="TPM339" s="42" t="s">
        <v>608</v>
      </c>
      <c r="TPN339" s="42" t="s">
        <v>608</v>
      </c>
      <c r="TPO339" s="42" t="s">
        <v>608</v>
      </c>
      <c r="TPP339" s="42" t="s">
        <v>608</v>
      </c>
      <c r="TPQ339" s="42" t="s">
        <v>608</v>
      </c>
      <c r="TPR339" s="42" t="s">
        <v>608</v>
      </c>
      <c r="TPS339" s="42" t="s">
        <v>608</v>
      </c>
      <c r="TPT339" s="42" t="s">
        <v>608</v>
      </c>
      <c r="TPU339" s="42" t="s">
        <v>608</v>
      </c>
      <c r="TPV339" s="42" t="s">
        <v>608</v>
      </c>
      <c r="TPW339" s="42" t="s">
        <v>608</v>
      </c>
      <c r="TPX339" s="42" t="s">
        <v>608</v>
      </c>
      <c r="TPY339" s="42" t="s">
        <v>608</v>
      </c>
      <c r="TPZ339" s="42" t="s">
        <v>608</v>
      </c>
      <c r="TQA339" s="42" t="s">
        <v>608</v>
      </c>
      <c r="TQB339" s="42" t="s">
        <v>608</v>
      </c>
      <c r="TQC339" s="42" t="s">
        <v>608</v>
      </c>
      <c r="TQD339" s="42" t="s">
        <v>608</v>
      </c>
      <c r="TQE339" s="42" t="s">
        <v>608</v>
      </c>
      <c r="TQF339" s="42" t="s">
        <v>608</v>
      </c>
      <c r="TQG339" s="42" t="s">
        <v>608</v>
      </c>
      <c r="TQH339" s="42" t="s">
        <v>608</v>
      </c>
      <c r="TQI339" s="42" t="s">
        <v>608</v>
      </c>
      <c r="TQJ339" s="42" t="s">
        <v>608</v>
      </c>
      <c r="TQK339" s="42" t="s">
        <v>608</v>
      </c>
      <c r="TQL339" s="42" t="s">
        <v>608</v>
      </c>
      <c r="TQM339" s="42" t="s">
        <v>608</v>
      </c>
      <c r="TQN339" s="42" t="s">
        <v>608</v>
      </c>
      <c r="TQO339" s="42" t="s">
        <v>608</v>
      </c>
      <c r="TQP339" s="42" t="s">
        <v>608</v>
      </c>
      <c r="TQQ339" s="42" t="s">
        <v>608</v>
      </c>
      <c r="TQR339" s="42" t="s">
        <v>608</v>
      </c>
      <c r="TQS339" s="42" t="s">
        <v>608</v>
      </c>
      <c r="TQT339" s="42" t="s">
        <v>608</v>
      </c>
      <c r="TQU339" s="42" t="s">
        <v>608</v>
      </c>
      <c r="TQV339" s="42" t="s">
        <v>608</v>
      </c>
      <c r="TQW339" s="42" t="s">
        <v>608</v>
      </c>
      <c r="TQX339" s="42" t="s">
        <v>608</v>
      </c>
      <c r="TQY339" s="42" t="s">
        <v>608</v>
      </c>
      <c r="TQZ339" s="42" t="s">
        <v>608</v>
      </c>
      <c r="TRA339" s="42" t="s">
        <v>608</v>
      </c>
      <c r="TRB339" s="42" t="s">
        <v>608</v>
      </c>
      <c r="TRC339" s="42" t="s">
        <v>608</v>
      </c>
      <c r="TRD339" s="42" t="s">
        <v>608</v>
      </c>
      <c r="TRE339" s="42" t="s">
        <v>608</v>
      </c>
      <c r="TRF339" s="42" t="s">
        <v>608</v>
      </c>
      <c r="TRG339" s="42" t="s">
        <v>608</v>
      </c>
      <c r="TRH339" s="42" t="s">
        <v>608</v>
      </c>
      <c r="TRI339" s="42" t="s">
        <v>608</v>
      </c>
      <c r="TRJ339" s="42" t="s">
        <v>608</v>
      </c>
      <c r="TRK339" s="42" t="s">
        <v>608</v>
      </c>
      <c r="TRL339" s="42" t="s">
        <v>608</v>
      </c>
      <c r="TRM339" s="42" t="s">
        <v>608</v>
      </c>
      <c r="TRN339" s="42" t="s">
        <v>608</v>
      </c>
      <c r="TRO339" s="42" t="s">
        <v>608</v>
      </c>
      <c r="TRP339" s="42" t="s">
        <v>608</v>
      </c>
      <c r="TRQ339" s="42" t="s">
        <v>608</v>
      </c>
      <c r="TRR339" s="42" t="s">
        <v>608</v>
      </c>
      <c r="TRS339" s="42" t="s">
        <v>608</v>
      </c>
      <c r="TRT339" s="42" t="s">
        <v>608</v>
      </c>
      <c r="TRU339" s="42" t="s">
        <v>608</v>
      </c>
      <c r="TRV339" s="42" t="s">
        <v>608</v>
      </c>
      <c r="TRW339" s="42" t="s">
        <v>608</v>
      </c>
      <c r="TRX339" s="42" t="s">
        <v>608</v>
      </c>
      <c r="TRY339" s="42" t="s">
        <v>608</v>
      </c>
      <c r="TRZ339" s="42" t="s">
        <v>608</v>
      </c>
      <c r="TSA339" s="42" t="s">
        <v>608</v>
      </c>
      <c r="TSB339" s="42" t="s">
        <v>608</v>
      </c>
      <c r="TSC339" s="42" t="s">
        <v>608</v>
      </c>
      <c r="TSD339" s="42" t="s">
        <v>608</v>
      </c>
      <c r="TSE339" s="42" t="s">
        <v>608</v>
      </c>
      <c r="TSF339" s="42" t="s">
        <v>608</v>
      </c>
      <c r="TSG339" s="42" t="s">
        <v>608</v>
      </c>
      <c r="TSH339" s="42" t="s">
        <v>608</v>
      </c>
      <c r="TSI339" s="42" t="s">
        <v>608</v>
      </c>
      <c r="TSJ339" s="42" t="s">
        <v>608</v>
      </c>
      <c r="TSK339" s="42" t="s">
        <v>608</v>
      </c>
      <c r="TSL339" s="42" t="s">
        <v>608</v>
      </c>
      <c r="TSM339" s="42" t="s">
        <v>608</v>
      </c>
      <c r="TSN339" s="42" t="s">
        <v>608</v>
      </c>
      <c r="TSO339" s="42" t="s">
        <v>608</v>
      </c>
      <c r="TSP339" s="42" t="s">
        <v>608</v>
      </c>
      <c r="TSQ339" s="42" t="s">
        <v>608</v>
      </c>
      <c r="TSR339" s="42" t="s">
        <v>608</v>
      </c>
      <c r="TSS339" s="42" t="s">
        <v>608</v>
      </c>
      <c r="TST339" s="42" t="s">
        <v>608</v>
      </c>
      <c r="TSU339" s="42" t="s">
        <v>608</v>
      </c>
      <c r="TSV339" s="42" t="s">
        <v>608</v>
      </c>
      <c r="TSW339" s="42" t="s">
        <v>608</v>
      </c>
      <c r="TSX339" s="42" t="s">
        <v>608</v>
      </c>
      <c r="TSY339" s="42" t="s">
        <v>608</v>
      </c>
      <c r="TSZ339" s="42" t="s">
        <v>608</v>
      </c>
      <c r="TTA339" s="42" t="s">
        <v>608</v>
      </c>
      <c r="TTB339" s="42" t="s">
        <v>608</v>
      </c>
      <c r="TTC339" s="42" t="s">
        <v>608</v>
      </c>
      <c r="TTD339" s="42" t="s">
        <v>608</v>
      </c>
      <c r="TTE339" s="42" t="s">
        <v>608</v>
      </c>
      <c r="TTF339" s="42" t="s">
        <v>608</v>
      </c>
      <c r="TTG339" s="42" t="s">
        <v>608</v>
      </c>
      <c r="TTH339" s="42" t="s">
        <v>608</v>
      </c>
      <c r="TTI339" s="42" t="s">
        <v>608</v>
      </c>
      <c r="TTJ339" s="42" t="s">
        <v>608</v>
      </c>
      <c r="TTK339" s="42" t="s">
        <v>608</v>
      </c>
      <c r="TTL339" s="42" t="s">
        <v>608</v>
      </c>
      <c r="TTM339" s="42" t="s">
        <v>608</v>
      </c>
      <c r="TTN339" s="42" t="s">
        <v>608</v>
      </c>
      <c r="TTO339" s="42" t="s">
        <v>608</v>
      </c>
      <c r="TTP339" s="42" t="s">
        <v>608</v>
      </c>
      <c r="TTQ339" s="42" t="s">
        <v>608</v>
      </c>
      <c r="TTR339" s="42" t="s">
        <v>608</v>
      </c>
      <c r="TTS339" s="42" t="s">
        <v>608</v>
      </c>
      <c r="TTT339" s="42" t="s">
        <v>608</v>
      </c>
      <c r="TTU339" s="42" t="s">
        <v>608</v>
      </c>
      <c r="TTV339" s="42" t="s">
        <v>608</v>
      </c>
      <c r="TTW339" s="42" t="s">
        <v>608</v>
      </c>
      <c r="TTX339" s="42" t="s">
        <v>608</v>
      </c>
      <c r="TTY339" s="42" t="s">
        <v>608</v>
      </c>
      <c r="TTZ339" s="42" t="s">
        <v>608</v>
      </c>
      <c r="TUA339" s="42" t="s">
        <v>608</v>
      </c>
      <c r="TUB339" s="42" t="s">
        <v>608</v>
      </c>
      <c r="TUC339" s="42" t="s">
        <v>608</v>
      </c>
      <c r="TUD339" s="42" t="s">
        <v>608</v>
      </c>
      <c r="TUE339" s="42" t="s">
        <v>608</v>
      </c>
      <c r="TUF339" s="42" t="s">
        <v>608</v>
      </c>
      <c r="TUG339" s="42" t="s">
        <v>608</v>
      </c>
      <c r="TUH339" s="42" t="s">
        <v>608</v>
      </c>
      <c r="TUI339" s="42" t="s">
        <v>608</v>
      </c>
      <c r="TUJ339" s="42" t="s">
        <v>608</v>
      </c>
      <c r="TUK339" s="42" t="s">
        <v>608</v>
      </c>
      <c r="TUL339" s="42" t="s">
        <v>608</v>
      </c>
      <c r="TUM339" s="42" t="s">
        <v>608</v>
      </c>
      <c r="TUN339" s="42" t="s">
        <v>608</v>
      </c>
      <c r="TUO339" s="42" t="s">
        <v>608</v>
      </c>
      <c r="TUP339" s="42" t="s">
        <v>608</v>
      </c>
      <c r="TUQ339" s="42" t="s">
        <v>608</v>
      </c>
      <c r="TUR339" s="42" t="s">
        <v>608</v>
      </c>
      <c r="TUS339" s="42" t="s">
        <v>608</v>
      </c>
      <c r="TUT339" s="42" t="s">
        <v>608</v>
      </c>
      <c r="TUU339" s="42" t="s">
        <v>608</v>
      </c>
      <c r="TUV339" s="42" t="s">
        <v>608</v>
      </c>
      <c r="TUW339" s="42" t="s">
        <v>608</v>
      </c>
      <c r="TUX339" s="42" t="s">
        <v>608</v>
      </c>
      <c r="TUY339" s="42" t="s">
        <v>608</v>
      </c>
      <c r="TUZ339" s="42" t="s">
        <v>608</v>
      </c>
      <c r="TVA339" s="42" t="s">
        <v>608</v>
      </c>
      <c r="TVB339" s="42" t="s">
        <v>608</v>
      </c>
      <c r="TVC339" s="42" t="s">
        <v>608</v>
      </c>
      <c r="TVD339" s="42" t="s">
        <v>608</v>
      </c>
      <c r="TVE339" s="42" t="s">
        <v>608</v>
      </c>
      <c r="TVF339" s="42" t="s">
        <v>608</v>
      </c>
      <c r="TVG339" s="42" t="s">
        <v>608</v>
      </c>
      <c r="TVH339" s="42" t="s">
        <v>608</v>
      </c>
      <c r="TVI339" s="42" t="s">
        <v>608</v>
      </c>
      <c r="TVJ339" s="42" t="s">
        <v>608</v>
      </c>
      <c r="TVK339" s="42" t="s">
        <v>608</v>
      </c>
      <c r="TVL339" s="42" t="s">
        <v>608</v>
      </c>
      <c r="TVM339" s="42" t="s">
        <v>608</v>
      </c>
      <c r="TVN339" s="42" t="s">
        <v>608</v>
      </c>
      <c r="TVO339" s="42" t="s">
        <v>608</v>
      </c>
      <c r="TVP339" s="42" t="s">
        <v>608</v>
      </c>
      <c r="TVQ339" s="42" t="s">
        <v>608</v>
      </c>
      <c r="TVR339" s="42" t="s">
        <v>608</v>
      </c>
      <c r="TVS339" s="42" t="s">
        <v>608</v>
      </c>
      <c r="TVT339" s="42" t="s">
        <v>608</v>
      </c>
      <c r="TVU339" s="42" t="s">
        <v>608</v>
      </c>
      <c r="TVV339" s="42" t="s">
        <v>608</v>
      </c>
      <c r="TVW339" s="42" t="s">
        <v>608</v>
      </c>
      <c r="TVX339" s="42" t="s">
        <v>608</v>
      </c>
      <c r="TVY339" s="42" t="s">
        <v>608</v>
      </c>
      <c r="TVZ339" s="42" t="s">
        <v>608</v>
      </c>
      <c r="TWA339" s="42" t="s">
        <v>608</v>
      </c>
      <c r="TWB339" s="42" t="s">
        <v>608</v>
      </c>
      <c r="TWC339" s="42" t="s">
        <v>608</v>
      </c>
      <c r="TWD339" s="42" t="s">
        <v>608</v>
      </c>
      <c r="TWE339" s="42" t="s">
        <v>608</v>
      </c>
      <c r="TWF339" s="42" t="s">
        <v>608</v>
      </c>
      <c r="TWG339" s="42" t="s">
        <v>608</v>
      </c>
      <c r="TWH339" s="42" t="s">
        <v>608</v>
      </c>
      <c r="TWI339" s="42" t="s">
        <v>608</v>
      </c>
      <c r="TWJ339" s="42" t="s">
        <v>608</v>
      </c>
      <c r="TWK339" s="42" t="s">
        <v>608</v>
      </c>
      <c r="TWL339" s="42" t="s">
        <v>608</v>
      </c>
      <c r="TWM339" s="42" t="s">
        <v>608</v>
      </c>
      <c r="TWN339" s="42" t="s">
        <v>608</v>
      </c>
      <c r="TWO339" s="42" t="s">
        <v>608</v>
      </c>
      <c r="TWP339" s="42" t="s">
        <v>608</v>
      </c>
      <c r="TWQ339" s="42" t="s">
        <v>608</v>
      </c>
      <c r="TWR339" s="42" t="s">
        <v>608</v>
      </c>
      <c r="TWS339" s="42" t="s">
        <v>608</v>
      </c>
      <c r="TWT339" s="42" t="s">
        <v>608</v>
      </c>
      <c r="TWU339" s="42" t="s">
        <v>608</v>
      </c>
      <c r="TWV339" s="42" t="s">
        <v>608</v>
      </c>
      <c r="TWW339" s="42" t="s">
        <v>608</v>
      </c>
      <c r="TWX339" s="42" t="s">
        <v>608</v>
      </c>
      <c r="TWY339" s="42" t="s">
        <v>608</v>
      </c>
      <c r="TWZ339" s="42" t="s">
        <v>608</v>
      </c>
      <c r="TXA339" s="42" t="s">
        <v>608</v>
      </c>
      <c r="TXB339" s="42" t="s">
        <v>608</v>
      </c>
      <c r="TXC339" s="42" t="s">
        <v>608</v>
      </c>
      <c r="TXD339" s="42" t="s">
        <v>608</v>
      </c>
      <c r="TXE339" s="42" t="s">
        <v>608</v>
      </c>
      <c r="TXF339" s="42" t="s">
        <v>608</v>
      </c>
      <c r="TXG339" s="42" t="s">
        <v>608</v>
      </c>
      <c r="TXH339" s="42" t="s">
        <v>608</v>
      </c>
      <c r="TXI339" s="42" t="s">
        <v>608</v>
      </c>
      <c r="TXJ339" s="42" t="s">
        <v>608</v>
      </c>
      <c r="TXK339" s="42" t="s">
        <v>608</v>
      </c>
      <c r="TXL339" s="42" t="s">
        <v>608</v>
      </c>
      <c r="TXM339" s="42" t="s">
        <v>608</v>
      </c>
      <c r="TXN339" s="42" t="s">
        <v>608</v>
      </c>
      <c r="TXO339" s="42" t="s">
        <v>608</v>
      </c>
      <c r="TXP339" s="42" t="s">
        <v>608</v>
      </c>
      <c r="TXQ339" s="42" t="s">
        <v>608</v>
      </c>
      <c r="TXR339" s="42" t="s">
        <v>608</v>
      </c>
      <c r="TXS339" s="42" t="s">
        <v>608</v>
      </c>
      <c r="TXT339" s="42" t="s">
        <v>608</v>
      </c>
      <c r="TXU339" s="42" t="s">
        <v>608</v>
      </c>
      <c r="TXV339" s="42" t="s">
        <v>608</v>
      </c>
      <c r="TXW339" s="42" t="s">
        <v>608</v>
      </c>
      <c r="TXX339" s="42" t="s">
        <v>608</v>
      </c>
      <c r="TXY339" s="42" t="s">
        <v>608</v>
      </c>
      <c r="TXZ339" s="42" t="s">
        <v>608</v>
      </c>
      <c r="TYA339" s="42" t="s">
        <v>608</v>
      </c>
      <c r="TYB339" s="42" t="s">
        <v>608</v>
      </c>
      <c r="TYC339" s="42" t="s">
        <v>608</v>
      </c>
      <c r="TYD339" s="42" t="s">
        <v>608</v>
      </c>
      <c r="TYE339" s="42" t="s">
        <v>608</v>
      </c>
      <c r="TYF339" s="42" t="s">
        <v>608</v>
      </c>
      <c r="TYG339" s="42" t="s">
        <v>608</v>
      </c>
      <c r="TYH339" s="42" t="s">
        <v>608</v>
      </c>
      <c r="TYI339" s="42" t="s">
        <v>608</v>
      </c>
      <c r="TYJ339" s="42" t="s">
        <v>608</v>
      </c>
      <c r="TYK339" s="42" t="s">
        <v>608</v>
      </c>
      <c r="TYL339" s="42" t="s">
        <v>608</v>
      </c>
      <c r="TYM339" s="42" t="s">
        <v>608</v>
      </c>
      <c r="TYN339" s="42" t="s">
        <v>608</v>
      </c>
      <c r="TYO339" s="42" t="s">
        <v>608</v>
      </c>
      <c r="TYP339" s="42" t="s">
        <v>608</v>
      </c>
      <c r="TYQ339" s="42" t="s">
        <v>608</v>
      </c>
      <c r="TYR339" s="42" t="s">
        <v>608</v>
      </c>
      <c r="TYS339" s="42" t="s">
        <v>608</v>
      </c>
      <c r="TYT339" s="42" t="s">
        <v>608</v>
      </c>
      <c r="TYU339" s="42" t="s">
        <v>608</v>
      </c>
      <c r="TYV339" s="42" t="s">
        <v>608</v>
      </c>
      <c r="TYW339" s="42" t="s">
        <v>608</v>
      </c>
      <c r="TYX339" s="42" t="s">
        <v>608</v>
      </c>
      <c r="TYY339" s="42" t="s">
        <v>608</v>
      </c>
      <c r="TYZ339" s="42" t="s">
        <v>608</v>
      </c>
      <c r="TZA339" s="42" t="s">
        <v>608</v>
      </c>
      <c r="TZB339" s="42" t="s">
        <v>608</v>
      </c>
      <c r="TZC339" s="42" t="s">
        <v>608</v>
      </c>
      <c r="TZD339" s="42" t="s">
        <v>608</v>
      </c>
      <c r="TZE339" s="42" t="s">
        <v>608</v>
      </c>
      <c r="TZF339" s="42" t="s">
        <v>608</v>
      </c>
      <c r="TZG339" s="42" t="s">
        <v>608</v>
      </c>
      <c r="TZH339" s="42" t="s">
        <v>608</v>
      </c>
      <c r="TZI339" s="42" t="s">
        <v>608</v>
      </c>
      <c r="TZJ339" s="42" t="s">
        <v>608</v>
      </c>
      <c r="TZK339" s="42" t="s">
        <v>608</v>
      </c>
      <c r="TZL339" s="42" t="s">
        <v>608</v>
      </c>
      <c r="TZM339" s="42" t="s">
        <v>608</v>
      </c>
      <c r="TZN339" s="42" t="s">
        <v>608</v>
      </c>
      <c r="TZO339" s="42" t="s">
        <v>608</v>
      </c>
      <c r="TZP339" s="42" t="s">
        <v>608</v>
      </c>
      <c r="TZQ339" s="42" t="s">
        <v>608</v>
      </c>
      <c r="TZR339" s="42" t="s">
        <v>608</v>
      </c>
      <c r="TZS339" s="42" t="s">
        <v>608</v>
      </c>
      <c r="TZT339" s="42" t="s">
        <v>608</v>
      </c>
      <c r="TZU339" s="42" t="s">
        <v>608</v>
      </c>
      <c r="TZV339" s="42" t="s">
        <v>608</v>
      </c>
      <c r="TZW339" s="42" t="s">
        <v>608</v>
      </c>
      <c r="TZX339" s="42" t="s">
        <v>608</v>
      </c>
      <c r="TZY339" s="42" t="s">
        <v>608</v>
      </c>
      <c r="TZZ339" s="42" t="s">
        <v>608</v>
      </c>
      <c r="UAA339" s="42" t="s">
        <v>608</v>
      </c>
      <c r="UAB339" s="42" t="s">
        <v>608</v>
      </c>
      <c r="UAC339" s="42" t="s">
        <v>608</v>
      </c>
      <c r="UAD339" s="42" t="s">
        <v>608</v>
      </c>
      <c r="UAE339" s="42" t="s">
        <v>608</v>
      </c>
      <c r="UAF339" s="42" t="s">
        <v>608</v>
      </c>
      <c r="UAG339" s="42" t="s">
        <v>608</v>
      </c>
      <c r="UAH339" s="42" t="s">
        <v>608</v>
      </c>
      <c r="UAI339" s="42" t="s">
        <v>608</v>
      </c>
      <c r="UAJ339" s="42" t="s">
        <v>608</v>
      </c>
      <c r="UAK339" s="42" t="s">
        <v>608</v>
      </c>
      <c r="UAL339" s="42" t="s">
        <v>608</v>
      </c>
      <c r="UAM339" s="42" t="s">
        <v>608</v>
      </c>
      <c r="UAN339" s="42" t="s">
        <v>608</v>
      </c>
      <c r="UAO339" s="42" t="s">
        <v>608</v>
      </c>
      <c r="UAP339" s="42" t="s">
        <v>608</v>
      </c>
      <c r="UAQ339" s="42" t="s">
        <v>608</v>
      </c>
      <c r="UAR339" s="42" t="s">
        <v>608</v>
      </c>
      <c r="UAS339" s="42" t="s">
        <v>608</v>
      </c>
      <c r="UAT339" s="42" t="s">
        <v>608</v>
      </c>
      <c r="UAU339" s="42" t="s">
        <v>608</v>
      </c>
      <c r="UAV339" s="42" t="s">
        <v>608</v>
      </c>
      <c r="UAW339" s="42" t="s">
        <v>608</v>
      </c>
      <c r="UAX339" s="42" t="s">
        <v>608</v>
      </c>
      <c r="UAY339" s="42" t="s">
        <v>608</v>
      </c>
      <c r="UAZ339" s="42" t="s">
        <v>608</v>
      </c>
      <c r="UBA339" s="42" t="s">
        <v>608</v>
      </c>
      <c r="UBB339" s="42" t="s">
        <v>608</v>
      </c>
      <c r="UBC339" s="42" t="s">
        <v>608</v>
      </c>
      <c r="UBD339" s="42" t="s">
        <v>608</v>
      </c>
      <c r="UBE339" s="42" t="s">
        <v>608</v>
      </c>
      <c r="UBF339" s="42" t="s">
        <v>608</v>
      </c>
      <c r="UBG339" s="42" t="s">
        <v>608</v>
      </c>
      <c r="UBH339" s="42" t="s">
        <v>608</v>
      </c>
      <c r="UBI339" s="42" t="s">
        <v>608</v>
      </c>
      <c r="UBJ339" s="42" t="s">
        <v>608</v>
      </c>
      <c r="UBK339" s="42" t="s">
        <v>608</v>
      </c>
      <c r="UBL339" s="42" t="s">
        <v>608</v>
      </c>
      <c r="UBM339" s="42" t="s">
        <v>608</v>
      </c>
      <c r="UBN339" s="42" t="s">
        <v>608</v>
      </c>
      <c r="UBO339" s="42" t="s">
        <v>608</v>
      </c>
      <c r="UBP339" s="42" t="s">
        <v>608</v>
      </c>
      <c r="UBQ339" s="42" t="s">
        <v>608</v>
      </c>
      <c r="UBR339" s="42" t="s">
        <v>608</v>
      </c>
      <c r="UBS339" s="42" t="s">
        <v>608</v>
      </c>
      <c r="UBT339" s="42" t="s">
        <v>608</v>
      </c>
      <c r="UBU339" s="42" t="s">
        <v>608</v>
      </c>
      <c r="UBV339" s="42" t="s">
        <v>608</v>
      </c>
      <c r="UBW339" s="42" t="s">
        <v>608</v>
      </c>
      <c r="UBX339" s="42" t="s">
        <v>608</v>
      </c>
      <c r="UBY339" s="42" t="s">
        <v>608</v>
      </c>
      <c r="UBZ339" s="42" t="s">
        <v>608</v>
      </c>
      <c r="UCA339" s="42" t="s">
        <v>608</v>
      </c>
      <c r="UCB339" s="42" t="s">
        <v>608</v>
      </c>
      <c r="UCC339" s="42" t="s">
        <v>608</v>
      </c>
      <c r="UCD339" s="42" t="s">
        <v>608</v>
      </c>
      <c r="UCE339" s="42" t="s">
        <v>608</v>
      </c>
      <c r="UCF339" s="42" t="s">
        <v>608</v>
      </c>
      <c r="UCG339" s="42" t="s">
        <v>608</v>
      </c>
      <c r="UCH339" s="42" t="s">
        <v>608</v>
      </c>
      <c r="UCI339" s="42" t="s">
        <v>608</v>
      </c>
      <c r="UCJ339" s="42" t="s">
        <v>608</v>
      </c>
      <c r="UCK339" s="42" t="s">
        <v>608</v>
      </c>
      <c r="UCL339" s="42" t="s">
        <v>608</v>
      </c>
      <c r="UCM339" s="42" t="s">
        <v>608</v>
      </c>
      <c r="UCN339" s="42" t="s">
        <v>608</v>
      </c>
      <c r="UCO339" s="42" t="s">
        <v>608</v>
      </c>
      <c r="UCP339" s="42" t="s">
        <v>608</v>
      </c>
      <c r="UCQ339" s="42" t="s">
        <v>608</v>
      </c>
      <c r="UCR339" s="42" t="s">
        <v>608</v>
      </c>
      <c r="UCS339" s="42" t="s">
        <v>608</v>
      </c>
      <c r="UCT339" s="42" t="s">
        <v>608</v>
      </c>
      <c r="UCU339" s="42" t="s">
        <v>608</v>
      </c>
      <c r="UCV339" s="42" t="s">
        <v>608</v>
      </c>
      <c r="UCW339" s="42" t="s">
        <v>608</v>
      </c>
      <c r="UCX339" s="42" t="s">
        <v>608</v>
      </c>
      <c r="UCY339" s="42" t="s">
        <v>608</v>
      </c>
      <c r="UCZ339" s="42" t="s">
        <v>608</v>
      </c>
      <c r="UDA339" s="42" t="s">
        <v>608</v>
      </c>
      <c r="UDB339" s="42" t="s">
        <v>608</v>
      </c>
      <c r="UDC339" s="42" t="s">
        <v>608</v>
      </c>
      <c r="UDD339" s="42" t="s">
        <v>608</v>
      </c>
      <c r="UDE339" s="42" t="s">
        <v>608</v>
      </c>
      <c r="UDF339" s="42" t="s">
        <v>608</v>
      </c>
      <c r="UDG339" s="42" t="s">
        <v>608</v>
      </c>
      <c r="UDH339" s="42" t="s">
        <v>608</v>
      </c>
      <c r="UDI339" s="42" t="s">
        <v>608</v>
      </c>
      <c r="UDJ339" s="42" t="s">
        <v>608</v>
      </c>
      <c r="UDK339" s="42" t="s">
        <v>608</v>
      </c>
      <c r="UDL339" s="42" t="s">
        <v>608</v>
      </c>
      <c r="UDM339" s="42" t="s">
        <v>608</v>
      </c>
      <c r="UDN339" s="42" t="s">
        <v>608</v>
      </c>
      <c r="UDO339" s="42" t="s">
        <v>608</v>
      </c>
      <c r="UDP339" s="42" t="s">
        <v>608</v>
      </c>
      <c r="UDQ339" s="42" t="s">
        <v>608</v>
      </c>
      <c r="UDR339" s="42" t="s">
        <v>608</v>
      </c>
      <c r="UDS339" s="42" t="s">
        <v>608</v>
      </c>
      <c r="UDT339" s="42" t="s">
        <v>608</v>
      </c>
      <c r="UDU339" s="42" t="s">
        <v>608</v>
      </c>
      <c r="UDV339" s="42" t="s">
        <v>608</v>
      </c>
      <c r="UDW339" s="42" t="s">
        <v>608</v>
      </c>
      <c r="UDX339" s="42" t="s">
        <v>608</v>
      </c>
      <c r="UDY339" s="42" t="s">
        <v>608</v>
      </c>
      <c r="UDZ339" s="42" t="s">
        <v>608</v>
      </c>
      <c r="UEA339" s="42" t="s">
        <v>608</v>
      </c>
      <c r="UEB339" s="42" t="s">
        <v>608</v>
      </c>
      <c r="UEC339" s="42" t="s">
        <v>608</v>
      </c>
      <c r="UED339" s="42" t="s">
        <v>608</v>
      </c>
      <c r="UEE339" s="42" t="s">
        <v>608</v>
      </c>
      <c r="UEF339" s="42" t="s">
        <v>608</v>
      </c>
      <c r="UEG339" s="42" t="s">
        <v>608</v>
      </c>
      <c r="UEH339" s="42" t="s">
        <v>608</v>
      </c>
      <c r="UEI339" s="42" t="s">
        <v>608</v>
      </c>
      <c r="UEJ339" s="42" t="s">
        <v>608</v>
      </c>
      <c r="UEK339" s="42" t="s">
        <v>608</v>
      </c>
      <c r="UEL339" s="42" t="s">
        <v>608</v>
      </c>
      <c r="UEM339" s="42" t="s">
        <v>608</v>
      </c>
      <c r="UEN339" s="42" t="s">
        <v>608</v>
      </c>
      <c r="UEO339" s="42" t="s">
        <v>608</v>
      </c>
      <c r="UEP339" s="42" t="s">
        <v>608</v>
      </c>
      <c r="UEQ339" s="42" t="s">
        <v>608</v>
      </c>
      <c r="UER339" s="42" t="s">
        <v>608</v>
      </c>
      <c r="UES339" s="42" t="s">
        <v>608</v>
      </c>
      <c r="UET339" s="42" t="s">
        <v>608</v>
      </c>
      <c r="UEU339" s="42" t="s">
        <v>608</v>
      </c>
      <c r="UEV339" s="42" t="s">
        <v>608</v>
      </c>
      <c r="UEW339" s="42" t="s">
        <v>608</v>
      </c>
      <c r="UEX339" s="42" t="s">
        <v>608</v>
      </c>
      <c r="UEY339" s="42" t="s">
        <v>608</v>
      </c>
      <c r="UEZ339" s="42" t="s">
        <v>608</v>
      </c>
      <c r="UFA339" s="42" t="s">
        <v>608</v>
      </c>
      <c r="UFB339" s="42" t="s">
        <v>608</v>
      </c>
      <c r="UFC339" s="42" t="s">
        <v>608</v>
      </c>
      <c r="UFD339" s="42" t="s">
        <v>608</v>
      </c>
      <c r="UFE339" s="42" t="s">
        <v>608</v>
      </c>
      <c r="UFF339" s="42" t="s">
        <v>608</v>
      </c>
      <c r="UFG339" s="42" t="s">
        <v>608</v>
      </c>
      <c r="UFH339" s="42" t="s">
        <v>608</v>
      </c>
      <c r="UFI339" s="42" t="s">
        <v>608</v>
      </c>
      <c r="UFJ339" s="42" t="s">
        <v>608</v>
      </c>
      <c r="UFK339" s="42" t="s">
        <v>608</v>
      </c>
      <c r="UFL339" s="42" t="s">
        <v>608</v>
      </c>
      <c r="UFM339" s="42" t="s">
        <v>608</v>
      </c>
      <c r="UFN339" s="42" t="s">
        <v>608</v>
      </c>
      <c r="UFO339" s="42" t="s">
        <v>608</v>
      </c>
      <c r="UFP339" s="42" t="s">
        <v>608</v>
      </c>
      <c r="UFQ339" s="42" t="s">
        <v>608</v>
      </c>
      <c r="UFR339" s="42" t="s">
        <v>608</v>
      </c>
      <c r="UFS339" s="42" t="s">
        <v>608</v>
      </c>
      <c r="UFT339" s="42" t="s">
        <v>608</v>
      </c>
      <c r="UFU339" s="42" t="s">
        <v>608</v>
      </c>
      <c r="UFV339" s="42" t="s">
        <v>608</v>
      </c>
      <c r="UFW339" s="42" t="s">
        <v>608</v>
      </c>
      <c r="UFX339" s="42" t="s">
        <v>608</v>
      </c>
      <c r="UFY339" s="42" t="s">
        <v>608</v>
      </c>
      <c r="UFZ339" s="42" t="s">
        <v>608</v>
      </c>
      <c r="UGA339" s="42" t="s">
        <v>608</v>
      </c>
      <c r="UGB339" s="42" t="s">
        <v>608</v>
      </c>
      <c r="UGC339" s="42" t="s">
        <v>608</v>
      </c>
      <c r="UGD339" s="42" t="s">
        <v>608</v>
      </c>
      <c r="UGE339" s="42" t="s">
        <v>608</v>
      </c>
      <c r="UGF339" s="42" t="s">
        <v>608</v>
      </c>
      <c r="UGG339" s="42" t="s">
        <v>608</v>
      </c>
      <c r="UGH339" s="42" t="s">
        <v>608</v>
      </c>
      <c r="UGI339" s="42" t="s">
        <v>608</v>
      </c>
      <c r="UGJ339" s="42" t="s">
        <v>608</v>
      </c>
      <c r="UGK339" s="42" t="s">
        <v>608</v>
      </c>
      <c r="UGL339" s="42" t="s">
        <v>608</v>
      </c>
      <c r="UGM339" s="42" t="s">
        <v>608</v>
      </c>
      <c r="UGN339" s="42" t="s">
        <v>608</v>
      </c>
      <c r="UGO339" s="42" t="s">
        <v>608</v>
      </c>
      <c r="UGP339" s="42" t="s">
        <v>608</v>
      </c>
      <c r="UGQ339" s="42" t="s">
        <v>608</v>
      </c>
      <c r="UGR339" s="42" t="s">
        <v>608</v>
      </c>
      <c r="UGS339" s="42" t="s">
        <v>608</v>
      </c>
      <c r="UGT339" s="42" t="s">
        <v>608</v>
      </c>
      <c r="UGU339" s="42" t="s">
        <v>608</v>
      </c>
      <c r="UGV339" s="42" t="s">
        <v>608</v>
      </c>
      <c r="UGW339" s="42" t="s">
        <v>608</v>
      </c>
      <c r="UGX339" s="42" t="s">
        <v>608</v>
      </c>
      <c r="UGY339" s="42" t="s">
        <v>608</v>
      </c>
      <c r="UGZ339" s="42" t="s">
        <v>608</v>
      </c>
      <c r="UHA339" s="42" t="s">
        <v>608</v>
      </c>
      <c r="UHB339" s="42" t="s">
        <v>608</v>
      </c>
      <c r="UHC339" s="42" t="s">
        <v>608</v>
      </c>
      <c r="UHD339" s="42" t="s">
        <v>608</v>
      </c>
      <c r="UHE339" s="42" t="s">
        <v>608</v>
      </c>
      <c r="UHF339" s="42" t="s">
        <v>608</v>
      </c>
      <c r="UHG339" s="42" t="s">
        <v>608</v>
      </c>
      <c r="UHH339" s="42" t="s">
        <v>608</v>
      </c>
      <c r="UHI339" s="42" t="s">
        <v>608</v>
      </c>
      <c r="UHJ339" s="42" t="s">
        <v>608</v>
      </c>
      <c r="UHK339" s="42" t="s">
        <v>608</v>
      </c>
      <c r="UHL339" s="42" t="s">
        <v>608</v>
      </c>
      <c r="UHM339" s="42" t="s">
        <v>608</v>
      </c>
      <c r="UHN339" s="42" t="s">
        <v>608</v>
      </c>
      <c r="UHO339" s="42" t="s">
        <v>608</v>
      </c>
      <c r="UHP339" s="42" t="s">
        <v>608</v>
      </c>
      <c r="UHQ339" s="42" t="s">
        <v>608</v>
      </c>
      <c r="UHR339" s="42" t="s">
        <v>608</v>
      </c>
      <c r="UHS339" s="42" t="s">
        <v>608</v>
      </c>
      <c r="UHT339" s="42" t="s">
        <v>608</v>
      </c>
      <c r="UHU339" s="42" t="s">
        <v>608</v>
      </c>
      <c r="UHV339" s="42" t="s">
        <v>608</v>
      </c>
      <c r="UHW339" s="42" t="s">
        <v>608</v>
      </c>
      <c r="UHX339" s="42" t="s">
        <v>608</v>
      </c>
      <c r="UHY339" s="42" t="s">
        <v>608</v>
      </c>
      <c r="UHZ339" s="42" t="s">
        <v>608</v>
      </c>
      <c r="UIA339" s="42" t="s">
        <v>608</v>
      </c>
      <c r="UIB339" s="42" t="s">
        <v>608</v>
      </c>
      <c r="UIC339" s="42" t="s">
        <v>608</v>
      </c>
      <c r="UID339" s="42" t="s">
        <v>608</v>
      </c>
      <c r="UIE339" s="42" t="s">
        <v>608</v>
      </c>
      <c r="UIF339" s="42" t="s">
        <v>608</v>
      </c>
      <c r="UIG339" s="42" t="s">
        <v>608</v>
      </c>
      <c r="UIH339" s="42" t="s">
        <v>608</v>
      </c>
      <c r="UII339" s="42" t="s">
        <v>608</v>
      </c>
      <c r="UIJ339" s="42" t="s">
        <v>608</v>
      </c>
      <c r="UIK339" s="42" t="s">
        <v>608</v>
      </c>
      <c r="UIL339" s="42" t="s">
        <v>608</v>
      </c>
      <c r="UIM339" s="42" t="s">
        <v>608</v>
      </c>
      <c r="UIN339" s="42" t="s">
        <v>608</v>
      </c>
      <c r="UIO339" s="42" t="s">
        <v>608</v>
      </c>
      <c r="UIP339" s="42" t="s">
        <v>608</v>
      </c>
      <c r="UIQ339" s="42" t="s">
        <v>608</v>
      </c>
      <c r="UIR339" s="42" t="s">
        <v>608</v>
      </c>
      <c r="UIS339" s="42" t="s">
        <v>608</v>
      </c>
      <c r="UIT339" s="42" t="s">
        <v>608</v>
      </c>
      <c r="UIU339" s="42" t="s">
        <v>608</v>
      </c>
      <c r="UIV339" s="42" t="s">
        <v>608</v>
      </c>
      <c r="UIW339" s="42" t="s">
        <v>608</v>
      </c>
      <c r="UIX339" s="42" t="s">
        <v>608</v>
      </c>
      <c r="UIY339" s="42" t="s">
        <v>608</v>
      </c>
      <c r="UIZ339" s="42" t="s">
        <v>608</v>
      </c>
      <c r="UJA339" s="42" t="s">
        <v>608</v>
      </c>
      <c r="UJB339" s="42" t="s">
        <v>608</v>
      </c>
      <c r="UJC339" s="42" t="s">
        <v>608</v>
      </c>
      <c r="UJD339" s="42" t="s">
        <v>608</v>
      </c>
      <c r="UJE339" s="42" t="s">
        <v>608</v>
      </c>
      <c r="UJF339" s="42" t="s">
        <v>608</v>
      </c>
      <c r="UJG339" s="42" t="s">
        <v>608</v>
      </c>
      <c r="UJH339" s="42" t="s">
        <v>608</v>
      </c>
      <c r="UJI339" s="42" t="s">
        <v>608</v>
      </c>
      <c r="UJJ339" s="42" t="s">
        <v>608</v>
      </c>
      <c r="UJK339" s="42" t="s">
        <v>608</v>
      </c>
      <c r="UJL339" s="42" t="s">
        <v>608</v>
      </c>
      <c r="UJM339" s="42" t="s">
        <v>608</v>
      </c>
      <c r="UJN339" s="42" t="s">
        <v>608</v>
      </c>
      <c r="UJO339" s="42" t="s">
        <v>608</v>
      </c>
      <c r="UJP339" s="42" t="s">
        <v>608</v>
      </c>
      <c r="UJQ339" s="42" t="s">
        <v>608</v>
      </c>
      <c r="UJR339" s="42" t="s">
        <v>608</v>
      </c>
      <c r="UJS339" s="42" t="s">
        <v>608</v>
      </c>
      <c r="UJT339" s="42" t="s">
        <v>608</v>
      </c>
      <c r="UJU339" s="42" t="s">
        <v>608</v>
      </c>
      <c r="UJV339" s="42" t="s">
        <v>608</v>
      </c>
      <c r="UJW339" s="42" t="s">
        <v>608</v>
      </c>
      <c r="UJX339" s="42" t="s">
        <v>608</v>
      </c>
      <c r="UJY339" s="42" t="s">
        <v>608</v>
      </c>
      <c r="UJZ339" s="42" t="s">
        <v>608</v>
      </c>
      <c r="UKA339" s="42" t="s">
        <v>608</v>
      </c>
      <c r="UKB339" s="42" t="s">
        <v>608</v>
      </c>
      <c r="UKC339" s="42" t="s">
        <v>608</v>
      </c>
      <c r="UKD339" s="42" t="s">
        <v>608</v>
      </c>
      <c r="UKE339" s="42" t="s">
        <v>608</v>
      </c>
      <c r="UKF339" s="42" t="s">
        <v>608</v>
      </c>
      <c r="UKG339" s="42" t="s">
        <v>608</v>
      </c>
      <c r="UKH339" s="42" t="s">
        <v>608</v>
      </c>
      <c r="UKI339" s="42" t="s">
        <v>608</v>
      </c>
      <c r="UKJ339" s="42" t="s">
        <v>608</v>
      </c>
      <c r="UKK339" s="42" t="s">
        <v>608</v>
      </c>
      <c r="UKL339" s="42" t="s">
        <v>608</v>
      </c>
      <c r="UKM339" s="42" t="s">
        <v>608</v>
      </c>
      <c r="UKN339" s="42" t="s">
        <v>608</v>
      </c>
      <c r="UKO339" s="42" t="s">
        <v>608</v>
      </c>
      <c r="UKP339" s="42" t="s">
        <v>608</v>
      </c>
      <c r="UKQ339" s="42" t="s">
        <v>608</v>
      </c>
      <c r="UKR339" s="42" t="s">
        <v>608</v>
      </c>
      <c r="UKS339" s="42" t="s">
        <v>608</v>
      </c>
      <c r="UKT339" s="42" t="s">
        <v>608</v>
      </c>
      <c r="UKU339" s="42" t="s">
        <v>608</v>
      </c>
      <c r="UKV339" s="42" t="s">
        <v>608</v>
      </c>
      <c r="UKW339" s="42" t="s">
        <v>608</v>
      </c>
      <c r="UKX339" s="42" t="s">
        <v>608</v>
      </c>
      <c r="UKY339" s="42" t="s">
        <v>608</v>
      </c>
      <c r="UKZ339" s="42" t="s">
        <v>608</v>
      </c>
      <c r="ULA339" s="42" t="s">
        <v>608</v>
      </c>
      <c r="ULB339" s="42" t="s">
        <v>608</v>
      </c>
      <c r="ULC339" s="42" t="s">
        <v>608</v>
      </c>
      <c r="ULD339" s="42" t="s">
        <v>608</v>
      </c>
      <c r="ULE339" s="42" t="s">
        <v>608</v>
      </c>
      <c r="ULF339" s="42" t="s">
        <v>608</v>
      </c>
      <c r="ULG339" s="42" t="s">
        <v>608</v>
      </c>
      <c r="ULH339" s="42" t="s">
        <v>608</v>
      </c>
      <c r="ULI339" s="42" t="s">
        <v>608</v>
      </c>
      <c r="ULJ339" s="42" t="s">
        <v>608</v>
      </c>
      <c r="ULK339" s="42" t="s">
        <v>608</v>
      </c>
      <c r="ULL339" s="42" t="s">
        <v>608</v>
      </c>
      <c r="ULM339" s="42" t="s">
        <v>608</v>
      </c>
      <c r="ULN339" s="42" t="s">
        <v>608</v>
      </c>
      <c r="ULO339" s="42" t="s">
        <v>608</v>
      </c>
      <c r="ULP339" s="42" t="s">
        <v>608</v>
      </c>
      <c r="ULQ339" s="42" t="s">
        <v>608</v>
      </c>
      <c r="ULR339" s="42" t="s">
        <v>608</v>
      </c>
      <c r="ULS339" s="42" t="s">
        <v>608</v>
      </c>
      <c r="ULT339" s="42" t="s">
        <v>608</v>
      </c>
      <c r="ULU339" s="42" t="s">
        <v>608</v>
      </c>
      <c r="ULV339" s="42" t="s">
        <v>608</v>
      </c>
      <c r="ULW339" s="42" t="s">
        <v>608</v>
      </c>
      <c r="ULX339" s="42" t="s">
        <v>608</v>
      </c>
      <c r="ULY339" s="42" t="s">
        <v>608</v>
      </c>
      <c r="ULZ339" s="42" t="s">
        <v>608</v>
      </c>
      <c r="UMA339" s="42" t="s">
        <v>608</v>
      </c>
      <c r="UMB339" s="42" t="s">
        <v>608</v>
      </c>
      <c r="UMC339" s="42" t="s">
        <v>608</v>
      </c>
      <c r="UMD339" s="42" t="s">
        <v>608</v>
      </c>
      <c r="UME339" s="42" t="s">
        <v>608</v>
      </c>
      <c r="UMF339" s="42" t="s">
        <v>608</v>
      </c>
      <c r="UMG339" s="42" t="s">
        <v>608</v>
      </c>
      <c r="UMH339" s="42" t="s">
        <v>608</v>
      </c>
      <c r="UMI339" s="42" t="s">
        <v>608</v>
      </c>
      <c r="UMJ339" s="42" t="s">
        <v>608</v>
      </c>
      <c r="UMK339" s="42" t="s">
        <v>608</v>
      </c>
      <c r="UML339" s="42" t="s">
        <v>608</v>
      </c>
      <c r="UMM339" s="42" t="s">
        <v>608</v>
      </c>
      <c r="UMN339" s="42" t="s">
        <v>608</v>
      </c>
      <c r="UMO339" s="42" t="s">
        <v>608</v>
      </c>
      <c r="UMP339" s="42" t="s">
        <v>608</v>
      </c>
      <c r="UMQ339" s="42" t="s">
        <v>608</v>
      </c>
      <c r="UMR339" s="42" t="s">
        <v>608</v>
      </c>
      <c r="UMS339" s="42" t="s">
        <v>608</v>
      </c>
      <c r="UMT339" s="42" t="s">
        <v>608</v>
      </c>
      <c r="UMU339" s="42" t="s">
        <v>608</v>
      </c>
      <c r="UMV339" s="42" t="s">
        <v>608</v>
      </c>
      <c r="UMW339" s="42" t="s">
        <v>608</v>
      </c>
      <c r="UMX339" s="42" t="s">
        <v>608</v>
      </c>
      <c r="UMY339" s="42" t="s">
        <v>608</v>
      </c>
      <c r="UMZ339" s="42" t="s">
        <v>608</v>
      </c>
      <c r="UNA339" s="42" t="s">
        <v>608</v>
      </c>
      <c r="UNB339" s="42" t="s">
        <v>608</v>
      </c>
      <c r="UNC339" s="42" t="s">
        <v>608</v>
      </c>
      <c r="UND339" s="42" t="s">
        <v>608</v>
      </c>
      <c r="UNE339" s="42" t="s">
        <v>608</v>
      </c>
      <c r="UNF339" s="42" t="s">
        <v>608</v>
      </c>
      <c r="UNG339" s="42" t="s">
        <v>608</v>
      </c>
      <c r="UNH339" s="42" t="s">
        <v>608</v>
      </c>
      <c r="UNI339" s="42" t="s">
        <v>608</v>
      </c>
      <c r="UNJ339" s="42" t="s">
        <v>608</v>
      </c>
      <c r="UNK339" s="42" t="s">
        <v>608</v>
      </c>
      <c r="UNL339" s="42" t="s">
        <v>608</v>
      </c>
      <c r="UNM339" s="42" t="s">
        <v>608</v>
      </c>
      <c r="UNN339" s="42" t="s">
        <v>608</v>
      </c>
      <c r="UNO339" s="42" t="s">
        <v>608</v>
      </c>
      <c r="UNP339" s="42" t="s">
        <v>608</v>
      </c>
      <c r="UNQ339" s="42" t="s">
        <v>608</v>
      </c>
      <c r="UNR339" s="42" t="s">
        <v>608</v>
      </c>
      <c r="UNS339" s="42" t="s">
        <v>608</v>
      </c>
      <c r="UNT339" s="42" t="s">
        <v>608</v>
      </c>
      <c r="UNU339" s="42" t="s">
        <v>608</v>
      </c>
      <c r="UNV339" s="42" t="s">
        <v>608</v>
      </c>
      <c r="UNW339" s="42" t="s">
        <v>608</v>
      </c>
      <c r="UNX339" s="42" t="s">
        <v>608</v>
      </c>
      <c r="UNY339" s="42" t="s">
        <v>608</v>
      </c>
      <c r="UNZ339" s="42" t="s">
        <v>608</v>
      </c>
      <c r="UOA339" s="42" t="s">
        <v>608</v>
      </c>
      <c r="UOB339" s="42" t="s">
        <v>608</v>
      </c>
      <c r="UOC339" s="42" t="s">
        <v>608</v>
      </c>
      <c r="UOD339" s="42" t="s">
        <v>608</v>
      </c>
      <c r="UOE339" s="42" t="s">
        <v>608</v>
      </c>
      <c r="UOF339" s="42" t="s">
        <v>608</v>
      </c>
      <c r="UOG339" s="42" t="s">
        <v>608</v>
      </c>
      <c r="UOH339" s="42" t="s">
        <v>608</v>
      </c>
      <c r="UOI339" s="42" t="s">
        <v>608</v>
      </c>
      <c r="UOJ339" s="42" t="s">
        <v>608</v>
      </c>
      <c r="UOK339" s="42" t="s">
        <v>608</v>
      </c>
      <c r="UOL339" s="42" t="s">
        <v>608</v>
      </c>
      <c r="UOM339" s="42" t="s">
        <v>608</v>
      </c>
      <c r="UON339" s="42" t="s">
        <v>608</v>
      </c>
      <c r="UOO339" s="42" t="s">
        <v>608</v>
      </c>
      <c r="UOP339" s="42" t="s">
        <v>608</v>
      </c>
      <c r="UOQ339" s="42" t="s">
        <v>608</v>
      </c>
      <c r="UOR339" s="42" t="s">
        <v>608</v>
      </c>
      <c r="UOS339" s="42" t="s">
        <v>608</v>
      </c>
      <c r="UOT339" s="42" t="s">
        <v>608</v>
      </c>
      <c r="UOU339" s="42" t="s">
        <v>608</v>
      </c>
      <c r="UOV339" s="42" t="s">
        <v>608</v>
      </c>
      <c r="UOW339" s="42" t="s">
        <v>608</v>
      </c>
      <c r="UOX339" s="42" t="s">
        <v>608</v>
      </c>
      <c r="UOY339" s="42" t="s">
        <v>608</v>
      </c>
      <c r="UOZ339" s="42" t="s">
        <v>608</v>
      </c>
      <c r="UPA339" s="42" t="s">
        <v>608</v>
      </c>
      <c r="UPB339" s="42" t="s">
        <v>608</v>
      </c>
      <c r="UPC339" s="42" t="s">
        <v>608</v>
      </c>
      <c r="UPD339" s="42" t="s">
        <v>608</v>
      </c>
      <c r="UPE339" s="42" t="s">
        <v>608</v>
      </c>
      <c r="UPF339" s="42" t="s">
        <v>608</v>
      </c>
      <c r="UPG339" s="42" t="s">
        <v>608</v>
      </c>
      <c r="UPH339" s="42" t="s">
        <v>608</v>
      </c>
      <c r="UPI339" s="42" t="s">
        <v>608</v>
      </c>
      <c r="UPJ339" s="42" t="s">
        <v>608</v>
      </c>
      <c r="UPK339" s="42" t="s">
        <v>608</v>
      </c>
      <c r="UPL339" s="42" t="s">
        <v>608</v>
      </c>
      <c r="UPM339" s="42" t="s">
        <v>608</v>
      </c>
      <c r="UPN339" s="42" t="s">
        <v>608</v>
      </c>
      <c r="UPO339" s="42" t="s">
        <v>608</v>
      </c>
      <c r="UPP339" s="42" t="s">
        <v>608</v>
      </c>
      <c r="UPQ339" s="42" t="s">
        <v>608</v>
      </c>
      <c r="UPR339" s="42" t="s">
        <v>608</v>
      </c>
      <c r="UPS339" s="42" t="s">
        <v>608</v>
      </c>
      <c r="UPT339" s="42" t="s">
        <v>608</v>
      </c>
      <c r="UPU339" s="42" t="s">
        <v>608</v>
      </c>
      <c r="UPV339" s="42" t="s">
        <v>608</v>
      </c>
      <c r="UPW339" s="42" t="s">
        <v>608</v>
      </c>
      <c r="UPX339" s="42" t="s">
        <v>608</v>
      </c>
      <c r="UPY339" s="42" t="s">
        <v>608</v>
      </c>
      <c r="UPZ339" s="42" t="s">
        <v>608</v>
      </c>
      <c r="UQA339" s="42" t="s">
        <v>608</v>
      </c>
      <c r="UQB339" s="42" t="s">
        <v>608</v>
      </c>
      <c r="UQC339" s="42" t="s">
        <v>608</v>
      </c>
      <c r="UQD339" s="42" t="s">
        <v>608</v>
      </c>
      <c r="UQE339" s="42" t="s">
        <v>608</v>
      </c>
      <c r="UQF339" s="42" t="s">
        <v>608</v>
      </c>
      <c r="UQG339" s="42" t="s">
        <v>608</v>
      </c>
      <c r="UQH339" s="42" t="s">
        <v>608</v>
      </c>
      <c r="UQI339" s="42" t="s">
        <v>608</v>
      </c>
      <c r="UQJ339" s="42" t="s">
        <v>608</v>
      </c>
      <c r="UQK339" s="42" t="s">
        <v>608</v>
      </c>
      <c r="UQL339" s="42" t="s">
        <v>608</v>
      </c>
      <c r="UQM339" s="42" t="s">
        <v>608</v>
      </c>
      <c r="UQN339" s="42" t="s">
        <v>608</v>
      </c>
      <c r="UQO339" s="42" t="s">
        <v>608</v>
      </c>
      <c r="UQP339" s="42" t="s">
        <v>608</v>
      </c>
      <c r="UQQ339" s="42" t="s">
        <v>608</v>
      </c>
      <c r="UQR339" s="42" t="s">
        <v>608</v>
      </c>
      <c r="UQS339" s="42" t="s">
        <v>608</v>
      </c>
      <c r="UQT339" s="42" t="s">
        <v>608</v>
      </c>
      <c r="UQU339" s="42" t="s">
        <v>608</v>
      </c>
      <c r="UQV339" s="42" t="s">
        <v>608</v>
      </c>
      <c r="UQW339" s="42" t="s">
        <v>608</v>
      </c>
      <c r="UQX339" s="42" t="s">
        <v>608</v>
      </c>
      <c r="UQY339" s="42" t="s">
        <v>608</v>
      </c>
      <c r="UQZ339" s="42" t="s">
        <v>608</v>
      </c>
      <c r="URA339" s="42" t="s">
        <v>608</v>
      </c>
      <c r="URB339" s="42" t="s">
        <v>608</v>
      </c>
      <c r="URC339" s="42" t="s">
        <v>608</v>
      </c>
      <c r="URD339" s="42" t="s">
        <v>608</v>
      </c>
      <c r="URE339" s="42" t="s">
        <v>608</v>
      </c>
      <c r="URF339" s="42" t="s">
        <v>608</v>
      </c>
      <c r="URG339" s="42" t="s">
        <v>608</v>
      </c>
      <c r="URH339" s="42" t="s">
        <v>608</v>
      </c>
      <c r="URI339" s="42" t="s">
        <v>608</v>
      </c>
      <c r="URJ339" s="42" t="s">
        <v>608</v>
      </c>
      <c r="URK339" s="42" t="s">
        <v>608</v>
      </c>
      <c r="URL339" s="42" t="s">
        <v>608</v>
      </c>
      <c r="URM339" s="42" t="s">
        <v>608</v>
      </c>
      <c r="URN339" s="42" t="s">
        <v>608</v>
      </c>
      <c r="URO339" s="42" t="s">
        <v>608</v>
      </c>
      <c r="URP339" s="42" t="s">
        <v>608</v>
      </c>
      <c r="URQ339" s="42" t="s">
        <v>608</v>
      </c>
      <c r="URR339" s="42" t="s">
        <v>608</v>
      </c>
      <c r="URS339" s="42" t="s">
        <v>608</v>
      </c>
      <c r="URT339" s="42" t="s">
        <v>608</v>
      </c>
      <c r="URU339" s="42" t="s">
        <v>608</v>
      </c>
      <c r="URV339" s="42" t="s">
        <v>608</v>
      </c>
      <c r="URW339" s="42" t="s">
        <v>608</v>
      </c>
      <c r="URX339" s="42" t="s">
        <v>608</v>
      </c>
      <c r="URY339" s="42" t="s">
        <v>608</v>
      </c>
      <c r="URZ339" s="42" t="s">
        <v>608</v>
      </c>
      <c r="USA339" s="42" t="s">
        <v>608</v>
      </c>
      <c r="USB339" s="42" t="s">
        <v>608</v>
      </c>
      <c r="USC339" s="42" t="s">
        <v>608</v>
      </c>
      <c r="USD339" s="42" t="s">
        <v>608</v>
      </c>
      <c r="USE339" s="42" t="s">
        <v>608</v>
      </c>
      <c r="USF339" s="42" t="s">
        <v>608</v>
      </c>
      <c r="USG339" s="42" t="s">
        <v>608</v>
      </c>
      <c r="USH339" s="42" t="s">
        <v>608</v>
      </c>
      <c r="USI339" s="42" t="s">
        <v>608</v>
      </c>
      <c r="USJ339" s="42" t="s">
        <v>608</v>
      </c>
      <c r="USK339" s="42" t="s">
        <v>608</v>
      </c>
      <c r="USL339" s="42" t="s">
        <v>608</v>
      </c>
      <c r="USM339" s="42" t="s">
        <v>608</v>
      </c>
      <c r="USN339" s="42" t="s">
        <v>608</v>
      </c>
      <c r="USO339" s="42" t="s">
        <v>608</v>
      </c>
      <c r="USP339" s="42" t="s">
        <v>608</v>
      </c>
      <c r="USQ339" s="42" t="s">
        <v>608</v>
      </c>
      <c r="USR339" s="42" t="s">
        <v>608</v>
      </c>
      <c r="USS339" s="42" t="s">
        <v>608</v>
      </c>
      <c r="UST339" s="42" t="s">
        <v>608</v>
      </c>
      <c r="USU339" s="42" t="s">
        <v>608</v>
      </c>
      <c r="USV339" s="42" t="s">
        <v>608</v>
      </c>
      <c r="USW339" s="42" t="s">
        <v>608</v>
      </c>
      <c r="USX339" s="42" t="s">
        <v>608</v>
      </c>
      <c r="USY339" s="42" t="s">
        <v>608</v>
      </c>
      <c r="USZ339" s="42" t="s">
        <v>608</v>
      </c>
      <c r="UTA339" s="42" t="s">
        <v>608</v>
      </c>
      <c r="UTB339" s="42" t="s">
        <v>608</v>
      </c>
      <c r="UTC339" s="42" t="s">
        <v>608</v>
      </c>
      <c r="UTD339" s="42" t="s">
        <v>608</v>
      </c>
      <c r="UTE339" s="42" t="s">
        <v>608</v>
      </c>
      <c r="UTF339" s="42" t="s">
        <v>608</v>
      </c>
      <c r="UTG339" s="42" t="s">
        <v>608</v>
      </c>
      <c r="UTH339" s="42" t="s">
        <v>608</v>
      </c>
      <c r="UTI339" s="42" t="s">
        <v>608</v>
      </c>
      <c r="UTJ339" s="42" t="s">
        <v>608</v>
      </c>
      <c r="UTK339" s="42" t="s">
        <v>608</v>
      </c>
      <c r="UTL339" s="42" t="s">
        <v>608</v>
      </c>
      <c r="UTM339" s="42" t="s">
        <v>608</v>
      </c>
      <c r="UTN339" s="42" t="s">
        <v>608</v>
      </c>
      <c r="UTO339" s="42" t="s">
        <v>608</v>
      </c>
      <c r="UTP339" s="42" t="s">
        <v>608</v>
      </c>
      <c r="UTQ339" s="42" t="s">
        <v>608</v>
      </c>
      <c r="UTR339" s="42" t="s">
        <v>608</v>
      </c>
      <c r="UTS339" s="42" t="s">
        <v>608</v>
      </c>
      <c r="UTT339" s="42" t="s">
        <v>608</v>
      </c>
      <c r="UTU339" s="42" t="s">
        <v>608</v>
      </c>
      <c r="UTV339" s="42" t="s">
        <v>608</v>
      </c>
      <c r="UTW339" s="42" t="s">
        <v>608</v>
      </c>
      <c r="UTX339" s="42" t="s">
        <v>608</v>
      </c>
      <c r="UTY339" s="42" t="s">
        <v>608</v>
      </c>
      <c r="UTZ339" s="42" t="s">
        <v>608</v>
      </c>
      <c r="UUA339" s="42" t="s">
        <v>608</v>
      </c>
      <c r="UUB339" s="42" t="s">
        <v>608</v>
      </c>
      <c r="UUC339" s="42" t="s">
        <v>608</v>
      </c>
      <c r="UUD339" s="42" t="s">
        <v>608</v>
      </c>
      <c r="UUE339" s="42" t="s">
        <v>608</v>
      </c>
      <c r="UUF339" s="42" t="s">
        <v>608</v>
      </c>
      <c r="UUG339" s="42" t="s">
        <v>608</v>
      </c>
      <c r="UUH339" s="42" t="s">
        <v>608</v>
      </c>
      <c r="UUI339" s="42" t="s">
        <v>608</v>
      </c>
      <c r="UUJ339" s="42" t="s">
        <v>608</v>
      </c>
      <c r="UUK339" s="42" t="s">
        <v>608</v>
      </c>
      <c r="UUL339" s="42" t="s">
        <v>608</v>
      </c>
      <c r="UUM339" s="42" t="s">
        <v>608</v>
      </c>
      <c r="UUN339" s="42" t="s">
        <v>608</v>
      </c>
      <c r="UUO339" s="42" t="s">
        <v>608</v>
      </c>
      <c r="UUP339" s="42" t="s">
        <v>608</v>
      </c>
      <c r="UUQ339" s="42" t="s">
        <v>608</v>
      </c>
      <c r="UUR339" s="42" t="s">
        <v>608</v>
      </c>
      <c r="UUS339" s="42" t="s">
        <v>608</v>
      </c>
      <c r="UUT339" s="42" t="s">
        <v>608</v>
      </c>
      <c r="UUU339" s="42" t="s">
        <v>608</v>
      </c>
      <c r="UUV339" s="42" t="s">
        <v>608</v>
      </c>
      <c r="UUW339" s="42" t="s">
        <v>608</v>
      </c>
      <c r="UUX339" s="42" t="s">
        <v>608</v>
      </c>
      <c r="UUY339" s="42" t="s">
        <v>608</v>
      </c>
      <c r="UUZ339" s="42" t="s">
        <v>608</v>
      </c>
      <c r="UVA339" s="42" t="s">
        <v>608</v>
      </c>
      <c r="UVB339" s="42" t="s">
        <v>608</v>
      </c>
      <c r="UVC339" s="42" t="s">
        <v>608</v>
      </c>
      <c r="UVD339" s="42" t="s">
        <v>608</v>
      </c>
      <c r="UVE339" s="42" t="s">
        <v>608</v>
      </c>
      <c r="UVF339" s="42" t="s">
        <v>608</v>
      </c>
      <c r="UVG339" s="42" t="s">
        <v>608</v>
      </c>
      <c r="UVH339" s="42" t="s">
        <v>608</v>
      </c>
      <c r="UVI339" s="42" t="s">
        <v>608</v>
      </c>
      <c r="UVJ339" s="42" t="s">
        <v>608</v>
      </c>
      <c r="UVK339" s="42" t="s">
        <v>608</v>
      </c>
      <c r="UVL339" s="42" t="s">
        <v>608</v>
      </c>
      <c r="UVM339" s="42" t="s">
        <v>608</v>
      </c>
      <c r="UVN339" s="42" t="s">
        <v>608</v>
      </c>
      <c r="UVO339" s="42" t="s">
        <v>608</v>
      </c>
      <c r="UVP339" s="42" t="s">
        <v>608</v>
      </c>
      <c r="UVQ339" s="42" t="s">
        <v>608</v>
      </c>
      <c r="UVR339" s="42" t="s">
        <v>608</v>
      </c>
      <c r="UVS339" s="42" t="s">
        <v>608</v>
      </c>
      <c r="UVT339" s="42" t="s">
        <v>608</v>
      </c>
      <c r="UVU339" s="42" t="s">
        <v>608</v>
      </c>
      <c r="UVV339" s="42" t="s">
        <v>608</v>
      </c>
      <c r="UVW339" s="42" t="s">
        <v>608</v>
      </c>
      <c r="UVX339" s="42" t="s">
        <v>608</v>
      </c>
      <c r="UVY339" s="42" t="s">
        <v>608</v>
      </c>
      <c r="UVZ339" s="42" t="s">
        <v>608</v>
      </c>
      <c r="UWA339" s="42" t="s">
        <v>608</v>
      </c>
      <c r="UWB339" s="42" t="s">
        <v>608</v>
      </c>
      <c r="UWC339" s="42" t="s">
        <v>608</v>
      </c>
      <c r="UWD339" s="42" t="s">
        <v>608</v>
      </c>
      <c r="UWE339" s="42" t="s">
        <v>608</v>
      </c>
      <c r="UWF339" s="42" t="s">
        <v>608</v>
      </c>
      <c r="UWG339" s="42" t="s">
        <v>608</v>
      </c>
      <c r="UWH339" s="42" t="s">
        <v>608</v>
      </c>
      <c r="UWI339" s="42" t="s">
        <v>608</v>
      </c>
      <c r="UWJ339" s="42" t="s">
        <v>608</v>
      </c>
      <c r="UWK339" s="42" t="s">
        <v>608</v>
      </c>
      <c r="UWL339" s="42" t="s">
        <v>608</v>
      </c>
      <c r="UWM339" s="42" t="s">
        <v>608</v>
      </c>
      <c r="UWN339" s="42" t="s">
        <v>608</v>
      </c>
      <c r="UWO339" s="42" t="s">
        <v>608</v>
      </c>
      <c r="UWP339" s="42" t="s">
        <v>608</v>
      </c>
      <c r="UWQ339" s="42" t="s">
        <v>608</v>
      </c>
      <c r="UWR339" s="42" t="s">
        <v>608</v>
      </c>
      <c r="UWS339" s="42" t="s">
        <v>608</v>
      </c>
      <c r="UWT339" s="42" t="s">
        <v>608</v>
      </c>
      <c r="UWU339" s="42" t="s">
        <v>608</v>
      </c>
      <c r="UWV339" s="42" t="s">
        <v>608</v>
      </c>
      <c r="UWW339" s="42" t="s">
        <v>608</v>
      </c>
      <c r="UWX339" s="42" t="s">
        <v>608</v>
      </c>
      <c r="UWY339" s="42" t="s">
        <v>608</v>
      </c>
      <c r="UWZ339" s="42" t="s">
        <v>608</v>
      </c>
      <c r="UXA339" s="42" t="s">
        <v>608</v>
      </c>
      <c r="UXB339" s="42" t="s">
        <v>608</v>
      </c>
      <c r="UXC339" s="42" t="s">
        <v>608</v>
      </c>
      <c r="UXD339" s="42" t="s">
        <v>608</v>
      </c>
      <c r="UXE339" s="42" t="s">
        <v>608</v>
      </c>
      <c r="UXF339" s="42" t="s">
        <v>608</v>
      </c>
      <c r="UXG339" s="42" t="s">
        <v>608</v>
      </c>
      <c r="UXH339" s="42" t="s">
        <v>608</v>
      </c>
      <c r="UXI339" s="42" t="s">
        <v>608</v>
      </c>
      <c r="UXJ339" s="42" t="s">
        <v>608</v>
      </c>
      <c r="UXK339" s="42" t="s">
        <v>608</v>
      </c>
      <c r="UXL339" s="42" t="s">
        <v>608</v>
      </c>
      <c r="UXM339" s="42" t="s">
        <v>608</v>
      </c>
      <c r="UXN339" s="42" t="s">
        <v>608</v>
      </c>
      <c r="UXO339" s="42" t="s">
        <v>608</v>
      </c>
      <c r="UXP339" s="42" t="s">
        <v>608</v>
      </c>
      <c r="UXQ339" s="42" t="s">
        <v>608</v>
      </c>
      <c r="UXR339" s="42" t="s">
        <v>608</v>
      </c>
      <c r="UXS339" s="42" t="s">
        <v>608</v>
      </c>
      <c r="UXT339" s="42" t="s">
        <v>608</v>
      </c>
      <c r="UXU339" s="42" t="s">
        <v>608</v>
      </c>
      <c r="UXV339" s="42" t="s">
        <v>608</v>
      </c>
      <c r="UXW339" s="42" t="s">
        <v>608</v>
      </c>
      <c r="UXX339" s="42" t="s">
        <v>608</v>
      </c>
      <c r="UXY339" s="42" t="s">
        <v>608</v>
      </c>
      <c r="UXZ339" s="42" t="s">
        <v>608</v>
      </c>
      <c r="UYA339" s="42" t="s">
        <v>608</v>
      </c>
      <c r="UYB339" s="42" t="s">
        <v>608</v>
      </c>
      <c r="UYC339" s="42" t="s">
        <v>608</v>
      </c>
      <c r="UYD339" s="42" t="s">
        <v>608</v>
      </c>
      <c r="UYE339" s="42" t="s">
        <v>608</v>
      </c>
      <c r="UYF339" s="42" t="s">
        <v>608</v>
      </c>
      <c r="UYG339" s="42" t="s">
        <v>608</v>
      </c>
      <c r="UYH339" s="42" t="s">
        <v>608</v>
      </c>
      <c r="UYI339" s="42" t="s">
        <v>608</v>
      </c>
      <c r="UYJ339" s="42" t="s">
        <v>608</v>
      </c>
      <c r="UYK339" s="42" t="s">
        <v>608</v>
      </c>
      <c r="UYL339" s="42" t="s">
        <v>608</v>
      </c>
      <c r="UYM339" s="42" t="s">
        <v>608</v>
      </c>
      <c r="UYN339" s="42" t="s">
        <v>608</v>
      </c>
      <c r="UYO339" s="42" t="s">
        <v>608</v>
      </c>
      <c r="UYP339" s="42" t="s">
        <v>608</v>
      </c>
      <c r="UYQ339" s="42" t="s">
        <v>608</v>
      </c>
      <c r="UYR339" s="42" t="s">
        <v>608</v>
      </c>
      <c r="UYS339" s="42" t="s">
        <v>608</v>
      </c>
      <c r="UYT339" s="42" t="s">
        <v>608</v>
      </c>
      <c r="UYU339" s="42" t="s">
        <v>608</v>
      </c>
      <c r="UYV339" s="42" t="s">
        <v>608</v>
      </c>
      <c r="UYW339" s="42" t="s">
        <v>608</v>
      </c>
      <c r="UYX339" s="42" t="s">
        <v>608</v>
      </c>
      <c r="UYY339" s="42" t="s">
        <v>608</v>
      </c>
      <c r="UYZ339" s="42" t="s">
        <v>608</v>
      </c>
      <c r="UZA339" s="42" t="s">
        <v>608</v>
      </c>
      <c r="UZB339" s="42" t="s">
        <v>608</v>
      </c>
      <c r="UZC339" s="42" t="s">
        <v>608</v>
      </c>
      <c r="UZD339" s="42" t="s">
        <v>608</v>
      </c>
      <c r="UZE339" s="42" t="s">
        <v>608</v>
      </c>
      <c r="UZF339" s="42" t="s">
        <v>608</v>
      </c>
      <c r="UZG339" s="42" t="s">
        <v>608</v>
      </c>
      <c r="UZH339" s="42" t="s">
        <v>608</v>
      </c>
      <c r="UZI339" s="42" t="s">
        <v>608</v>
      </c>
      <c r="UZJ339" s="42" t="s">
        <v>608</v>
      </c>
      <c r="UZK339" s="42" t="s">
        <v>608</v>
      </c>
      <c r="UZL339" s="42" t="s">
        <v>608</v>
      </c>
      <c r="UZM339" s="42" t="s">
        <v>608</v>
      </c>
      <c r="UZN339" s="42" t="s">
        <v>608</v>
      </c>
      <c r="UZO339" s="42" t="s">
        <v>608</v>
      </c>
      <c r="UZP339" s="42" t="s">
        <v>608</v>
      </c>
      <c r="UZQ339" s="42" t="s">
        <v>608</v>
      </c>
      <c r="UZR339" s="42" t="s">
        <v>608</v>
      </c>
      <c r="UZS339" s="42" t="s">
        <v>608</v>
      </c>
      <c r="UZT339" s="42" t="s">
        <v>608</v>
      </c>
      <c r="UZU339" s="42" t="s">
        <v>608</v>
      </c>
      <c r="UZV339" s="42" t="s">
        <v>608</v>
      </c>
      <c r="UZW339" s="42" t="s">
        <v>608</v>
      </c>
      <c r="UZX339" s="42" t="s">
        <v>608</v>
      </c>
      <c r="UZY339" s="42" t="s">
        <v>608</v>
      </c>
      <c r="UZZ339" s="42" t="s">
        <v>608</v>
      </c>
      <c r="VAA339" s="42" t="s">
        <v>608</v>
      </c>
      <c r="VAB339" s="42" t="s">
        <v>608</v>
      </c>
      <c r="VAC339" s="42" t="s">
        <v>608</v>
      </c>
      <c r="VAD339" s="42" t="s">
        <v>608</v>
      </c>
      <c r="VAE339" s="42" t="s">
        <v>608</v>
      </c>
      <c r="VAF339" s="42" t="s">
        <v>608</v>
      </c>
      <c r="VAG339" s="42" t="s">
        <v>608</v>
      </c>
      <c r="VAH339" s="42" t="s">
        <v>608</v>
      </c>
      <c r="VAI339" s="42" t="s">
        <v>608</v>
      </c>
      <c r="VAJ339" s="42" t="s">
        <v>608</v>
      </c>
      <c r="VAK339" s="42" t="s">
        <v>608</v>
      </c>
      <c r="VAL339" s="42" t="s">
        <v>608</v>
      </c>
      <c r="VAM339" s="42" t="s">
        <v>608</v>
      </c>
      <c r="VAN339" s="42" t="s">
        <v>608</v>
      </c>
      <c r="VAO339" s="42" t="s">
        <v>608</v>
      </c>
      <c r="VAP339" s="42" t="s">
        <v>608</v>
      </c>
      <c r="VAQ339" s="42" t="s">
        <v>608</v>
      </c>
      <c r="VAR339" s="42" t="s">
        <v>608</v>
      </c>
      <c r="VAS339" s="42" t="s">
        <v>608</v>
      </c>
      <c r="VAT339" s="42" t="s">
        <v>608</v>
      </c>
      <c r="VAU339" s="42" t="s">
        <v>608</v>
      </c>
      <c r="VAV339" s="42" t="s">
        <v>608</v>
      </c>
      <c r="VAW339" s="42" t="s">
        <v>608</v>
      </c>
      <c r="VAX339" s="42" t="s">
        <v>608</v>
      </c>
      <c r="VAY339" s="42" t="s">
        <v>608</v>
      </c>
      <c r="VAZ339" s="42" t="s">
        <v>608</v>
      </c>
      <c r="VBA339" s="42" t="s">
        <v>608</v>
      </c>
      <c r="VBB339" s="42" t="s">
        <v>608</v>
      </c>
      <c r="VBC339" s="42" t="s">
        <v>608</v>
      </c>
      <c r="VBD339" s="42" t="s">
        <v>608</v>
      </c>
      <c r="VBE339" s="42" t="s">
        <v>608</v>
      </c>
      <c r="VBF339" s="42" t="s">
        <v>608</v>
      </c>
      <c r="VBG339" s="42" t="s">
        <v>608</v>
      </c>
      <c r="VBH339" s="42" t="s">
        <v>608</v>
      </c>
      <c r="VBI339" s="42" t="s">
        <v>608</v>
      </c>
      <c r="VBJ339" s="42" t="s">
        <v>608</v>
      </c>
      <c r="VBK339" s="42" t="s">
        <v>608</v>
      </c>
      <c r="VBL339" s="42" t="s">
        <v>608</v>
      </c>
      <c r="VBM339" s="42" t="s">
        <v>608</v>
      </c>
      <c r="VBN339" s="42" t="s">
        <v>608</v>
      </c>
      <c r="VBO339" s="42" t="s">
        <v>608</v>
      </c>
      <c r="VBP339" s="42" t="s">
        <v>608</v>
      </c>
      <c r="VBQ339" s="42" t="s">
        <v>608</v>
      </c>
      <c r="VBR339" s="42" t="s">
        <v>608</v>
      </c>
      <c r="VBS339" s="42" t="s">
        <v>608</v>
      </c>
      <c r="VBT339" s="42" t="s">
        <v>608</v>
      </c>
      <c r="VBU339" s="42" t="s">
        <v>608</v>
      </c>
      <c r="VBV339" s="42" t="s">
        <v>608</v>
      </c>
      <c r="VBW339" s="42" t="s">
        <v>608</v>
      </c>
      <c r="VBX339" s="42" t="s">
        <v>608</v>
      </c>
      <c r="VBY339" s="42" t="s">
        <v>608</v>
      </c>
      <c r="VBZ339" s="42" t="s">
        <v>608</v>
      </c>
      <c r="VCA339" s="42" t="s">
        <v>608</v>
      </c>
      <c r="VCB339" s="42" t="s">
        <v>608</v>
      </c>
      <c r="VCC339" s="42" t="s">
        <v>608</v>
      </c>
      <c r="VCD339" s="42" t="s">
        <v>608</v>
      </c>
      <c r="VCE339" s="42" t="s">
        <v>608</v>
      </c>
      <c r="VCF339" s="42" t="s">
        <v>608</v>
      </c>
      <c r="VCG339" s="42" t="s">
        <v>608</v>
      </c>
      <c r="VCH339" s="42" t="s">
        <v>608</v>
      </c>
      <c r="VCI339" s="42" t="s">
        <v>608</v>
      </c>
      <c r="VCJ339" s="42" t="s">
        <v>608</v>
      </c>
      <c r="VCK339" s="42" t="s">
        <v>608</v>
      </c>
      <c r="VCL339" s="42" t="s">
        <v>608</v>
      </c>
      <c r="VCM339" s="42" t="s">
        <v>608</v>
      </c>
      <c r="VCN339" s="42" t="s">
        <v>608</v>
      </c>
      <c r="VCO339" s="42" t="s">
        <v>608</v>
      </c>
      <c r="VCP339" s="42" t="s">
        <v>608</v>
      </c>
      <c r="VCQ339" s="42" t="s">
        <v>608</v>
      </c>
      <c r="VCR339" s="42" t="s">
        <v>608</v>
      </c>
      <c r="VCS339" s="42" t="s">
        <v>608</v>
      </c>
      <c r="VCT339" s="42" t="s">
        <v>608</v>
      </c>
      <c r="VCU339" s="42" t="s">
        <v>608</v>
      </c>
      <c r="VCV339" s="42" t="s">
        <v>608</v>
      </c>
      <c r="VCW339" s="42" t="s">
        <v>608</v>
      </c>
      <c r="VCX339" s="42" t="s">
        <v>608</v>
      </c>
      <c r="VCY339" s="42" t="s">
        <v>608</v>
      </c>
      <c r="VCZ339" s="42" t="s">
        <v>608</v>
      </c>
      <c r="VDA339" s="42" t="s">
        <v>608</v>
      </c>
      <c r="VDB339" s="42" t="s">
        <v>608</v>
      </c>
      <c r="VDC339" s="42" t="s">
        <v>608</v>
      </c>
      <c r="VDD339" s="42" t="s">
        <v>608</v>
      </c>
      <c r="VDE339" s="42" t="s">
        <v>608</v>
      </c>
      <c r="VDF339" s="42" t="s">
        <v>608</v>
      </c>
      <c r="VDG339" s="42" t="s">
        <v>608</v>
      </c>
      <c r="VDH339" s="42" t="s">
        <v>608</v>
      </c>
      <c r="VDI339" s="42" t="s">
        <v>608</v>
      </c>
      <c r="VDJ339" s="42" t="s">
        <v>608</v>
      </c>
      <c r="VDK339" s="42" t="s">
        <v>608</v>
      </c>
      <c r="VDL339" s="42" t="s">
        <v>608</v>
      </c>
      <c r="VDM339" s="42" t="s">
        <v>608</v>
      </c>
      <c r="VDN339" s="42" t="s">
        <v>608</v>
      </c>
      <c r="VDO339" s="42" t="s">
        <v>608</v>
      </c>
      <c r="VDP339" s="42" t="s">
        <v>608</v>
      </c>
      <c r="VDQ339" s="42" t="s">
        <v>608</v>
      </c>
      <c r="VDR339" s="42" t="s">
        <v>608</v>
      </c>
      <c r="VDS339" s="42" t="s">
        <v>608</v>
      </c>
      <c r="VDT339" s="42" t="s">
        <v>608</v>
      </c>
      <c r="VDU339" s="42" t="s">
        <v>608</v>
      </c>
      <c r="VDV339" s="42" t="s">
        <v>608</v>
      </c>
      <c r="VDW339" s="42" t="s">
        <v>608</v>
      </c>
      <c r="VDX339" s="42" t="s">
        <v>608</v>
      </c>
      <c r="VDY339" s="42" t="s">
        <v>608</v>
      </c>
      <c r="VDZ339" s="42" t="s">
        <v>608</v>
      </c>
      <c r="VEA339" s="42" t="s">
        <v>608</v>
      </c>
      <c r="VEB339" s="42" t="s">
        <v>608</v>
      </c>
      <c r="VEC339" s="42" t="s">
        <v>608</v>
      </c>
      <c r="VED339" s="42" t="s">
        <v>608</v>
      </c>
      <c r="VEE339" s="42" t="s">
        <v>608</v>
      </c>
      <c r="VEF339" s="42" t="s">
        <v>608</v>
      </c>
      <c r="VEG339" s="42" t="s">
        <v>608</v>
      </c>
      <c r="VEH339" s="42" t="s">
        <v>608</v>
      </c>
      <c r="VEI339" s="42" t="s">
        <v>608</v>
      </c>
      <c r="VEJ339" s="42" t="s">
        <v>608</v>
      </c>
      <c r="VEK339" s="42" t="s">
        <v>608</v>
      </c>
      <c r="VEL339" s="42" t="s">
        <v>608</v>
      </c>
      <c r="VEM339" s="42" t="s">
        <v>608</v>
      </c>
      <c r="VEN339" s="42" t="s">
        <v>608</v>
      </c>
      <c r="VEO339" s="42" t="s">
        <v>608</v>
      </c>
      <c r="VEP339" s="42" t="s">
        <v>608</v>
      </c>
      <c r="VEQ339" s="42" t="s">
        <v>608</v>
      </c>
      <c r="VER339" s="42" t="s">
        <v>608</v>
      </c>
      <c r="VES339" s="42" t="s">
        <v>608</v>
      </c>
      <c r="VET339" s="42" t="s">
        <v>608</v>
      </c>
      <c r="VEU339" s="42" t="s">
        <v>608</v>
      </c>
      <c r="VEV339" s="42" t="s">
        <v>608</v>
      </c>
      <c r="VEW339" s="42" t="s">
        <v>608</v>
      </c>
      <c r="VEX339" s="42" t="s">
        <v>608</v>
      </c>
      <c r="VEY339" s="42" t="s">
        <v>608</v>
      </c>
      <c r="VEZ339" s="42" t="s">
        <v>608</v>
      </c>
      <c r="VFA339" s="42" t="s">
        <v>608</v>
      </c>
      <c r="VFB339" s="42" t="s">
        <v>608</v>
      </c>
      <c r="VFC339" s="42" t="s">
        <v>608</v>
      </c>
      <c r="VFD339" s="42" t="s">
        <v>608</v>
      </c>
      <c r="VFE339" s="42" t="s">
        <v>608</v>
      </c>
      <c r="VFF339" s="42" t="s">
        <v>608</v>
      </c>
      <c r="VFG339" s="42" t="s">
        <v>608</v>
      </c>
      <c r="VFH339" s="42" t="s">
        <v>608</v>
      </c>
      <c r="VFI339" s="42" t="s">
        <v>608</v>
      </c>
      <c r="VFJ339" s="42" t="s">
        <v>608</v>
      </c>
      <c r="VFK339" s="42" t="s">
        <v>608</v>
      </c>
      <c r="VFL339" s="42" t="s">
        <v>608</v>
      </c>
      <c r="VFM339" s="42" t="s">
        <v>608</v>
      </c>
      <c r="VFN339" s="42" t="s">
        <v>608</v>
      </c>
      <c r="VFO339" s="42" t="s">
        <v>608</v>
      </c>
      <c r="VFP339" s="42" t="s">
        <v>608</v>
      </c>
      <c r="VFQ339" s="42" t="s">
        <v>608</v>
      </c>
      <c r="VFR339" s="42" t="s">
        <v>608</v>
      </c>
      <c r="VFS339" s="42" t="s">
        <v>608</v>
      </c>
      <c r="VFT339" s="42" t="s">
        <v>608</v>
      </c>
      <c r="VFU339" s="42" t="s">
        <v>608</v>
      </c>
      <c r="VFV339" s="42" t="s">
        <v>608</v>
      </c>
      <c r="VFW339" s="42" t="s">
        <v>608</v>
      </c>
      <c r="VFX339" s="42" t="s">
        <v>608</v>
      </c>
      <c r="VFY339" s="42" t="s">
        <v>608</v>
      </c>
      <c r="VFZ339" s="42" t="s">
        <v>608</v>
      </c>
      <c r="VGA339" s="42" t="s">
        <v>608</v>
      </c>
      <c r="VGB339" s="42" t="s">
        <v>608</v>
      </c>
      <c r="VGC339" s="42" t="s">
        <v>608</v>
      </c>
      <c r="VGD339" s="42" t="s">
        <v>608</v>
      </c>
      <c r="VGE339" s="42" t="s">
        <v>608</v>
      </c>
      <c r="VGF339" s="42" t="s">
        <v>608</v>
      </c>
      <c r="VGG339" s="42" t="s">
        <v>608</v>
      </c>
      <c r="VGH339" s="42" t="s">
        <v>608</v>
      </c>
      <c r="VGI339" s="42" t="s">
        <v>608</v>
      </c>
      <c r="VGJ339" s="42" t="s">
        <v>608</v>
      </c>
      <c r="VGK339" s="42" t="s">
        <v>608</v>
      </c>
      <c r="VGL339" s="42" t="s">
        <v>608</v>
      </c>
      <c r="VGM339" s="42" t="s">
        <v>608</v>
      </c>
      <c r="VGN339" s="42" t="s">
        <v>608</v>
      </c>
      <c r="VGO339" s="42" t="s">
        <v>608</v>
      </c>
      <c r="VGP339" s="42" t="s">
        <v>608</v>
      </c>
      <c r="VGQ339" s="42" t="s">
        <v>608</v>
      </c>
      <c r="VGR339" s="42" t="s">
        <v>608</v>
      </c>
      <c r="VGS339" s="42" t="s">
        <v>608</v>
      </c>
      <c r="VGT339" s="42" t="s">
        <v>608</v>
      </c>
      <c r="VGU339" s="42" t="s">
        <v>608</v>
      </c>
      <c r="VGV339" s="42" t="s">
        <v>608</v>
      </c>
      <c r="VGW339" s="42" t="s">
        <v>608</v>
      </c>
      <c r="VGX339" s="42" t="s">
        <v>608</v>
      </c>
      <c r="VGY339" s="42" t="s">
        <v>608</v>
      </c>
      <c r="VGZ339" s="42" t="s">
        <v>608</v>
      </c>
      <c r="VHA339" s="42" t="s">
        <v>608</v>
      </c>
      <c r="VHB339" s="42" t="s">
        <v>608</v>
      </c>
      <c r="VHC339" s="42" t="s">
        <v>608</v>
      </c>
      <c r="VHD339" s="42" t="s">
        <v>608</v>
      </c>
      <c r="VHE339" s="42" t="s">
        <v>608</v>
      </c>
      <c r="VHF339" s="42" t="s">
        <v>608</v>
      </c>
      <c r="VHG339" s="42" t="s">
        <v>608</v>
      </c>
      <c r="VHH339" s="42" t="s">
        <v>608</v>
      </c>
      <c r="VHI339" s="42" t="s">
        <v>608</v>
      </c>
      <c r="VHJ339" s="42" t="s">
        <v>608</v>
      </c>
      <c r="VHK339" s="42" t="s">
        <v>608</v>
      </c>
      <c r="VHL339" s="42" t="s">
        <v>608</v>
      </c>
      <c r="VHM339" s="42" t="s">
        <v>608</v>
      </c>
      <c r="VHN339" s="42" t="s">
        <v>608</v>
      </c>
      <c r="VHO339" s="42" t="s">
        <v>608</v>
      </c>
      <c r="VHP339" s="42" t="s">
        <v>608</v>
      </c>
      <c r="VHQ339" s="42" t="s">
        <v>608</v>
      </c>
      <c r="VHR339" s="42" t="s">
        <v>608</v>
      </c>
      <c r="VHS339" s="42" t="s">
        <v>608</v>
      </c>
      <c r="VHT339" s="42" t="s">
        <v>608</v>
      </c>
      <c r="VHU339" s="42" t="s">
        <v>608</v>
      </c>
      <c r="VHV339" s="42" t="s">
        <v>608</v>
      </c>
      <c r="VHW339" s="42" t="s">
        <v>608</v>
      </c>
      <c r="VHX339" s="42" t="s">
        <v>608</v>
      </c>
      <c r="VHY339" s="42" t="s">
        <v>608</v>
      </c>
      <c r="VHZ339" s="42" t="s">
        <v>608</v>
      </c>
      <c r="VIA339" s="42" t="s">
        <v>608</v>
      </c>
      <c r="VIB339" s="42" t="s">
        <v>608</v>
      </c>
      <c r="VIC339" s="42" t="s">
        <v>608</v>
      </c>
      <c r="VID339" s="42" t="s">
        <v>608</v>
      </c>
      <c r="VIE339" s="42" t="s">
        <v>608</v>
      </c>
      <c r="VIF339" s="42" t="s">
        <v>608</v>
      </c>
      <c r="VIG339" s="42" t="s">
        <v>608</v>
      </c>
      <c r="VIH339" s="42" t="s">
        <v>608</v>
      </c>
      <c r="VII339" s="42" t="s">
        <v>608</v>
      </c>
      <c r="VIJ339" s="42" t="s">
        <v>608</v>
      </c>
      <c r="VIK339" s="42" t="s">
        <v>608</v>
      </c>
      <c r="VIL339" s="42" t="s">
        <v>608</v>
      </c>
      <c r="VIM339" s="42" t="s">
        <v>608</v>
      </c>
      <c r="VIN339" s="42" t="s">
        <v>608</v>
      </c>
      <c r="VIO339" s="42" t="s">
        <v>608</v>
      </c>
      <c r="VIP339" s="42" t="s">
        <v>608</v>
      </c>
      <c r="VIQ339" s="42" t="s">
        <v>608</v>
      </c>
      <c r="VIR339" s="42" t="s">
        <v>608</v>
      </c>
      <c r="VIS339" s="42" t="s">
        <v>608</v>
      </c>
      <c r="VIT339" s="42" t="s">
        <v>608</v>
      </c>
      <c r="VIU339" s="42" t="s">
        <v>608</v>
      </c>
      <c r="VIV339" s="42" t="s">
        <v>608</v>
      </c>
      <c r="VIW339" s="42" t="s">
        <v>608</v>
      </c>
      <c r="VIX339" s="42" t="s">
        <v>608</v>
      </c>
      <c r="VIY339" s="42" t="s">
        <v>608</v>
      </c>
      <c r="VIZ339" s="42" t="s">
        <v>608</v>
      </c>
      <c r="VJA339" s="42" t="s">
        <v>608</v>
      </c>
      <c r="VJB339" s="42" t="s">
        <v>608</v>
      </c>
      <c r="VJC339" s="42" t="s">
        <v>608</v>
      </c>
      <c r="VJD339" s="42" t="s">
        <v>608</v>
      </c>
      <c r="VJE339" s="42" t="s">
        <v>608</v>
      </c>
      <c r="VJF339" s="42" t="s">
        <v>608</v>
      </c>
      <c r="VJG339" s="42" t="s">
        <v>608</v>
      </c>
      <c r="VJH339" s="42" t="s">
        <v>608</v>
      </c>
      <c r="VJI339" s="42" t="s">
        <v>608</v>
      </c>
      <c r="VJJ339" s="42" t="s">
        <v>608</v>
      </c>
      <c r="VJK339" s="42" t="s">
        <v>608</v>
      </c>
      <c r="VJL339" s="42" t="s">
        <v>608</v>
      </c>
      <c r="VJM339" s="42" t="s">
        <v>608</v>
      </c>
      <c r="VJN339" s="42" t="s">
        <v>608</v>
      </c>
      <c r="VJO339" s="42" t="s">
        <v>608</v>
      </c>
      <c r="VJP339" s="42" t="s">
        <v>608</v>
      </c>
      <c r="VJQ339" s="42" t="s">
        <v>608</v>
      </c>
      <c r="VJR339" s="42" t="s">
        <v>608</v>
      </c>
      <c r="VJS339" s="42" t="s">
        <v>608</v>
      </c>
      <c r="VJT339" s="42" t="s">
        <v>608</v>
      </c>
      <c r="VJU339" s="42" t="s">
        <v>608</v>
      </c>
      <c r="VJV339" s="42" t="s">
        <v>608</v>
      </c>
      <c r="VJW339" s="42" t="s">
        <v>608</v>
      </c>
      <c r="VJX339" s="42" t="s">
        <v>608</v>
      </c>
      <c r="VJY339" s="42" t="s">
        <v>608</v>
      </c>
      <c r="VJZ339" s="42" t="s">
        <v>608</v>
      </c>
      <c r="VKA339" s="42" t="s">
        <v>608</v>
      </c>
      <c r="VKB339" s="42" t="s">
        <v>608</v>
      </c>
      <c r="VKC339" s="42" t="s">
        <v>608</v>
      </c>
      <c r="VKD339" s="42" t="s">
        <v>608</v>
      </c>
      <c r="VKE339" s="42" t="s">
        <v>608</v>
      </c>
      <c r="VKF339" s="42" t="s">
        <v>608</v>
      </c>
      <c r="VKG339" s="42" t="s">
        <v>608</v>
      </c>
      <c r="VKH339" s="42" t="s">
        <v>608</v>
      </c>
      <c r="VKI339" s="42" t="s">
        <v>608</v>
      </c>
      <c r="VKJ339" s="42" t="s">
        <v>608</v>
      </c>
      <c r="VKK339" s="42" t="s">
        <v>608</v>
      </c>
      <c r="VKL339" s="42" t="s">
        <v>608</v>
      </c>
      <c r="VKM339" s="42" t="s">
        <v>608</v>
      </c>
      <c r="VKN339" s="42" t="s">
        <v>608</v>
      </c>
      <c r="VKO339" s="42" t="s">
        <v>608</v>
      </c>
      <c r="VKP339" s="42" t="s">
        <v>608</v>
      </c>
      <c r="VKQ339" s="42" t="s">
        <v>608</v>
      </c>
      <c r="VKR339" s="42" t="s">
        <v>608</v>
      </c>
      <c r="VKS339" s="42" t="s">
        <v>608</v>
      </c>
      <c r="VKT339" s="42" t="s">
        <v>608</v>
      </c>
      <c r="VKU339" s="42" t="s">
        <v>608</v>
      </c>
      <c r="VKV339" s="42" t="s">
        <v>608</v>
      </c>
      <c r="VKW339" s="42" t="s">
        <v>608</v>
      </c>
      <c r="VKX339" s="42" t="s">
        <v>608</v>
      </c>
      <c r="VKY339" s="42" t="s">
        <v>608</v>
      </c>
      <c r="VKZ339" s="42" t="s">
        <v>608</v>
      </c>
      <c r="VLA339" s="42" t="s">
        <v>608</v>
      </c>
      <c r="VLB339" s="42" t="s">
        <v>608</v>
      </c>
      <c r="VLC339" s="42" t="s">
        <v>608</v>
      </c>
      <c r="VLD339" s="42" t="s">
        <v>608</v>
      </c>
      <c r="VLE339" s="42" t="s">
        <v>608</v>
      </c>
      <c r="VLF339" s="42" t="s">
        <v>608</v>
      </c>
      <c r="VLG339" s="42" t="s">
        <v>608</v>
      </c>
      <c r="VLH339" s="42" t="s">
        <v>608</v>
      </c>
      <c r="VLI339" s="42" t="s">
        <v>608</v>
      </c>
      <c r="VLJ339" s="42" t="s">
        <v>608</v>
      </c>
      <c r="VLK339" s="42" t="s">
        <v>608</v>
      </c>
      <c r="VLL339" s="42" t="s">
        <v>608</v>
      </c>
      <c r="VLM339" s="42" t="s">
        <v>608</v>
      </c>
      <c r="VLN339" s="42" t="s">
        <v>608</v>
      </c>
      <c r="VLO339" s="42" t="s">
        <v>608</v>
      </c>
      <c r="VLP339" s="42" t="s">
        <v>608</v>
      </c>
      <c r="VLQ339" s="42" t="s">
        <v>608</v>
      </c>
      <c r="VLR339" s="42" t="s">
        <v>608</v>
      </c>
      <c r="VLS339" s="42" t="s">
        <v>608</v>
      </c>
      <c r="VLT339" s="42" t="s">
        <v>608</v>
      </c>
      <c r="VLU339" s="42" t="s">
        <v>608</v>
      </c>
      <c r="VLV339" s="42" t="s">
        <v>608</v>
      </c>
      <c r="VLW339" s="42" t="s">
        <v>608</v>
      </c>
      <c r="VLX339" s="42" t="s">
        <v>608</v>
      </c>
      <c r="VLY339" s="42" t="s">
        <v>608</v>
      </c>
      <c r="VLZ339" s="42" t="s">
        <v>608</v>
      </c>
      <c r="VMA339" s="42" t="s">
        <v>608</v>
      </c>
      <c r="VMB339" s="42" t="s">
        <v>608</v>
      </c>
      <c r="VMC339" s="42" t="s">
        <v>608</v>
      </c>
      <c r="VMD339" s="42" t="s">
        <v>608</v>
      </c>
      <c r="VME339" s="42" t="s">
        <v>608</v>
      </c>
      <c r="VMF339" s="42" t="s">
        <v>608</v>
      </c>
      <c r="VMG339" s="42" t="s">
        <v>608</v>
      </c>
      <c r="VMH339" s="42" t="s">
        <v>608</v>
      </c>
      <c r="VMI339" s="42" t="s">
        <v>608</v>
      </c>
      <c r="VMJ339" s="42" t="s">
        <v>608</v>
      </c>
      <c r="VMK339" s="42" t="s">
        <v>608</v>
      </c>
      <c r="VML339" s="42" t="s">
        <v>608</v>
      </c>
      <c r="VMM339" s="42" t="s">
        <v>608</v>
      </c>
      <c r="VMN339" s="42" t="s">
        <v>608</v>
      </c>
      <c r="VMO339" s="42" t="s">
        <v>608</v>
      </c>
      <c r="VMP339" s="42" t="s">
        <v>608</v>
      </c>
      <c r="VMQ339" s="42" t="s">
        <v>608</v>
      </c>
      <c r="VMR339" s="42" t="s">
        <v>608</v>
      </c>
      <c r="VMS339" s="42" t="s">
        <v>608</v>
      </c>
      <c r="VMT339" s="42" t="s">
        <v>608</v>
      </c>
      <c r="VMU339" s="42" t="s">
        <v>608</v>
      </c>
      <c r="VMV339" s="42" t="s">
        <v>608</v>
      </c>
      <c r="VMW339" s="42" t="s">
        <v>608</v>
      </c>
      <c r="VMX339" s="42" t="s">
        <v>608</v>
      </c>
      <c r="VMY339" s="42" t="s">
        <v>608</v>
      </c>
      <c r="VMZ339" s="42" t="s">
        <v>608</v>
      </c>
      <c r="VNA339" s="42" t="s">
        <v>608</v>
      </c>
      <c r="VNB339" s="42" t="s">
        <v>608</v>
      </c>
      <c r="VNC339" s="42" t="s">
        <v>608</v>
      </c>
      <c r="VND339" s="42" t="s">
        <v>608</v>
      </c>
      <c r="VNE339" s="42" t="s">
        <v>608</v>
      </c>
      <c r="VNF339" s="42" t="s">
        <v>608</v>
      </c>
      <c r="VNG339" s="42" t="s">
        <v>608</v>
      </c>
      <c r="VNH339" s="42" t="s">
        <v>608</v>
      </c>
      <c r="VNI339" s="42" t="s">
        <v>608</v>
      </c>
      <c r="VNJ339" s="42" t="s">
        <v>608</v>
      </c>
      <c r="VNK339" s="42" t="s">
        <v>608</v>
      </c>
      <c r="VNL339" s="42" t="s">
        <v>608</v>
      </c>
      <c r="VNM339" s="42" t="s">
        <v>608</v>
      </c>
      <c r="VNN339" s="42" t="s">
        <v>608</v>
      </c>
      <c r="VNO339" s="42" t="s">
        <v>608</v>
      </c>
      <c r="VNP339" s="42" t="s">
        <v>608</v>
      </c>
      <c r="VNQ339" s="42" t="s">
        <v>608</v>
      </c>
      <c r="VNR339" s="42" t="s">
        <v>608</v>
      </c>
      <c r="VNS339" s="42" t="s">
        <v>608</v>
      </c>
      <c r="VNT339" s="42" t="s">
        <v>608</v>
      </c>
      <c r="VNU339" s="42" t="s">
        <v>608</v>
      </c>
      <c r="VNV339" s="42" t="s">
        <v>608</v>
      </c>
      <c r="VNW339" s="42" t="s">
        <v>608</v>
      </c>
      <c r="VNX339" s="42" t="s">
        <v>608</v>
      </c>
      <c r="VNY339" s="42" t="s">
        <v>608</v>
      </c>
      <c r="VNZ339" s="42" t="s">
        <v>608</v>
      </c>
      <c r="VOA339" s="42" t="s">
        <v>608</v>
      </c>
      <c r="VOB339" s="42" t="s">
        <v>608</v>
      </c>
      <c r="VOC339" s="42" t="s">
        <v>608</v>
      </c>
      <c r="VOD339" s="42" t="s">
        <v>608</v>
      </c>
      <c r="VOE339" s="42" t="s">
        <v>608</v>
      </c>
      <c r="VOF339" s="42" t="s">
        <v>608</v>
      </c>
      <c r="VOG339" s="42" t="s">
        <v>608</v>
      </c>
      <c r="VOH339" s="42" t="s">
        <v>608</v>
      </c>
      <c r="VOI339" s="42" t="s">
        <v>608</v>
      </c>
      <c r="VOJ339" s="42" t="s">
        <v>608</v>
      </c>
      <c r="VOK339" s="42" t="s">
        <v>608</v>
      </c>
      <c r="VOL339" s="42" t="s">
        <v>608</v>
      </c>
      <c r="VOM339" s="42" t="s">
        <v>608</v>
      </c>
      <c r="VON339" s="42" t="s">
        <v>608</v>
      </c>
      <c r="VOO339" s="42" t="s">
        <v>608</v>
      </c>
      <c r="VOP339" s="42" t="s">
        <v>608</v>
      </c>
      <c r="VOQ339" s="42" t="s">
        <v>608</v>
      </c>
      <c r="VOR339" s="42" t="s">
        <v>608</v>
      </c>
      <c r="VOS339" s="42" t="s">
        <v>608</v>
      </c>
      <c r="VOT339" s="42" t="s">
        <v>608</v>
      </c>
      <c r="VOU339" s="42" t="s">
        <v>608</v>
      </c>
      <c r="VOV339" s="42" t="s">
        <v>608</v>
      </c>
      <c r="VOW339" s="42" t="s">
        <v>608</v>
      </c>
      <c r="VOX339" s="42" t="s">
        <v>608</v>
      </c>
      <c r="VOY339" s="42" t="s">
        <v>608</v>
      </c>
      <c r="VOZ339" s="42" t="s">
        <v>608</v>
      </c>
      <c r="VPA339" s="42" t="s">
        <v>608</v>
      </c>
      <c r="VPB339" s="42" t="s">
        <v>608</v>
      </c>
      <c r="VPC339" s="42" t="s">
        <v>608</v>
      </c>
      <c r="VPD339" s="42" t="s">
        <v>608</v>
      </c>
      <c r="VPE339" s="42" t="s">
        <v>608</v>
      </c>
      <c r="VPF339" s="42" t="s">
        <v>608</v>
      </c>
      <c r="VPG339" s="42" t="s">
        <v>608</v>
      </c>
      <c r="VPH339" s="42" t="s">
        <v>608</v>
      </c>
      <c r="VPI339" s="42" t="s">
        <v>608</v>
      </c>
      <c r="VPJ339" s="42" t="s">
        <v>608</v>
      </c>
      <c r="VPK339" s="42" t="s">
        <v>608</v>
      </c>
      <c r="VPL339" s="42" t="s">
        <v>608</v>
      </c>
      <c r="VPM339" s="42" t="s">
        <v>608</v>
      </c>
      <c r="VPN339" s="42" t="s">
        <v>608</v>
      </c>
      <c r="VPO339" s="42" t="s">
        <v>608</v>
      </c>
      <c r="VPP339" s="42" t="s">
        <v>608</v>
      </c>
      <c r="VPQ339" s="42" t="s">
        <v>608</v>
      </c>
      <c r="VPR339" s="42" t="s">
        <v>608</v>
      </c>
      <c r="VPS339" s="42" t="s">
        <v>608</v>
      </c>
      <c r="VPT339" s="42" t="s">
        <v>608</v>
      </c>
      <c r="VPU339" s="42" t="s">
        <v>608</v>
      </c>
      <c r="VPV339" s="42" t="s">
        <v>608</v>
      </c>
      <c r="VPW339" s="42" t="s">
        <v>608</v>
      </c>
      <c r="VPX339" s="42" t="s">
        <v>608</v>
      </c>
      <c r="VPY339" s="42" t="s">
        <v>608</v>
      </c>
      <c r="VPZ339" s="42" t="s">
        <v>608</v>
      </c>
      <c r="VQA339" s="42" t="s">
        <v>608</v>
      </c>
      <c r="VQB339" s="42" t="s">
        <v>608</v>
      </c>
      <c r="VQC339" s="42" t="s">
        <v>608</v>
      </c>
      <c r="VQD339" s="42" t="s">
        <v>608</v>
      </c>
      <c r="VQE339" s="42" t="s">
        <v>608</v>
      </c>
      <c r="VQF339" s="42" t="s">
        <v>608</v>
      </c>
      <c r="VQG339" s="42" t="s">
        <v>608</v>
      </c>
      <c r="VQH339" s="42" t="s">
        <v>608</v>
      </c>
      <c r="VQI339" s="42" t="s">
        <v>608</v>
      </c>
      <c r="VQJ339" s="42" t="s">
        <v>608</v>
      </c>
      <c r="VQK339" s="42" t="s">
        <v>608</v>
      </c>
      <c r="VQL339" s="42" t="s">
        <v>608</v>
      </c>
      <c r="VQM339" s="42" t="s">
        <v>608</v>
      </c>
      <c r="VQN339" s="42" t="s">
        <v>608</v>
      </c>
      <c r="VQO339" s="42" t="s">
        <v>608</v>
      </c>
      <c r="VQP339" s="42" t="s">
        <v>608</v>
      </c>
      <c r="VQQ339" s="42" t="s">
        <v>608</v>
      </c>
      <c r="VQR339" s="42" t="s">
        <v>608</v>
      </c>
      <c r="VQS339" s="42" t="s">
        <v>608</v>
      </c>
      <c r="VQT339" s="42" t="s">
        <v>608</v>
      </c>
      <c r="VQU339" s="42" t="s">
        <v>608</v>
      </c>
      <c r="VQV339" s="42" t="s">
        <v>608</v>
      </c>
      <c r="VQW339" s="42" t="s">
        <v>608</v>
      </c>
      <c r="VQX339" s="42" t="s">
        <v>608</v>
      </c>
      <c r="VQY339" s="42" t="s">
        <v>608</v>
      </c>
      <c r="VQZ339" s="42" t="s">
        <v>608</v>
      </c>
      <c r="VRA339" s="42" t="s">
        <v>608</v>
      </c>
      <c r="VRB339" s="42" t="s">
        <v>608</v>
      </c>
      <c r="VRC339" s="42" t="s">
        <v>608</v>
      </c>
      <c r="VRD339" s="42" t="s">
        <v>608</v>
      </c>
      <c r="VRE339" s="42" t="s">
        <v>608</v>
      </c>
      <c r="VRF339" s="42" t="s">
        <v>608</v>
      </c>
      <c r="VRG339" s="42" t="s">
        <v>608</v>
      </c>
      <c r="VRH339" s="42" t="s">
        <v>608</v>
      </c>
      <c r="VRI339" s="42" t="s">
        <v>608</v>
      </c>
      <c r="VRJ339" s="42" t="s">
        <v>608</v>
      </c>
      <c r="VRK339" s="42" t="s">
        <v>608</v>
      </c>
      <c r="VRL339" s="42" t="s">
        <v>608</v>
      </c>
      <c r="VRM339" s="42" t="s">
        <v>608</v>
      </c>
      <c r="VRN339" s="42" t="s">
        <v>608</v>
      </c>
      <c r="VRO339" s="42" t="s">
        <v>608</v>
      </c>
      <c r="VRP339" s="42" t="s">
        <v>608</v>
      </c>
      <c r="VRQ339" s="42" t="s">
        <v>608</v>
      </c>
      <c r="VRR339" s="42" t="s">
        <v>608</v>
      </c>
      <c r="VRS339" s="42" t="s">
        <v>608</v>
      </c>
      <c r="VRT339" s="42" t="s">
        <v>608</v>
      </c>
      <c r="VRU339" s="42" t="s">
        <v>608</v>
      </c>
      <c r="VRV339" s="42" t="s">
        <v>608</v>
      </c>
      <c r="VRW339" s="42" t="s">
        <v>608</v>
      </c>
      <c r="VRX339" s="42" t="s">
        <v>608</v>
      </c>
      <c r="VRY339" s="42" t="s">
        <v>608</v>
      </c>
      <c r="VRZ339" s="42" t="s">
        <v>608</v>
      </c>
      <c r="VSA339" s="42" t="s">
        <v>608</v>
      </c>
      <c r="VSB339" s="42" t="s">
        <v>608</v>
      </c>
      <c r="VSC339" s="42" t="s">
        <v>608</v>
      </c>
      <c r="VSD339" s="42" t="s">
        <v>608</v>
      </c>
      <c r="VSE339" s="42" t="s">
        <v>608</v>
      </c>
      <c r="VSF339" s="42" t="s">
        <v>608</v>
      </c>
      <c r="VSG339" s="42" t="s">
        <v>608</v>
      </c>
      <c r="VSH339" s="42" t="s">
        <v>608</v>
      </c>
      <c r="VSI339" s="42" t="s">
        <v>608</v>
      </c>
      <c r="VSJ339" s="42" t="s">
        <v>608</v>
      </c>
      <c r="VSK339" s="42" t="s">
        <v>608</v>
      </c>
      <c r="VSL339" s="42" t="s">
        <v>608</v>
      </c>
      <c r="VSM339" s="42" t="s">
        <v>608</v>
      </c>
      <c r="VSN339" s="42" t="s">
        <v>608</v>
      </c>
      <c r="VSO339" s="42" t="s">
        <v>608</v>
      </c>
      <c r="VSP339" s="42" t="s">
        <v>608</v>
      </c>
      <c r="VSQ339" s="42" t="s">
        <v>608</v>
      </c>
      <c r="VSR339" s="42" t="s">
        <v>608</v>
      </c>
      <c r="VSS339" s="42" t="s">
        <v>608</v>
      </c>
      <c r="VST339" s="42" t="s">
        <v>608</v>
      </c>
      <c r="VSU339" s="42" t="s">
        <v>608</v>
      </c>
      <c r="VSV339" s="42" t="s">
        <v>608</v>
      </c>
      <c r="VSW339" s="42" t="s">
        <v>608</v>
      </c>
      <c r="VSX339" s="42" t="s">
        <v>608</v>
      </c>
      <c r="VSY339" s="42" t="s">
        <v>608</v>
      </c>
      <c r="VSZ339" s="42" t="s">
        <v>608</v>
      </c>
      <c r="VTA339" s="42" t="s">
        <v>608</v>
      </c>
      <c r="VTB339" s="42" t="s">
        <v>608</v>
      </c>
      <c r="VTC339" s="42" t="s">
        <v>608</v>
      </c>
      <c r="VTD339" s="42" t="s">
        <v>608</v>
      </c>
      <c r="VTE339" s="42" t="s">
        <v>608</v>
      </c>
      <c r="VTF339" s="42" t="s">
        <v>608</v>
      </c>
      <c r="VTG339" s="42" t="s">
        <v>608</v>
      </c>
      <c r="VTH339" s="42" t="s">
        <v>608</v>
      </c>
      <c r="VTI339" s="42" t="s">
        <v>608</v>
      </c>
      <c r="VTJ339" s="42" t="s">
        <v>608</v>
      </c>
      <c r="VTK339" s="42" t="s">
        <v>608</v>
      </c>
      <c r="VTL339" s="42" t="s">
        <v>608</v>
      </c>
      <c r="VTM339" s="42" t="s">
        <v>608</v>
      </c>
      <c r="VTN339" s="42" t="s">
        <v>608</v>
      </c>
      <c r="VTO339" s="42" t="s">
        <v>608</v>
      </c>
      <c r="VTP339" s="42" t="s">
        <v>608</v>
      </c>
      <c r="VTQ339" s="42" t="s">
        <v>608</v>
      </c>
      <c r="VTR339" s="42" t="s">
        <v>608</v>
      </c>
      <c r="VTS339" s="42" t="s">
        <v>608</v>
      </c>
      <c r="VTT339" s="42" t="s">
        <v>608</v>
      </c>
      <c r="VTU339" s="42" t="s">
        <v>608</v>
      </c>
      <c r="VTV339" s="42" t="s">
        <v>608</v>
      </c>
      <c r="VTW339" s="42" t="s">
        <v>608</v>
      </c>
      <c r="VTX339" s="42" t="s">
        <v>608</v>
      </c>
      <c r="VTY339" s="42" t="s">
        <v>608</v>
      </c>
      <c r="VTZ339" s="42" t="s">
        <v>608</v>
      </c>
      <c r="VUA339" s="42" t="s">
        <v>608</v>
      </c>
      <c r="VUB339" s="42" t="s">
        <v>608</v>
      </c>
      <c r="VUC339" s="42" t="s">
        <v>608</v>
      </c>
      <c r="VUD339" s="42" t="s">
        <v>608</v>
      </c>
      <c r="VUE339" s="42" t="s">
        <v>608</v>
      </c>
      <c r="VUF339" s="42" t="s">
        <v>608</v>
      </c>
      <c r="VUG339" s="42" t="s">
        <v>608</v>
      </c>
      <c r="VUH339" s="42" t="s">
        <v>608</v>
      </c>
      <c r="VUI339" s="42" t="s">
        <v>608</v>
      </c>
      <c r="VUJ339" s="42" t="s">
        <v>608</v>
      </c>
      <c r="VUK339" s="42" t="s">
        <v>608</v>
      </c>
      <c r="VUL339" s="42" t="s">
        <v>608</v>
      </c>
      <c r="VUM339" s="42" t="s">
        <v>608</v>
      </c>
      <c r="VUN339" s="42" t="s">
        <v>608</v>
      </c>
      <c r="VUO339" s="42" t="s">
        <v>608</v>
      </c>
      <c r="VUP339" s="42" t="s">
        <v>608</v>
      </c>
      <c r="VUQ339" s="42" t="s">
        <v>608</v>
      </c>
      <c r="VUR339" s="42" t="s">
        <v>608</v>
      </c>
      <c r="VUS339" s="42" t="s">
        <v>608</v>
      </c>
      <c r="VUT339" s="42" t="s">
        <v>608</v>
      </c>
      <c r="VUU339" s="42" t="s">
        <v>608</v>
      </c>
      <c r="VUV339" s="42" t="s">
        <v>608</v>
      </c>
      <c r="VUW339" s="42" t="s">
        <v>608</v>
      </c>
      <c r="VUX339" s="42" t="s">
        <v>608</v>
      </c>
      <c r="VUY339" s="42" t="s">
        <v>608</v>
      </c>
      <c r="VUZ339" s="42" t="s">
        <v>608</v>
      </c>
      <c r="VVA339" s="42" t="s">
        <v>608</v>
      </c>
      <c r="VVB339" s="42" t="s">
        <v>608</v>
      </c>
      <c r="VVC339" s="42" t="s">
        <v>608</v>
      </c>
      <c r="VVD339" s="42" t="s">
        <v>608</v>
      </c>
      <c r="VVE339" s="42" t="s">
        <v>608</v>
      </c>
      <c r="VVF339" s="42" t="s">
        <v>608</v>
      </c>
      <c r="VVG339" s="42" t="s">
        <v>608</v>
      </c>
      <c r="VVH339" s="42" t="s">
        <v>608</v>
      </c>
      <c r="VVI339" s="42" t="s">
        <v>608</v>
      </c>
      <c r="VVJ339" s="42" t="s">
        <v>608</v>
      </c>
      <c r="VVK339" s="42" t="s">
        <v>608</v>
      </c>
      <c r="VVL339" s="42" t="s">
        <v>608</v>
      </c>
      <c r="VVM339" s="42" t="s">
        <v>608</v>
      </c>
      <c r="VVN339" s="42" t="s">
        <v>608</v>
      </c>
      <c r="VVO339" s="42" t="s">
        <v>608</v>
      </c>
      <c r="VVP339" s="42" t="s">
        <v>608</v>
      </c>
      <c r="VVQ339" s="42" t="s">
        <v>608</v>
      </c>
      <c r="VVR339" s="42" t="s">
        <v>608</v>
      </c>
      <c r="VVS339" s="42" t="s">
        <v>608</v>
      </c>
      <c r="VVT339" s="42" t="s">
        <v>608</v>
      </c>
      <c r="VVU339" s="42" t="s">
        <v>608</v>
      </c>
      <c r="VVV339" s="42" t="s">
        <v>608</v>
      </c>
      <c r="VVW339" s="42" t="s">
        <v>608</v>
      </c>
      <c r="VVX339" s="42" t="s">
        <v>608</v>
      </c>
      <c r="VVY339" s="42" t="s">
        <v>608</v>
      </c>
      <c r="VVZ339" s="42" t="s">
        <v>608</v>
      </c>
      <c r="VWA339" s="42" t="s">
        <v>608</v>
      </c>
      <c r="VWB339" s="42" t="s">
        <v>608</v>
      </c>
      <c r="VWC339" s="42" t="s">
        <v>608</v>
      </c>
      <c r="VWD339" s="42" t="s">
        <v>608</v>
      </c>
      <c r="VWE339" s="42" t="s">
        <v>608</v>
      </c>
      <c r="VWF339" s="42" t="s">
        <v>608</v>
      </c>
      <c r="VWG339" s="42" t="s">
        <v>608</v>
      </c>
      <c r="VWH339" s="42" t="s">
        <v>608</v>
      </c>
      <c r="VWI339" s="42" t="s">
        <v>608</v>
      </c>
      <c r="VWJ339" s="42" t="s">
        <v>608</v>
      </c>
      <c r="VWK339" s="42" t="s">
        <v>608</v>
      </c>
      <c r="VWL339" s="42" t="s">
        <v>608</v>
      </c>
      <c r="VWM339" s="42" t="s">
        <v>608</v>
      </c>
      <c r="VWN339" s="42" t="s">
        <v>608</v>
      </c>
      <c r="VWO339" s="42" t="s">
        <v>608</v>
      </c>
      <c r="VWP339" s="42" t="s">
        <v>608</v>
      </c>
      <c r="VWQ339" s="42" t="s">
        <v>608</v>
      </c>
      <c r="VWR339" s="42" t="s">
        <v>608</v>
      </c>
      <c r="VWS339" s="42" t="s">
        <v>608</v>
      </c>
      <c r="VWT339" s="42" t="s">
        <v>608</v>
      </c>
      <c r="VWU339" s="42" t="s">
        <v>608</v>
      </c>
      <c r="VWV339" s="42" t="s">
        <v>608</v>
      </c>
      <c r="VWW339" s="42" t="s">
        <v>608</v>
      </c>
      <c r="VWX339" s="42" t="s">
        <v>608</v>
      </c>
      <c r="VWY339" s="42" t="s">
        <v>608</v>
      </c>
      <c r="VWZ339" s="42" t="s">
        <v>608</v>
      </c>
      <c r="VXA339" s="42" t="s">
        <v>608</v>
      </c>
      <c r="VXB339" s="42" t="s">
        <v>608</v>
      </c>
      <c r="VXC339" s="42" t="s">
        <v>608</v>
      </c>
      <c r="VXD339" s="42" t="s">
        <v>608</v>
      </c>
      <c r="VXE339" s="42" t="s">
        <v>608</v>
      </c>
      <c r="VXF339" s="42" t="s">
        <v>608</v>
      </c>
      <c r="VXG339" s="42" t="s">
        <v>608</v>
      </c>
      <c r="VXH339" s="42" t="s">
        <v>608</v>
      </c>
      <c r="VXI339" s="42" t="s">
        <v>608</v>
      </c>
      <c r="VXJ339" s="42" t="s">
        <v>608</v>
      </c>
      <c r="VXK339" s="42" t="s">
        <v>608</v>
      </c>
      <c r="VXL339" s="42" t="s">
        <v>608</v>
      </c>
      <c r="VXM339" s="42" t="s">
        <v>608</v>
      </c>
      <c r="VXN339" s="42" t="s">
        <v>608</v>
      </c>
      <c r="VXO339" s="42" t="s">
        <v>608</v>
      </c>
      <c r="VXP339" s="42" t="s">
        <v>608</v>
      </c>
      <c r="VXQ339" s="42" t="s">
        <v>608</v>
      </c>
      <c r="VXR339" s="42" t="s">
        <v>608</v>
      </c>
      <c r="VXS339" s="42" t="s">
        <v>608</v>
      </c>
      <c r="VXT339" s="42" t="s">
        <v>608</v>
      </c>
      <c r="VXU339" s="42" t="s">
        <v>608</v>
      </c>
      <c r="VXV339" s="42" t="s">
        <v>608</v>
      </c>
      <c r="VXW339" s="42" t="s">
        <v>608</v>
      </c>
      <c r="VXX339" s="42" t="s">
        <v>608</v>
      </c>
      <c r="VXY339" s="42" t="s">
        <v>608</v>
      </c>
      <c r="VXZ339" s="42" t="s">
        <v>608</v>
      </c>
      <c r="VYA339" s="42" t="s">
        <v>608</v>
      </c>
      <c r="VYB339" s="42" t="s">
        <v>608</v>
      </c>
      <c r="VYC339" s="42" t="s">
        <v>608</v>
      </c>
      <c r="VYD339" s="42" t="s">
        <v>608</v>
      </c>
      <c r="VYE339" s="42" t="s">
        <v>608</v>
      </c>
      <c r="VYF339" s="42" t="s">
        <v>608</v>
      </c>
      <c r="VYG339" s="42" t="s">
        <v>608</v>
      </c>
      <c r="VYH339" s="42" t="s">
        <v>608</v>
      </c>
      <c r="VYI339" s="42" t="s">
        <v>608</v>
      </c>
      <c r="VYJ339" s="42" t="s">
        <v>608</v>
      </c>
      <c r="VYK339" s="42" t="s">
        <v>608</v>
      </c>
      <c r="VYL339" s="42" t="s">
        <v>608</v>
      </c>
      <c r="VYM339" s="42" t="s">
        <v>608</v>
      </c>
      <c r="VYN339" s="42" t="s">
        <v>608</v>
      </c>
      <c r="VYO339" s="42" t="s">
        <v>608</v>
      </c>
      <c r="VYP339" s="42" t="s">
        <v>608</v>
      </c>
      <c r="VYQ339" s="42" t="s">
        <v>608</v>
      </c>
      <c r="VYR339" s="42" t="s">
        <v>608</v>
      </c>
      <c r="VYS339" s="42" t="s">
        <v>608</v>
      </c>
      <c r="VYT339" s="42" t="s">
        <v>608</v>
      </c>
      <c r="VYU339" s="42" t="s">
        <v>608</v>
      </c>
      <c r="VYV339" s="42" t="s">
        <v>608</v>
      </c>
      <c r="VYW339" s="42" t="s">
        <v>608</v>
      </c>
      <c r="VYX339" s="42" t="s">
        <v>608</v>
      </c>
      <c r="VYY339" s="42" t="s">
        <v>608</v>
      </c>
      <c r="VYZ339" s="42" t="s">
        <v>608</v>
      </c>
      <c r="VZA339" s="42" t="s">
        <v>608</v>
      </c>
      <c r="VZB339" s="42" t="s">
        <v>608</v>
      </c>
      <c r="VZC339" s="42" t="s">
        <v>608</v>
      </c>
      <c r="VZD339" s="42" t="s">
        <v>608</v>
      </c>
      <c r="VZE339" s="42" t="s">
        <v>608</v>
      </c>
      <c r="VZF339" s="42" t="s">
        <v>608</v>
      </c>
      <c r="VZG339" s="42" t="s">
        <v>608</v>
      </c>
      <c r="VZH339" s="42" t="s">
        <v>608</v>
      </c>
      <c r="VZI339" s="42" t="s">
        <v>608</v>
      </c>
      <c r="VZJ339" s="42" t="s">
        <v>608</v>
      </c>
      <c r="VZK339" s="42" t="s">
        <v>608</v>
      </c>
      <c r="VZL339" s="42" t="s">
        <v>608</v>
      </c>
      <c r="VZM339" s="42" t="s">
        <v>608</v>
      </c>
      <c r="VZN339" s="42" t="s">
        <v>608</v>
      </c>
      <c r="VZO339" s="42" t="s">
        <v>608</v>
      </c>
      <c r="VZP339" s="42" t="s">
        <v>608</v>
      </c>
      <c r="VZQ339" s="42" t="s">
        <v>608</v>
      </c>
      <c r="VZR339" s="42" t="s">
        <v>608</v>
      </c>
      <c r="VZS339" s="42" t="s">
        <v>608</v>
      </c>
      <c r="VZT339" s="42" t="s">
        <v>608</v>
      </c>
      <c r="VZU339" s="42" t="s">
        <v>608</v>
      </c>
      <c r="VZV339" s="42" t="s">
        <v>608</v>
      </c>
      <c r="VZW339" s="42" t="s">
        <v>608</v>
      </c>
      <c r="VZX339" s="42" t="s">
        <v>608</v>
      </c>
      <c r="VZY339" s="42" t="s">
        <v>608</v>
      </c>
      <c r="VZZ339" s="42" t="s">
        <v>608</v>
      </c>
      <c r="WAA339" s="42" t="s">
        <v>608</v>
      </c>
      <c r="WAB339" s="42" t="s">
        <v>608</v>
      </c>
      <c r="WAC339" s="42" t="s">
        <v>608</v>
      </c>
      <c r="WAD339" s="42" t="s">
        <v>608</v>
      </c>
      <c r="WAE339" s="42" t="s">
        <v>608</v>
      </c>
      <c r="WAF339" s="42" t="s">
        <v>608</v>
      </c>
      <c r="WAG339" s="42" t="s">
        <v>608</v>
      </c>
      <c r="WAH339" s="42" t="s">
        <v>608</v>
      </c>
      <c r="WAI339" s="42" t="s">
        <v>608</v>
      </c>
      <c r="WAJ339" s="42" t="s">
        <v>608</v>
      </c>
      <c r="WAK339" s="42" t="s">
        <v>608</v>
      </c>
      <c r="WAL339" s="42" t="s">
        <v>608</v>
      </c>
      <c r="WAM339" s="42" t="s">
        <v>608</v>
      </c>
      <c r="WAN339" s="42" t="s">
        <v>608</v>
      </c>
      <c r="WAO339" s="42" t="s">
        <v>608</v>
      </c>
      <c r="WAP339" s="42" t="s">
        <v>608</v>
      </c>
      <c r="WAQ339" s="42" t="s">
        <v>608</v>
      </c>
      <c r="WAR339" s="42" t="s">
        <v>608</v>
      </c>
      <c r="WAS339" s="42" t="s">
        <v>608</v>
      </c>
      <c r="WAT339" s="42" t="s">
        <v>608</v>
      </c>
      <c r="WAU339" s="42" t="s">
        <v>608</v>
      </c>
      <c r="WAV339" s="42" t="s">
        <v>608</v>
      </c>
      <c r="WAW339" s="42" t="s">
        <v>608</v>
      </c>
      <c r="WAX339" s="42" t="s">
        <v>608</v>
      </c>
      <c r="WAY339" s="42" t="s">
        <v>608</v>
      </c>
      <c r="WAZ339" s="42" t="s">
        <v>608</v>
      </c>
      <c r="WBA339" s="42" t="s">
        <v>608</v>
      </c>
      <c r="WBB339" s="42" t="s">
        <v>608</v>
      </c>
      <c r="WBC339" s="42" t="s">
        <v>608</v>
      </c>
      <c r="WBD339" s="42" t="s">
        <v>608</v>
      </c>
      <c r="WBE339" s="42" t="s">
        <v>608</v>
      </c>
      <c r="WBF339" s="42" t="s">
        <v>608</v>
      </c>
      <c r="WBG339" s="42" t="s">
        <v>608</v>
      </c>
      <c r="WBH339" s="42" t="s">
        <v>608</v>
      </c>
      <c r="WBI339" s="42" t="s">
        <v>608</v>
      </c>
      <c r="WBJ339" s="42" t="s">
        <v>608</v>
      </c>
      <c r="WBK339" s="42" t="s">
        <v>608</v>
      </c>
      <c r="WBL339" s="42" t="s">
        <v>608</v>
      </c>
      <c r="WBM339" s="42" t="s">
        <v>608</v>
      </c>
      <c r="WBN339" s="42" t="s">
        <v>608</v>
      </c>
      <c r="WBO339" s="42" t="s">
        <v>608</v>
      </c>
      <c r="WBP339" s="42" t="s">
        <v>608</v>
      </c>
      <c r="WBQ339" s="42" t="s">
        <v>608</v>
      </c>
      <c r="WBR339" s="42" t="s">
        <v>608</v>
      </c>
      <c r="WBS339" s="42" t="s">
        <v>608</v>
      </c>
      <c r="WBT339" s="42" t="s">
        <v>608</v>
      </c>
      <c r="WBU339" s="42" t="s">
        <v>608</v>
      </c>
      <c r="WBV339" s="42" t="s">
        <v>608</v>
      </c>
      <c r="WBW339" s="42" t="s">
        <v>608</v>
      </c>
      <c r="WBX339" s="42" t="s">
        <v>608</v>
      </c>
      <c r="WBY339" s="42" t="s">
        <v>608</v>
      </c>
      <c r="WBZ339" s="42" t="s">
        <v>608</v>
      </c>
      <c r="WCA339" s="42" t="s">
        <v>608</v>
      </c>
      <c r="WCB339" s="42" t="s">
        <v>608</v>
      </c>
      <c r="WCC339" s="42" t="s">
        <v>608</v>
      </c>
      <c r="WCD339" s="42" t="s">
        <v>608</v>
      </c>
      <c r="WCE339" s="42" t="s">
        <v>608</v>
      </c>
      <c r="WCF339" s="42" t="s">
        <v>608</v>
      </c>
      <c r="WCG339" s="42" t="s">
        <v>608</v>
      </c>
      <c r="WCH339" s="42" t="s">
        <v>608</v>
      </c>
      <c r="WCI339" s="42" t="s">
        <v>608</v>
      </c>
      <c r="WCJ339" s="42" t="s">
        <v>608</v>
      </c>
      <c r="WCK339" s="42" t="s">
        <v>608</v>
      </c>
      <c r="WCL339" s="42" t="s">
        <v>608</v>
      </c>
      <c r="WCM339" s="42" t="s">
        <v>608</v>
      </c>
      <c r="WCN339" s="42" t="s">
        <v>608</v>
      </c>
      <c r="WCO339" s="42" t="s">
        <v>608</v>
      </c>
      <c r="WCP339" s="42" t="s">
        <v>608</v>
      </c>
      <c r="WCQ339" s="42" t="s">
        <v>608</v>
      </c>
      <c r="WCR339" s="42" t="s">
        <v>608</v>
      </c>
      <c r="WCS339" s="42" t="s">
        <v>608</v>
      </c>
      <c r="WCT339" s="42" t="s">
        <v>608</v>
      </c>
      <c r="WCU339" s="42" t="s">
        <v>608</v>
      </c>
      <c r="WCV339" s="42" t="s">
        <v>608</v>
      </c>
      <c r="WCW339" s="42" t="s">
        <v>608</v>
      </c>
      <c r="WCX339" s="42" t="s">
        <v>608</v>
      </c>
      <c r="WCY339" s="42" t="s">
        <v>608</v>
      </c>
      <c r="WCZ339" s="42" t="s">
        <v>608</v>
      </c>
      <c r="WDA339" s="42" t="s">
        <v>608</v>
      </c>
      <c r="WDB339" s="42" t="s">
        <v>608</v>
      </c>
      <c r="WDC339" s="42" t="s">
        <v>608</v>
      </c>
      <c r="WDD339" s="42" t="s">
        <v>608</v>
      </c>
      <c r="WDE339" s="42" t="s">
        <v>608</v>
      </c>
      <c r="WDF339" s="42" t="s">
        <v>608</v>
      </c>
      <c r="WDG339" s="42" t="s">
        <v>608</v>
      </c>
      <c r="WDH339" s="42" t="s">
        <v>608</v>
      </c>
      <c r="WDI339" s="42" t="s">
        <v>608</v>
      </c>
      <c r="WDJ339" s="42" t="s">
        <v>608</v>
      </c>
      <c r="WDK339" s="42" t="s">
        <v>608</v>
      </c>
      <c r="WDL339" s="42" t="s">
        <v>608</v>
      </c>
      <c r="WDM339" s="42" t="s">
        <v>608</v>
      </c>
      <c r="WDN339" s="42" t="s">
        <v>608</v>
      </c>
      <c r="WDO339" s="42" t="s">
        <v>608</v>
      </c>
      <c r="WDP339" s="42" t="s">
        <v>608</v>
      </c>
      <c r="WDQ339" s="42" t="s">
        <v>608</v>
      </c>
      <c r="WDR339" s="42" t="s">
        <v>608</v>
      </c>
      <c r="WDS339" s="42" t="s">
        <v>608</v>
      </c>
      <c r="WDT339" s="42" t="s">
        <v>608</v>
      </c>
      <c r="WDU339" s="42" t="s">
        <v>608</v>
      </c>
      <c r="WDV339" s="42" t="s">
        <v>608</v>
      </c>
      <c r="WDW339" s="42" t="s">
        <v>608</v>
      </c>
      <c r="WDX339" s="42" t="s">
        <v>608</v>
      </c>
      <c r="WDY339" s="42" t="s">
        <v>608</v>
      </c>
      <c r="WDZ339" s="42" t="s">
        <v>608</v>
      </c>
      <c r="WEA339" s="42" t="s">
        <v>608</v>
      </c>
      <c r="WEB339" s="42" t="s">
        <v>608</v>
      </c>
      <c r="WEC339" s="42" t="s">
        <v>608</v>
      </c>
      <c r="WED339" s="42" t="s">
        <v>608</v>
      </c>
      <c r="WEE339" s="42" t="s">
        <v>608</v>
      </c>
      <c r="WEF339" s="42" t="s">
        <v>608</v>
      </c>
      <c r="WEG339" s="42" t="s">
        <v>608</v>
      </c>
      <c r="WEH339" s="42" t="s">
        <v>608</v>
      </c>
      <c r="WEI339" s="42" t="s">
        <v>608</v>
      </c>
      <c r="WEJ339" s="42" t="s">
        <v>608</v>
      </c>
      <c r="WEK339" s="42" t="s">
        <v>608</v>
      </c>
      <c r="WEL339" s="42" t="s">
        <v>608</v>
      </c>
      <c r="WEM339" s="42" t="s">
        <v>608</v>
      </c>
      <c r="WEN339" s="42" t="s">
        <v>608</v>
      </c>
      <c r="WEO339" s="42" t="s">
        <v>608</v>
      </c>
      <c r="WEP339" s="42" t="s">
        <v>608</v>
      </c>
      <c r="WEQ339" s="42" t="s">
        <v>608</v>
      </c>
      <c r="WER339" s="42" t="s">
        <v>608</v>
      </c>
      <c r="WES339" s="42" t="s">
        <v>608</v>
      </c>
      <c r="WET339" s="42" t="s">
        <v>608</v>
      </c>
      <c r="WEU339" s="42" t="s">
        <v>608</v>
      </c>
      <c r="WEV339" s="42" t="s">
        <v>608</v>
      </c>
      <c r="WEW339" s="42" t="s">
        <v>608</v>
      </c>
      <c r="WEX339" s="42" t="s">
        <v>608</v>
      </c>
      <c r="WEY339" s="42" t="s">
        <v>608</v>
      </c>
      <c r="WEZ339" s="42" t="s">
        <v>608</v>
      </c>
      <c r="WFA339" s="42" t="s">
        <v>608</v>
      </c>
      <c r="WFB339" s="42" t="s">
        <v>608</v>
      </c>
      <c r="WFC339" s="42" t="s">
        <v>608</v>
      </c>
      <c r="WFD339" s="42" t="s">
        <v>608</v>
      </c>
      <c r="WFE339" s="42" t="s">
        <v>608</v>
      </c>
      <c r="WFF339" s="42" t="s">
        <v>608</v>
      </c>
      <c r="WFG339" s="42" t="s">
        <v>608</v>
      </c>
      <c r="WFH339" s="42" t="s">
        <v>608</v>
      </c>
      <c r="WFI339" s="42" t="s">
        <v>608</v>
      </c>
      <c r="WFJ339" s="42" t="s">
        <v>608</v>
      </c>
      <c r="WFK339" s="42" t="s">
        <v>608</v>
      </c>
      <c r="WFL339" s="42" t="s">
        <v>608</v>
      </c>
      <c r="WFM339" s="42" t="s">
        <v>608</v>
      </c>
      <c r="WFN339" s="42" t="s">
        <v>608</v>
      </c>
      <c r="WFO339" s="42" t="s">
        <v>608</v>
      </c>
      <c r="WFP339" s="42" t="s">
        <v>608</v>
      </c>
      <c r="WFQ339" s="42" t="s">
        <v>608</v>
      </c>
      <c r="WFR339" s="42" t="s">
        <v>608</v>
      </c>
      <c r="WFS339" s="42" t="s">
        <v>608</v>
      </c>
      <c r="WFT339" s="42" t="s">
        <v>608</v>
      </c>
      <c r="WFU339" s="42" t="s">
        <v>608</v>
      </c>
      <c r="WFV339" s="42" t="s">
        <v>608</v>
      </c>
      <c r="WFW339" s="42" t="s">
        <v>608</v>
      </c>
      <c r="WFX339" s="42" t="s">
        <v>608</v>
      </c>
      <c r="WFY339" s="42" t="s">
        <v>608</v>
      </c>
      <c r="WFZ339" s="42" t="s">
        <v>608</v>
      </c>
      <c r="WGA339" s="42" t="s">
        <v>608</v>
      </c>
      <c r="WGB339" s="42" t="s">
        <v>608</v>
      </c>
      <c r="WGC339" s="42" t="s">
        <v>608</v>
      </c>
      <c r="WGD339" s="42" t="s">
        <v>608</v>
      </c>
      <c r="WGE339" s="42" t="s">
        <v>608</v>
      </c>
      <c r="WGF339" s="42" t="s">
        <v>608</v>
      </c>
      <c r="WGG339" s="42" t="s">
        <v>608</v>
      </c>
      <c r="WGH339" s="42" t="s">
        <v>608</v>
      </c>
      <c r="WGI339" s="42" t="s">
        <v>608</v>
      </c>
      <c r="WGJ339" s="42" t="s">
        <v>608</v>
      </c>
      <c r="WGK339" s="42" t="s">
        <v>608</v>
      </c>
      <c r="WGL339" s="42" t="s">
        <v>608</v>
      </c>
      <c r="WGM339" s="42" t="s">
        <v>608</v>
      </c>
      <c r="WGN339" s="42" t="s">
        <v>608</v>
      </c>
      <c r="WGO339" s="42" t="s">
        <v>608</v>
      </c>
      <c r="WGP339" s="42" t="s">
        <v>608</v>
      </c>
      <c r="WGQ339" s="42" t="s">
        <v>608</v>
      </c>
      <c r="WGR339" s="42" t="s">
        <v>608</v>
      </c>
      <c r="WGS339" s="42" t="s">
        <v>608</v>
      </c>
      <c r="WGT339" s="42" t="s">
        <v>608</v>
      </c>
      <c r="WGU339" s="42" t="s">
        <v>608</v>
      </c>
      <c r="WGV339" s="42" t="s">
        <v>608</v>
      </c>
      <c r="WGW339" s="42" t="s">
        <v>608</v>
      </c>
      <c r="WGX339" s="42" t="s">
        <v>608</v>
      </c>
      <c r="WGY339" s="42" t="s">
        <v>608</v>
      </c>
      <c r="WGZ339" s="42" t="s">
        <v>608</v>
      </c>
      <c r="WHA339" s="42" t="s">
        <v>608</v>
      </c>
      <c r="WHB339" s="42" t="s">
        <v>608</v>
      </c>
      <c r="WHC339" s="42" t="s">
        <v>608</v>
      </c>
      <c r="WHD339" s="42" t="s">
        <v>608</v>
      </c>
      <c r="WHE339" s="42" t="s">
        <v>608</v>
      </c>
      <c r="WHF339" s="42" t="s">
        <v>608</v>
      </c>
      <c r="WHG339" s="42" t="s">
        <v>608</v>
      </c>
      <c r="WHH339" s="42" t="s">
        <v>608</v>
      </c>
      <c r="WHI339" s="42" t="s">
        <v>608</v>
      </c>
      <c r="WHJ339" s="42" t="s">
        <v>608</v>
      </c>
      <c r="WHK339" s="42" t="s">
        <v>608</v>
      </c>
      <c r="WHL339" s="42" t="s">
        <v>608</v>
      </c>
      <c r="WHM339" s="42" t="s">
        <v>608</v>
      </c>
      <c r="WHN339" s="42" t="s">
        <v>608</v>
      </c>
      <c r="WHO339" s="42" t="s">
        <v>608</v>
      </c>
      <c r="WHP339" s="42" t="s">
        <v>608</v>
      </c>
      <c r="WHQ339" s="42" t="s">
        <v>608</v>
      </c>
      <c r="WHR339" s="42" t="s">
        <v>608</v>
      </c>
      <c r="WHS339" s="42" t="s">
        <v>608</v>
      </c>
      <c r="WHT339" s="42" t="s">
        <v>608</v>
      </c>
      <c r="WHU339" s="42" t="s">
        <v>608</v>
      </c>
      <c r="WHV339" s="42" t="s">
        <v>608</v>
      </c>
      <c r="WHW339" s="42" t="s">
        <v>608</v>
      </c>
      <c r="WHX339" s="42" t="s">
        <v>608</v>
      </c>
      <c r="WHY339" s="42" t="s">
        <v>608</v>
      </c>
      <c r="WHZ339" s="42" t="s">
        <v>608</v>
      </c>
      <c r="WIA339" s="42" t="s">
        <v>608</v>
      </c>
      <c r="WIB339" s="42" t="s">
        <v>608</v>
      </c>
      <c r="WIC339" s="42" t="s">
        <v>608</v>
      </c>
      <c r="WID339" s="42" t="s">
        <v>608</v>
      </c>
      <c r="WIE339" s="42" t="s">
        <v>608</v>
      </c>
      <c r="WIF339" s="42" t="s">
        <v>608</v>
      </c>
      <c r="WIG339" s="42" t="s">
        <v>608</v>
      </c>
      <c r="WIH339" s="42" t="s">
        <v>608</v>
      </c>
      <c r="WII339" s="42" t="s">
        <v>608</v>
      </c>
      <c r="WIJ339" s="42" t="s">
        <v>608</v>
      </c>
      <c r="WIK339" s="42" t="s">
        <v>608</v>
      </c>
      <c r="WIL339" s="42" t="s">
        <v>608</v>
      </c>
      <c r="WIM339" s="42" t="s">
        <v>608</v>
      </c>
      <c r="WIN339" s="42" t="s">
        <v>608</v>
      </c>
      <c r="WIO339" s="42" t="s">
        <v>608</v>
      </c>
      <c r="WIP339" s="42" t="s">
        <v>608</v>
      </c>
      <c r="WIQ339" s="42" t="s">
        <v>608</v>
      </c>
      <c r="WIR339" s="42" t="s">
        <v>608</v>
      </c>
      <c r="WIS339" s="42" t="s">
        <v>608</v>
      </c>
      <c r="WIT339" s="42" t="s">
        <v>608</v>
      </c>
      <c r="WIU339" s="42" t="s">
        <v>608</v>
      </c>
      <c r="WIV339" s="42" t="s">
        <v>608</v>
      </c>
      <c r="WIW339" s="42" t="s">
        <v>608</v>
      </c>
      <c r="WIX339" s="42" t="s">
        <v>608</v>
      </c>
      <c r="WIY339" s="42" t="s">
        <v>608</v>
      </c>
      <c r="WIZ339" s="42" t="s">
        <v>608</v>
      </c>
      <c r="WJA339" s="42" t="s">
        <v>608</v>
      </c>
      <c r="WJB339" s="42" t="s">
        <v>608</v>
      </c>
      <c r="WJC339" s="42" t="s">
        <v>608</v>
      </c>
      <c r="WJD339" s="42" t="s">
        <v>608</v>
      </c>
      <c r="WJE339" s="42" t="s">
        <v>608</v>
      </c>
      <c r="WJF339" s="42" t="s">
        <v>608</v>
      </c>
      <c r="WJG339" s="42" t="s">
        <v>608</v>
      </c>
      <c r="WJH339" s="42" t="s">
        <v>608</v>
      </c>
      <c r="WJI339" s="42" t="s">
        <v>608</v>
      </c>
      <c r="WJJ339" s="42" t="s">
        <v>608</v>
      </c>
      <c r="WJK339" s="42" t="s">
        <v>608</v>
      </c>
      <c r="WJL339" s="42" t="s">
        <v>608</v>
      </c>
      <c r="WJM339" s="42" t="s">
        <v>608</v>
      </c>
      <c r="WJN339" s="42" t="s">
        <v>608</v>
      </c>
      <c r="WJO339" s="42" t="s">
        <v>608</v>
      </c>
      <c r="WJP339" s="42" t="s">
        <v>608</v>
      </c>
      <c r="WJQ339" s="42" t="s">
        <v>608</v>
      </c>
      <c r="WJR339" s="42" t="s">
        <v>608</v>
      </c>
      <c r="WJS339" s="42" t="s">
        <v>608</v>
      </c>
      <c r="WJT339" s="42" t="s">
        <v>608</v>
      </c>
      <c r="WJU339" s="42" t="s">
        <v>608</v>
      </c>
      <c r="WJV339" s="42" t="s">
        <v>608</v>
      </c>
      <c r="WJW339" s="42" t="s">
        <v>608</v>
      </c>
      <c r="WJX339" s="42" t="s">
        <v>608</v>
      </c>
      <c r="WJY339" s="42" t="s">
        <v>608</v>
      </c>
      <c r="WJZ339" s="42" t="s">
        <v>608</v>
      </c>
      <c r="WKA339" s="42" t="s">
        <v>608</v>
      </c>
      <c r="WKB339" s="42" t="s">
        <v>608</v>
      </c>
      <c r="WKC339" s="42" t="s">
        <v>608</v>
      </c>
      <c r="WKD339" s="42" t="s">
        <v>608</v>
      </c>
      <c r="WKE339" s="42" t="s">
        <v>608</v>
      </c>
      <c r="WKF339" s="42" t="s">
        <v>608</v>
      </c>
      <c r="WKG339" s="42" t="s">
        <v>608</v>
      </c>
      <c r="WKH339" s="42" t="s">
        <v>608</v>
      </c>
      <c r="WKI339" s="42" t="s">
        <v>608</v>
      </c>
      <c r="WKJ339" s="42" t="s">
        <v>608</v>
      </c>
      <c r="WKK339" s="42" t="s">
        <v>608</v>
      </c>
      <c r="WKL339" s="42" t="s">
        <v>608</v>
      </c>
      <c r="WKM339" s="42" t="s">
        <v>608</v>
      </c>
      <c r="WKN339" s="42" t="s">
        <v>608</v>
      </c>
      <c r="WKO339" s="42" t="s">
        <v>608</v>
      </c>
      <c r="WKP339" s="42" t="s">
        <v>608</v>
      </c>
      <c r="WKQ339" s="42" t="s">
        <v>608</v>
      </c>
      <c r="WKR339" s="42" t="s">
        <v>608</v>
      </c>
      <c r="WKS339" s="42" t="s">
        <v>608</v>
      </c>
      <c r="WKT339" s="42" t="s">
        <v>608</v>
      </c>
      <c r="WKU339" s="42" t="s">
        <v>608</v>
      </c>
      <c r="WKV339" s="42" t="s">
        <v>608</v>
      </c>
      <c r="WKW339" s="42" t="s">
        <v>608</v>
      </c>
      <c r="WKX339" s="42" t="s">
        <v>608</v>
      </c>
      <c r="WKY339" s="42" t="s">
        <v>608</v>
      </c>
      <c r="WKZ339" s="42" t="s">
        <v>608</v>
      </c>
      <c r="WLA339" s="42" t="s">
        <v>608</v>
      </c>
      <c r="WLB339" s="42" t="s">
        <v>608</v>
      </c>
      <c r="WLC339" s="42" t="s">
        <v>608</v>
      </c>
      <c r="WLD339" s="42" t="s">
        <v>608</v>
      </c>
      <c r="WLE339" s="42" t="s">
        <v>608</v>
      </c>
      <c r="WLF339" s="42" t="s">
        <v>608</v>
      </c>
      <c r="WLG339" s="42" t="s">
        <v>608</v>
      </c>
      <c r="WLH339" s="42" t="s">
        <v>608</v>
      </c>
      <c r="WLI339" s="42" t="s">
        <v>608</v>
      </c>
      <c r="WLJ339" s="42" t="s">
        <v>608</v>
      </c>
      <c r="WLK339" s="42" t="s">
        <v>608</v>
      </c>
      <c r="WLL339" s="42" t="s">
        <v>608</v>
      </c>
      <c r="WLM339" s="42" t="s">
        <v>608</v>
      </c>
      <c r="WLN339" s="42" t="s">
        <v>608</v>
      </c>
      <c r="WLO339" s="42" t="s">
        <v>608</v>
      </c>
      <c r="WLP339" s="42" t="s">
        <v>608</v>
      </c>
      <c r="WLQ339" s="42" t="s">
        <v>608</v>
      </c>
      <c r="WLR339" s="42" t="s">
        <v>608</v>
      </c>
      <c r="WLS339" s="42" t="s">
        <v>608</v>
      </c>
      <c r="WLT339" s="42" t="s">
        <v>608</v>
      </c>
      <c r="WLU339" s="42" t="s">
        <v>608</v>
      </c>
      <c r="WLV339" s="42" t="s">
        <v>608</v>
      </c>
      <c r="WLW339" s="42" t="s">
        <v>608</v>
      </c>
      <c r="WLX339" s="42" t="s">
        <v>608</v>
      </c>
      <c r="WLY339" s="42" t="s">
        <v>608</v>
      </c>
      <c r="WLZ339" s="42" t="s">
        <v>608</v>
      </c>
      <c r="WMA339" s="42" t="s">
        <v>608</v>
      </c>
      <c r="WMB339" s="42" t="s">
        <v>608</v>
      </c>
      <c r="WMC339" s="42" t="s">
        <v>608</v>
      </c>
      <c r="WMD339" s="42" t="s">
        <v>608</v>
      </c>
      <c r="WME339" s="42" t="s">
        <v>608</v>
      </c>
      <c r="WMF339" s="42" t="s">
        <v>608</v>
      </c>
      <c r="WMG339" s="42" t="s">
        <v>608</v>
      </c>
      <c r="WMH339" s="42" t="s">
        <v>608</v>
      </c>
      <c r="WMI339" s="42" t="s">
        <v>608</v>
      </c>
      <c r="WMJ339" s="42" t="s">
        <v>608</v>
      </c>
      <c r="WMK339" s="42" t="s">
        <v>608</v>
      </c>
      <c r="WML339" s="42" t="s">
        <v>608</v>
      </c>
      <c r="WMM339" s="42" t="s">
        <v>608</v>
      </c>
      <c r="WMN339" s="42" t="s">
        <v>608</v>
      </c>
      <c r="WMO339" s="42" t="s">
        <v>608</v>
      </c>
      <c r="WMP339" s="42" t="s">
        <v>608</v>
      </c>
      <c r="WMQ339" s="42" t="s">
        <v>608</v>
      </c>
      <c r="WMR339" s="42" t="s">
        <v>608</v>
      </c>
      <c r="WMS339" s="42" t="s">
        <v>608</v>
      </c>
      <c r="WMT339" s="42" t="s">
        <v>608</v>
      </c>
      <c r="WMU339" s="42" t="s">
        <v>608</v>
      </c>
      <c r="WMV339" s="42" t="s">
        <v>608</v>
      </c>
      <c r="WMW339" s="42" t="s">
        <v>608</v>
      </c>
      <c r="WMX339" s="42" t="s">
        <v>608</v>
      </c>
      <c r="WMY339" s="42" t="s">
        <v>608</v>
      </c>
      <c r="WMZ339" s="42" t="s">
        <v>608</v>
      </c>
      <c r="WNA339" s="42" t="s">
        <v>608</v>
      </c>
      <c r="WNB339" s="42" t="s">
        <v>608</v>
      </c>
      <c r="WNC339" s="42" t="s">
        <v>608</v>
      </c>
      <c r="WND339" s="42" t="s">
        <v>608</v>
      </c>
      <c r="WNE339" s="42" t="s">
        <v>608</v>
      </c>
      <c r="WNF339" s="42" t="s">
        <v>608</v>
      </c>
      <c r="WNG339" s="42" t="s">
        <v>608</v>
      </c>
      <c r="WNH339" s="42" t="s">
        <v>608</v>
      </c>
      <c r="WNI339" s="42" t="s">
        <v>608</v>
      </c>
      <c r="WNJ339" s="42" t="s">
        <v>608</v>
      </c>
      <c r="WNK339" s="42" t="s">
        <v>608</v>
      </c>
      <c r="WNL339" s="42" t="s">
        <v>608</v>
      </c>
      <c r="WNM339" s="42" t="s">
        <v>608</v>
      </c>
      <c r="WNN339" s="42" t="s">
        <v>608</v>
      </c>
      <c r="WNO339" s="42" t="s">
        <v>608</v>
      </c>
      <c r="WNP339" s="42" t="s">
        <v>608</v>
      </c>
      <c r="WNQ339" s="42" t="s">
        <v>608</v>
      </c>
      <c r="WNR339" s="42" t="s">
        <v>608</v>
      </c>
      <c r="WNS339" s="42" t="s">
        <v>608</v>
      </c>
      <c r="WNT339" s="42" t="s">
        <v>608</v>
      </c>
      <c r="WNU339" s="42" t="s">
        <v>608</v>
      </c>
      <c r="WNV339" s="42" t="s">
        <v>608</v>
      </c>
      <c r="WNW339" s="42" t="s">
        <v>608</v>
      </c>
      <c r="WNX339" s="42" t="s">
        <v>608</v>
      </c>
      <c r="WNY339" s="42" t="s">
        <v>608</v>
      </c>
      <c r="WNZ339" s="42" t="s">
        <v>608</v>
      </c>
      <c r="WOA339" s="42" t="s">
        <v>608</v>
      </c>
      <c r="WOB339" s="42" t="s">
        <v>608</v>
      </c>
      <c r="WOC339" s="42" t="s">
        <v>608</v>
      </c>
      <c r="WOD339" s="42" t="s">
        <v>608</v>
      </c>
      <c r="WOE339" s="42" t="s">
        <v>608</v>
      </c>
      <c r="WOF339" s="42" t="s">
        <v>608</v>
      </c>
      <c r="WOG339" s="42" t="s">
        <v>608</v>
      </c>
      <c r="WOH339" s="42" t="s">
        <v>608</v>
      </c>
      <c r="WOI339" s="42" t="s">
        <v>608</v>
      </c>
      <c r="WOJ339" s="42" t="s">
        <v>608</v>
      </c>
      <c r="WOK339" s="42" t="s">
        <v>608</v>
      </c>
      <c r="WOL339" s="42" t="s">
        <v>608</v>
      </c>
      <c r="WOM339" s="42" t="s">
        <v>608</v>
      </c>
      <c r="WON339" s="42" t="s">
        <v>608</v>
      </c>
      <c r="WOO339" s="42" t="s">
        <v>608</v>
      </c>
      <c r="WOP339" s="42" t="s">
        <v>608</v>
      </c>
      <c r="WOQ339" s="42" t="s">
        <v>608</v>
      </c>
      <c r="WOR339" s="42" t="s">
        <v>608</v>
      </c>
      <c r="WOS339" s="42" t="s">
        <v>608</v>
      </c>
      <c r="WOT339" s="42" t="s">
        <v>608</v>
      </c>
      <c r="WOU339" s="42" t="s">
        <v>608</v>
      </c>
      <c r="WOV339" s="42" t="s">
        <v>608</v>
      </c>
      <c r="WOW339" s="42" t="s">
        <v>608</v>
      </c>
      <c r="WOX339" s="42" t="s">
        <v>608</v>
      </c>
      <c r="WOY339" s="42" t="s">
        <v>608</v>
      </c>
      <c r="WOZ339" s="42" t="s">
        <v>608</v>
      </c>
      <c r="WPA339" s="42" t="s">
        <v>608</v>
      </c>
      <c r="WPB339" s="42" t="s">
        <v>608</v>
      </c>
      <c r="WPC339" s="42" t="s">
        <v>608</v>
      </c>
      <c r="WPD339" s="42" t="s">
        <v>608</v>
      </c>
      <c r="WPE339" s="42" t="s">
        <v>608</v>
      </c>
      <c r="WPF339" s="42" t="s">
        <v>608</v>
      </c>
      <c r="WPG339" s="42" t="s">
        <v>608</v>
      </c>
      <c r="WPH339" s="42" t="s">
        <v>608</v>
      </c>
      <c r="WPI339" s="42" t="s">
        <v>608</v>
      </c>
      <c r="WPJ339" s="42" t="s">
        <v>608</v>
      </c>
      <c r="WPK339" s="42" t="s">
        <v>608</v>
      </c>
      <c r="WPL339" s="42" t="s">
        <v>608</v>
      </c>
      <c r="WPM339" s="42" t="s">
        <v>608</v>
      </c>
      <c r="WPN339" s="42" t="s">
        <v>608</v>
      </c>
      <c r="WPO339" s="42" t="s">
        <v>608</v>
      </c>
      <c r="WPP339" s="42" t="s">
        <v>608</v>
      </c>
      <c r="WPQ339" s="42" t="s">
        <v>608</v>
      </c>
      <c r="WPR339" s="42" t="s">
        <v>608</v>
      </c>
      <c r="WPS339" s="42" t="s">
        <v>608</v>
      </c>
      <c r="WPT339" s="42" t="s">
        <v>608</v>
      </c>
      <c r="WPU339" s="42" t="s">
        <v>608</v>
      </c>
      <c r="WPV339" s="42" t="s">
        <v>608</v>
      </c>
      <c r="WPW339" s="42" t="s">
        <v>608</v>
      </c>
      <c r="WPX339" s="42" t="s">
        <v>608</v>
      </c>
      <c r="WPY339" s="42" t="s">
        <v>608</v>
      </c>
      <c r="WPZ339" s="42" t="s">
        <v>608</v>
      </c>
      <c r="WQA339" s="42" t="s">
        <v>608</v>
      </c>
      <c r="WQB339" s="42" t="s">
        <v>608</v>
      </c>
      <c r="WQC339" s="42" t="s">
        <v>608</v>
      </c>
      <c r="WQD339" s="42" t="s">
        <v>608</v>
      </c>
      <c r="WQE339" s="42" t="s">
        <v>608</v>
      </c>
      <c r="WQF339" s="42" t="s">
        <v>608</v>
      </c>
      <c r="WQG339" s="42" t="s">
        <v>608</v>
      </c>
      <c r="WQH339" s="42" t="s">
        <v>608</v>
      </c>
      <c r="WQI339" s="42" t="s">
        <v>608</v>
      </c>
      <c r="WQJ339" s="42" t="s">
        <v>608</v>
      </c>
      <c r="WQK339" s="42" t="s">
        <v>608</v>
      </c>
      <c r="WQL339" s="42" t="s">
        <v>608</v>
      </c>
      <c r="WQM339" s="42" t="s">
        <v>608</v>
      </c>
      <c r="WQN339" s="42" t="s">
        <v>608</v>
      </c>
      <c r="WQO339" s="42" t="s">
        <v>608</v>
      </c>
      <c r="WQP339" s="42" t="s">
        <v>608</v>
      </c>
      <c r="WQQ339" s="42" t="s">
        <v>608</v>
      </c>
      <c r="WQR339" s="42" t="s">
        <v>608</v>
      </c>
      <c r="WQS339" s="42" t="s">
        <v>608</v>
      </c>
      <c r="WQT339" s="42" t="s">
        <v>608</v>
      </c>
      <c r="WQU339" s="42" t="s">
        <v>608</v>
      </c>
      <c r="WQV339" s="42" t="s">
        <v>608</v>
      </c>
      <c r="WQW339" s="42" t="s">
        <v>608</v>
      </c>
      <c r="WQX339" s="42" t="s">
        <v>608</v>
      </c>
      <c r="WQY339" s="42" t="s">
        <v>608</v>
      </c>
      <c r="WQZ339" s="42" t="s">
        <v>608</v>
      </c>
      <c r="WRA339" s="42" t="s">
        <v>608</v>
      </c>
      <c r="WRB339" s="42" t="s">
        <v>608</v>
      </c>
      <c r="WRC339" s="42" t="s">
        <v>608</v>
      </c>
      <c r="WRD339" s="42" t="s">
        <v>608</v>
      </c>
      <c r="WRE339" s="42" t="s">
        <v>608</v>
      </c>
      <c r="WRF339" s="42" t="s">
        <v>608</v>
      </c>
      <c r="WRG339" s="42" t="s">
        <v>608</v>
      </c>
      <c r="WRH339" s="42" t="s">
        <v>608</v>
      </c>
      <c r="WRI339" s="42" t="s">
        <v>608</v>
      </c>
      <c r="WRJ339" s="42" t="s">
        <v>608</v>
      </c>
      <c r="WRK339" s="42" t="s">
        <v>608</v>
      </c>
      <c r="WRL339" s="42" t="s">
        <v>608</v>
      </c>
      <c r="WRM339" s="42" t="s">
        <v>608</v>
      </c>
      <c r="WRN339" s="42" t="s">
        <v>608</v>
      </c>
      <c r="WRO339" s="42" t="s">
        <v>608</v>
      </c>
      <c r="WRP339" s="42" t="s">
        <v>608</v>
      </c>
      <c r="WRQ339" s="42" t="s">
        <v>608</v>
      </c>
      <c r="WRR339" s="42" t="s">
        <v>608</v>
      </c>
      <c r="WRS339" s="42" t="s">
        <v>608</v>
      </c>
      <c r="WRT339" s="42" t="s">
        <v>608</v>
      </c>
      <c r="WRU339" s="42" t="s">
        <v>608</v>
      </c>
      <c r="WRV339" s="42" t="s">
        <v>608</v>
      </c>
      <c r="WRW339" s="42" t="s">
        <v>608</v>
      </c>
      <c r="WRX339" s="42" t="s">
        <v>608</v>
      </c>
      <c r="WRY339" s="42" t="s">
        <v>608</v>
      </c>
      <c r="WRZ339" s="42" t="s">
        <v>608</v>
      </c>
      <c r="WSA339" s="42" t="s">
        <v>608</v>
      </c>
      <c r="WSB339" s="42" t="s">
        <v>608</v>
      </c>
      <c r="WSC339" s="42" t="s">
        <v>608</v>
      </c>
      <c r="WSD339" s="42" t="s">
        <v>608</v>
      </c>
      <c r="WSE339" s="42" t="s">
        <v>608</v>
      </c>
      <c r="WSF339" s="42" t="s">
        <v>608</v>
      </c>
      <c r="WSG339" s="42" t="s">
        <v>608</v>
      </c>
      <c r="WSH339" s="42" t="s">
        <v>608</v>
      </c>
      <c r="WSI339" s="42" t="s">
        <v>608</v>
      </c>
      <c r="WSJ339" s="42" t="s">
        <v>608</v>
      </c>
      <c r="WSK339" s="42" t="s">
        <v>608</v>
      </c>
      <c r="WSL339" s="42" t="s">
        <v>608</v>
      </c>
      <c r="WSM339" s="42" t="s">
        <v>608</v>
      </c>
      <c r="WSN339" s="42" t="s">
        <v>608</v>
      </c>
      <c r="WSO339" s="42" t="s">
        <v>608</v>
      </c>
      <c r="WSP339" s="42" t="s">
        <v>608</v>
      </c>
      <c r="WSQ339" s="42" t="s">
        <v>608</v>
      </c>
      <c r="WSR339" s="42" t="s">
        <v>608</v>
      </c>
      <c r="WSS339" s="42" t="s">
        <v>608</v>
      </c>
      <c r="WST339" s="42" t="s">
        <v>608</v>
      </c>
      <c r="WSU339" s="42" t="s">
        <v>608</v>
      </c>
      <c r="WSV339" s="42" t="s">
        <v>608</v>
      </c>
      <c r="WSW339" s="42" t="s">
        <v>608</v>
      </c>
      <c r="WSX339" s="42" t="s">
        <v>608</v>
      </c>
      <c r="WSY339" s="42" t="s">
        <v>608</v>
      </c>
      <c r="WSZ339" s="42" t="s">
        <v>608</v>
      </c>
      <c r="WTA339" s="42" t="s">
        <v>608</v>
      </c>
      <c r="WTB339" s="42" t="s">
        <v>608</v>
      </c>
      <c r="WTC339" s="42" t="s">
        <v>608</v>
      </c>
      <c r="WTD339" s="42" t="s">
        <v>608</v>
      </c>
      <c r="WTE339" s="42" t="s">
        <v>608</v>
      </c>
      <c r="WTF339" s="42" t="s">
        <v>608</v>
      </c>
      <c r="WTG339" s="42" t="s">
        <v>608</v>
      </c>
      <c r="WTH339" s="42" t="s">
        <v>608</v>
      </c>
      <c r="WTI339" s="42" t="s">
        <v>608</v>
      </c>
      <c r="WTJ339" s="42" t="s">
        <v>608</v>
      </c>
      <c r="WTK339" s="42" t="s">
        <v>608</v>
      </c>
      <c r="WTL339" s="42" t="s">
        <v>608</v>
      </c>
      <c r="WTM339" s="42" t="s">
        <v>608</v>
      </c>
      <c r="WTN339" s="42" t="s">
        <v>608</v>
      </c>
      <c r="WTO339" s="42" t="s">
        <v>608</v>
      </c>
      <c r="WTP339" s="42" t="s">
        <v>608</v>
      </c>
      <c r="WTQ339" s="42" t="s">
        <v>608</v>
      </c>
      <c r="WTR339" s="42" t="s">
        <v>608</v>
      </c>
      <c r="WTS339" s="42" t="s">
        <v>608</v>
      </c>
      <c r="WTT339" s="42" t="s">
        <v>608</v>
      </c>
      <c r="WTU339" s="42" t="s">
        <v>608</v>
      </c>
      <c r="WTV339" s="42" t="s">
        <v>608</v>
      </c>
      <c r="WTW339" s="42" t="s">
        <v>608</v>
      </c>
      <c r="WTX339" s="42" t="s">
        <v>608</v>
      </c>
      <c r="WTY339" s="42" t="s">
        <v>608</v>
      </c>
      <c r="WTZ339" s="42" t="s">
        <v>608</v>
      </c>
      <c r="WUA339" s="42" t="s">
        <v>608</v>
      </c>
      <c r="WUB339" s="42" t="s">
        <v>608</v>
      </c>
      <c r="WUC339" s="42" t="s">
        <v>608</v>
      </c>
      <c r="WUD339" s="42" t="s">
        <v>608</v>
      </c>
      <c r="WUE339" s="42" t="s">
        <v>608</v>
      </c>
      <c r="WUF339" s="42" t="s">
        <v>608</v>
      </c>
      <c r="WUG339" s="42" t="s">
        <v>608</v>
      </c>
      <c r="WUH339" s="42" t="s">
        <v>608</v>
      </c>
      <c r="WUI339" s="42" t="s">
        <v>608</v>
      </c>
      <c r="WUJ339" s="42" t="s">
        <v>608</v>
      </c>
      <c r="WUK339" s="42" t="s">
        <v>608</v>
      </c>
      <c r="WUL339" s="42" t="s">
        <v>608</v>
      </c>
      <c r="WUM339" s="42" t="s">
        <v>608</v>
      </c>
      <c r="WUN339" s="42" t="s">
        <v>608</v>
      </c>
      <c r="WUO339" s="42" t="s">
        <v>608</v>
      </c>
      <c r="WUP339" s="42" t="s">
        <v>608</v>
      </c>
      <c r="WUQ339" s="42" t="s">
        <v>608</v>
      </c>
      <c r="WUR339" s="42" t="s">
        <v>608</v>
      </c>
      <c r="WUS339" s="42" t="s">
        <v>608</v>
      </c>
      <c r="WUT339" s="42" t="s">
        <v>608</v>
      </c>
      <c r="WUU339" s="42" t="s">
        <v>608</v>
      </c>
      <c r="WUV339" s="42" t="s">
        <v>608</v>
      </c>
      <c r="WUW339" s="42" t="s">
        <v>608</v>
      </c>
      <c r="WUX339" s="42" t="s">
        <v>608</v>
      </c>
      <c r="WUY339" s="42" t="s">
        <v>608</v>
      </c>
      <c r="WUZ339" s="42" t="s">
        <v>608</v>
      </c>
      <c r="WVA339" s="42" t="s">
        <v>608</v>
      </c>
      <c r="WVB339" s="42" t="s">
        <v>608</v>
      </c>
      <c r="WVC339" s="42" t="s">
        <v>608</v>
      </c>
      <c r="WVD339" s="42" t="s">
        <v>608</v>
      </c>
      <c r="WVE339" s="42" t="s">
        <v>608</v>
      </c>
      <c r="WVF339" s="42" t="s">
        <v>608</v>
      </c>
      <c r="WVG339" s="42" t="s">
        <v>608</v>
      </c>
      <c r="WVH339" s="42" t="s">
        <v>608</v>
      </c>
      <c r="WVI339" s="42" t="s">
        <v>608</v>
      </c>
      <c r="WVJ339" s="42" t="s">
        <v>608</v>
      </c>
      <c r="WVK339" s="42" t="s">
        <v>608</v>
      </c>
      <c r="WVL339" s="42" t="s">
        <v>608</v>
      </c>
      <c r="WVM339" s="42" t="s">
        <v>608</v>
      </c>
      <c r="WVN339" s="42" t="s">
        <v>608</v>
      </c>
      <c r="WVO339" s="42" t="s">
        <v>608</v>
      </c>
      <c r="WVP339" s="42" t="s">
        <v>608</v>
      </c>
      <c r="WVQ339" s="42" t="s">
        <v>608</v>
      </c>
      <c r="WVR339" s="42" t="s">
        <v>608</v>
      </c>
      <c r="WVS339" s="42" t="s">
        <v>608</v>
      </c>
      <c r="WVT339" s="42" t="s">
        <v>608</v>
      </c>
      <c r="WVU339" s="42" t="s">
        <v>608</v>
      </c>
      <c r="WVV339" s="42" t="s">
        <v>608</v>
      </c>
      <c r="WVW339" s="42" t="s">
        <v>608</v>
      </c>
      <c r="WVX339" s="42" t="s">
        <v>608</v>
      </c>
      <c r="WVY339" s="42" t="s">
        <v>608</v>
      </c>
      <c r="WVZ339" s="42" t="s">
        <v>608</v>
      </c>
      <c r="WWA339" s="42" t="s">
        <v>608</v>
      </c>
      <c r="WWB339" s="42" t="s">
        <v>608</v>
      </c>
      <c r="WWC339" s="42" t="s">
        <v>608</v>
      </c>
      <c r="WWD339" s="42" t="s">
        <v>608</v>
      </c>
      <c r="WWE339" s="42" t="s">
        <v>608</v>
      </c>
      <c r="WWF339" s="42" t="s">
        <v>608</v>
      </c>
      <c r="WWG339" s="42" t="s">
        <v>608</v>
      </c>
      <c r="WWH339" s="42" t="s">
        <v>608</v>
      </c>
      <c r="WWI339" s="42" t="s">
        <v>608</v>
      </c>
      <c r="WWJ339" s="42" t="s">
        <v>608</v>
      </c>
      <c r="WWK339" s="42" t="s">
        <v>608</v>
      </c>
      <c r="WWL339" s="42" t="s">
        <v>608</v>
      </c>
      <c r="WWM339" s="42" t="s">
        <v>608</v>
      </c>
      <c r="WWN339" s="42" t="s">
        <v>608</v>
      </c>
      <c r="WWO339" s="42" t="s">
        <v>608</v>
      </c>
      <c r="WWP339" s="42" t="s">
        <v>608</v>
      </c>
      <c r="WWQ339" s="42" t="s">
        <v>608</v>
      </c>
      <c r="WWR339" s="42" t="s">
        <v>608</v>
      </c>
      <c r="WWS339" s="42" t="s">
        <v>608</v>
      </c>
      <c r="WWT339" s="42" t="s">
        <v>608</v>
      </c>
      <c r="WWU339" s="42" t="s">
        <v>608</v>
      </c>
      <c r="WWV339" s="42" t="s">
        <v>608</v>
      </c>
      <c r="WWW339" s="42" t="s">
        <v>608</v>
      </c>
      <c r="WWX339" s="42" t="s">
        <v>608</v>
      </c>
      <c r="WWY339" s="42" t="s">
        <v>608</v>
      </c>
      <c r="WWZ339" s="42" t="s">
        <v>608</v>
      </c>
      <c r="WXA339" s="42" t="s">
        <v>608</v>
      </c>
      <c r="WXB339" s="42" t="s">
        <v>608</v>
      </c>
      <c r="WXC339" s="42" t="s">
        <v>608</v>
      </c>
      <c r="WXD339" s="42" t="s">
        <v>608</v>
      </c>
      <c r="WXE339" s="42" t="s">
        <v>608</v>
      </c>
      <c r="WXF339" s="42" t="s">
        <v>608</v>
      </c>
      <c r="WXG339" s="42" t="s">
        <v>608</v>
      </c>
      <c r="WXH339" s="42" t="s">
        <v>608</v>
      </c>
      <c r="WXI339" s="42" t="s">
        <v>608</v>
      </c>
      <c r="WXJ339" s="42" t="s">
        <v>608</v>
      </c>
      <c r="WXK339" s="42" t="s">
        <v>608</v>
      </c>
      <c r="WXL339" s="42" t="s">
        <v>608</v>
      </c>
      <c r="WXM339" s="42" t="s">
        <v>608</v>
      </c>
      <c r="WXN339" s="42" t="s">
        <v>608</v>
      </c>
      <c r="WXO339" s="42" t="s">
        <v>608</v>
      </c>
    </row>
    <row r="340" spans="1:16187" x14ac:dyDescent="0.25">
      <c r="A340" s="135">
        <f t="shared" si="78"/>
        <v>323</v>
      </c>
      <c r="B340" s="134">
        <f t="shared" si="79"/>
        <v>135</v>
      </c>
      <c r="C340" s="77" t="s">
        <v>72</v>
      </c>
      <c r="D340" s="77" t="s">
        <v>374</v>
      </c>
      <c r="E340" s="129">
        <f t="shared" si="76"/>
        <v>1545862.696208</v>
      </c>
      <c r="F340" s="44">
        <v>0</v>
      </c>
      <c r="G340" s="44"/>
      <c r="H340" s="44"/>
      <c r="I340" s="44"/>
      <c r="J340" s="44">
        <v>1007894.07</v>
      </c>
      <c r="K340" s="44"/>
      <c r="L340" s="44"/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518300.47000000003</v>
      </c>
      <c r="S340" s="44"/>
      <c r="T340" s="136">
        <v>19668.156208</v>
      </c>
      <c r="U340" s="24">
        <f t="shared" si="77"/>
        <v>1</v>
      </c>
    </row>
    <row r="341" spans="1:16187" s="42" customFormat="1" x14ac:dyDescent="0.25">
      <c r="A341" s="135">
        <f t="shared" si="78"/>
        <v>324</v>
      </c>
      <c r="B341" s="134">
        <f t="shared" si="79"/>
        <v>136</v>
      </c>
      <c r="C341" s="150"/>
      <c r="D341" s="77" t="s">
        <v>658</v>
      </c>
      <c r="E341" s="129">
        <f t="shared" si="76"/>
        <v>2151481.9070239998</v>
      </c>
      <c r="F341" s="139"/>
      <c r="G341" s="139"/>
      <c r="H341" s="139"/>
      <c r="I341" s="139"/>
      <c r="J341" s="44">
        <v>1843469.3852256862</v>
      </c>
      <c r="K341" s="44"/>
      <c r="L341" s="44"/>
      <c r="M341" s="44"/>
      <c r="N341" s="44"/>
      <c r="O341" s="44"/>
      <c r="P341" s="44"/>
      <c r="Q341" s="44"/>
      <c r="R341" s="44">
        <v>267699.57999999996</v>
      </c>
      <c r="S341" s="44"/>
      <c r="T341" s="151">
        <v>40312.941798313601</v>
      </c>
      <c r="U341" s="24">
        <f t="shared" si="77"/>
        <v>1</v>
      </c>
    </row>
    <row r="342" spans="1:16187" s="42" customFormat="1" x14ac:dyDescent="0.25">
      <c r="A342" s="135">
        <f t="shared" si="78"/>
        <v>325</v>
      </c>
      <c r="B342" s="134">
        <f t="shared" si="79"/>
        <v>137</v>
      </c>
      <c r="C342" s="150"/>
      <c r="D342" s="77" t="s">
        <v>690</v>
      </c>
      <c r="E342" s="129">
        <f t="shared" si="76"/>
        <v>2154465.066112</v>
      </c>
      <c r="F342" s="139"/>
      <c r="G342" s="139"/>
      <c r="H342" s="139"/>
      <c r="I342" s="139"/>
      <c r="J342" s="44">
        <v>1847918.7164512032</v>
      </c>
      <c r="K342" s="44"/>
      <c r="L342" s="44"/>
      <c r="M342" s="44"/>
      <c r="N342" s="44"/>
      <c r="O342" s="44"/>
      <c r="P342" s="44"/>
      <c r="Q342" s="44"/>
      <c r="R342" s="44">
        <v>266136.11</v>
      </c>
      <c r="S342" s="44"/>
      <c r="T342" s="151">
        <v>40410.239660796804</v>
      </c>
      <c r="U342" s="24">
        <f t="shared" si="77"/>
        <v>1</v>
      </c>
    </row>
    <row r="343" spans="1:16187" s="42" customFormat="1" x14ac:dyDescent="0.25">
      <c r="A343" s="135">
        <f t="shared" si="78"/>
        <v>326</v>
      </c>
      <c r="B343" s="134">
        <f t="shared" si="79"/>
        <v>138</v>
      </c>
      <c r="C343" s="150"/>
      <c r="D343" s="77" t="s">
        <v>653</v>
      </c>
      <c r="E343" s="129">
        <f t="shared" si="76"/>
        <v>17851669.849999998</v>
      </c>
      <c r="F343" s="139"/>
      <c r="G343" s="139"/>
      <c r="H343" s="139"/>
      <c r="I343" s="44">
        <v>1613543.1522205768</v>
      </c>
      <c r="J343" s="44">
        <v>1170100.2345370059</v>
      </c>
      <c r="K343" s="44"/>
      <c r="L343" s="44"/>
      <c r="M343" s="44"/>
      <c r="N343" s="44"/>
      <c r="O343" s="44"/>
      <c r="P343" s="44">
        <v>6644076.9156807279</v>
      </c>
      <c r="Q343" s="44">
        <v>7272213.9060160564</v>
      </c>
      <c r="R343" s="44">
        <v>742671.38934712671</v>
      </c>
      <c r="S343" s="44">
        <v>43870.514143199995</v>
      </c>
      <c r="T343" s="151">
        <v>365193.73805530707</v>
      </c>
      <c r="U343" s="24">
        <f t="shared" si="77"/>
        <v>4</v>
      </c>
    </row>
    <row r="344" spans="1:16187" x14ac:dyDescent="0.25">
      <c r="A344" s="135">
        <f t="shared" si="78"/>
        <v>327</v>
      </c>
      <c r="B344" s="134">
        <f t="shared" si="79"/>
        <v>139</v>
      </c>
      <c r="C344" s="77" t="s">
        <v>72</v>
      </c>
      <c r="D344" s="77" t="s">
        <v>377</v>
      </c>
      <c r="E344" s="129">
        <f t="shared" si="76"/>
        <v>43610106.900000006</v>
      </c>
      <c r="F344" s="44"/>
      <c r="G344" s="44">
        <v>5128114.1301599992</v>
      </c>
      <c r="H344" s="44">
        <v>5456239.5909000002</v>
      </c>
      <c r="I344" s="44">
        <v>4284881.5390919996</v>
      </c>
      <c r="J344" s="44"/>
      <c r="K344" s="44"/>
      <c r="L344" s="44"/>
      <c r="M344" s="44">
        <v>0</v>
      </c>
      <c r="N344" s="44">
        <v>15751030.220309999</v>
      </c>
      <c r="O344" s="44">
        <v>0</v>
      </c>
      <c r="P344" s="44"/>
      <c r="Q344" s="44">
        <v>12056585.131878</v>
      </c>
      <c r="R344" s="44"/>
      <c r="S344" s="68"/>
      <c r="T344" s="136">
        <v>933256.28766000003</v>
      </c>
      <c r="U344" s="24">
        <f t="shared" si="77"/>
        <v>5</v>
      </c>
    </row>
    <row r="345" spans="1:16187" x14ac:dyDescent="0.25">
      <c r="A345" s="135">
        <f t="shared" si="78"/>
        <v>328</v>
      </c>
      <c r="B345" s="134">
        <f t="shared" si="79"/>
        <v>140</v>
      </c>
      <c r="C345" s="77" t="s">
        <v>72</v>
      </c>
      <c r="D345" s="77" t="s">
        <v>379</v>
      </c>
      <c r="E345" s="129">
        <f t="shared" si="76"/>
        <v>5731758.5462407395</v>
      </c>
      <c r="F345" s="44"/>
      <c r="G345" s="44">
        <v>1950514.3</v>
      </c>
      <c r="H345" s="44"/>
      <c r="I345" s="44">
        <v>1578269.9</v>
      </c>
      <c r="J345" s="44"/>
      <c r="K345" s="44"/>
      <c r="L345" s="44"/>
      <c r="M345" s="44"/>
      <c r="N345" s="44"/>
      <c r="O345" s="44"/>
      <c r="P345" s="44"/>
      <c r="Q345" s="44">
        <v>1144560.06</v>
      </c>
      <c r="R345" s="44"/>
      <c r="S345" s="68"/>
      <c r="T345" s="136">
        <v>1058414.2862407397</v>
      </c>
      <c r="U345" s="24">
        <f t="shared" si="77"/>
        <v>3</v>
      </c>
      <c r="V345" s="1" t="s">
        <v>711</v>
      </c>
    </row>
    <row r="346" spans="1:16187" x14ac:dyDescent="0.25">
      <c r="A346" s="135">
        <f t="shared" si="78"/>
        <v>329</v>
      </c>
      <c r="B346" s="134">
        <f t="shared" si="79"/>
        <v>141</v>
      </c>
      <c r="C346" s="77" t="s">
        <v>72</v>
      </c>
      <c r="D346" s="77" t="s">
        <v>216</v>
      </c>
      <c r="E346" s="129">
        <f t="shared" si="76"/>
        <v>5272961.0065099401</v>
      </c>
      <c r="F346" s="44">
        <v>3719699.05</v>
      </c>
      <c r="G346" s="44">
        <v>1397547.49</v>
      </c>
      <c r="H346" s="44"/>
      <c r="I346" s="44"/>
      <c r="J346" s="44"/>
      <c r="K346" s="44"/>
      <c r="L346" s="44"/>
      <c r="M346" s="44">
        <v>0</v>
      </c>
      <c r="N346" s="44">
        <v>0</v>
      </c>
      <c r="O346" s="44">
        <v>0</v>
      </c>
      <c r="P346" s="44"/>
      <c r="Q346" s="44">
        <v>0</v>
      </c>
      <c r="R346" s="44"/>
      <c r="S346" s="68"/>
      <c r="T346" s="136">
        <v>155714.46650994002</v>
      </c>
      <c r="U346" s="24">
        <f t="shared" si="77"/>
        <v>2</v>
      </c>
    </row>
    <row r="347" spans="1:16187" x14ac:dyDescent="0.25">
      <c r="A347" s="135">
        <f t="shared" si="78"/>
        <v>330</v>
      </c>
      <c r="B347" s="134">
        <f t="shared" si="79"/>
        <v>142</v>
      </c>
      <c r="C347" s="77" t="s">
        <v>72</v>
      </c>
      <c r="D347" s="77" t="s">
        <v>213</v>
      </c>
      <c r="E347" s="129">
        <f t="shared" si="76"/>
        <v>5463977.5993955806</v>
      </c>
      <c r="F347" s="44">
        <v>3176406.16</v>
      </c>
      <c r="G347" s="44">
        <v>1063489.17</v>
      </c>
      <c r="H347" s="44">
        <v>0</v>
      </c>
      <c r="I347" s="44">
        <v>1045305.74</v>
      </c>
      <c r="J347" s="44"/>
      <c r="K347" s="44"/>
      <c r="L347" s="44"/>
      <c r="M347" s="44">
        <v>0</v>
      </c>
      <c r="N347" s="44">
        <v>0</v>
      </c>
      <c r="O347" s="44">
        <v>0</v>
      </c>
      <c r="P347" s="44"/>
      <c r="Q347" s="44">
        <v>0</v>
      </c>
      <c r="R347" s="44"/>
      <c r="S347" s="68"/>
      <c r="T347" s="136">
        <v>178776.52939558003</v>
      </c>
      <c r="U347" s="24">
        <f t="shared" si="77"/>
        <v>3</v>
      </c>
    </row>
    <row r="348" spans="1:16187" x14ac:dyDescent="0.25">
      <c r="A348" s="135">
        <f t="shared" si="78"/>
        <v>331</v>
      </c>
      <c r="B348" s="134">
        <f t="shared" si="79"/>
        <v>143</v>
      </c>
      <c r="C348" s="77" t="s">
        <v>72</v>
      </c>
      <c r="D348" s="77" t="s">
        <v>214</v>
      </c>
      <c r="E348" s="129">
        <f t="shared" si="76"/>
        <v>6918791.5024397802</v>
      </c>
      <c r="F348" s="44">
        <v>3719699.05</v>
      </c>
      <c r="G348" s="44">
        <v>1063489.17</v>
      </c>
      <c r="H348" s="44">
        <v>671766.41</v>
      </c>
      <c r="I348" s="44">
        <v>1307914.6300000001</v>
      </c>
      <c r="J348" s="44"/>
      <c r="K348" s="44"/>
      <c r="L348" s="44"/>
      <c r="M348" s="44">
        <v>0</v>
      </c>
      <c r="N348" s="44">
        <v>0</v>
      </c>
      <c r="O348" s="44">
        <v>0</v>
      </c>
      <c r="P348" s="44"/>
      <c r="Q348" s="44">
        <v>0</v>
      </c>
      <c r="R348" s="44"/>
      <c r="S348" s="68"/>
      <c r="T348" s="136">
        <v>155922.24243978004</v>
      </c>
      <c r="U348" s="24">
        <f t="shared" si="77"/>
        <v>4</v>
      </c>
    </row>
    <row r="349" spans="1:16187" x14ac:dyDescent="0.25">
      <c r="A349" s="135">
        <f t="shared" si="78"/>
        <v>332</v>
      </c>
      <c r="B349" s="134">
        <f t="shared" si="79"/>
        <v>144</v>
      </c>
      <c r="C349" s="77" t="s">
        <v>220</v>
      </c>
      <c r="D349" s="77" t="s">
        <v>382</v>
      </c>
      <c r="E349" s="129">
        <f t="shared" si="76"/>
        <v>5484113.5200000005</v>
      </c>
      <c r="F349" s="44">
        <v>2690748.568494</v>
      </c>
      <c r="G349" s="44">
        <v>1668343.007394</v>
      </c>
      <c r="H349" s="44"/>
      <c r="I349" s="44">
        <v>685043.90719799988</v>
      </c>
      <c r="J349" s="44">
        <v>0</v>
      </c>
      <c r="K349" s="44"/>
      <c r="L349" s="44">
        <v>262232.90488164005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40971.241300000002</v>
      </c>
      <c r="S349" s="68">
        <v>20734.3613</v>
      </c>
      <c r="T349" s="136">
        <v>116039.52943236002</v>
      </c>
      <c r="U349" s="24">
        <f t="shared" si="77"/>
        <v>4</v>
      </c>
    </row>
    <row r="350" spans="1:16187" x14ac:dyDescent="0.25">
      <c r="A350" s="135">
        <f t="shared" si="78"/>
        <v>333</v>
      </c>
      <c r="B350" s="134">
        <f t="shared" si="79"/>
        <v>145</v>
      </c>
      <c r="C350" s="77" t="s">
        <v>220</v>
      </c>
      <c r="D350" s="77" t="s">
        <v>481</v>
      </c>
      <c r="E350" s="129">
        <f t="shared" si="76"/>
        <v>10279133.729999999</v>
      </c>
      <c r="F350" s="44">
        <v>4401647.2299239999</v>
      </c>
      <c r="G350" s="44">
        <v>2728944.7063199999</v>
      </c>
      <c r="H350" s="44">
        <v>1282797.7023540002</v>
      </c>
      <c r="I350" s="44">
        <v>1125093.5331300001</v>
      </c>
      <c r="J350" s="44">
        <v>0</v>
      </c>
      <c r="K350" s="44"/>
      <c r="L350" s="44">
        <v>428109.96493607998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66127.388600000006</v>
      </c>
      <c r="S350" s="68">
        <v>28463.998599999999</v>
      </c>
      <c r="T350" s="136">
        <v>217949.20613592002</v>
      </c>
      <c r="U350" s="24">
        <f t="shared" si="77"/>
        <v>5</v>
      </c>
    </row>
    <row r="351" spans="1:16187" x14ac:dyDescent="0.25">
      <c r="A351" s="135">
        <f t="shared" si="78"/>
        <v>334</v>
      </c>
      <c r="B351" s="134">
        <f t="shared" si="79"/>
        <v>146</v>
      </c>
      <c r="C351" s="77" t="s">
        <v>220</v>
      </c>
      <c r="D351" s="77" t="s">
        <v>482</v>
      </c>
      <c r="E351" s="129">
        <f t="shared" si="76"/>
        <v>5796292.5199999996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/>
      <c r="L351" s="44"/>
      <c r="M351" s="44">
        <v>0</v>
      </c>
      <c r="N351" s="44">
        <v>0</v>
      </c>
      <c r="O351" s="44">
        <v>0</v>
      </c>
      <c r="P351" s="44">
        <v>5611851.8558339998</v>
      </c>
      <c r="Q351" s="44">
        <v>0</v>
      </c>
      <c r="R351" s="44">
        <v>37720.83</v>
      </c>
      <c r="S351" s="68">
        <v>24000</v>
      </c>
      <c r="T351" s="136">
        <v>122719.834166</v>
      </c>
      <c r="U351" s="24">
        <f t="shared" si="77"/>
        <v>1</v>
      </c>
    </row>
    <row r="352" spans="1:16187" x14ac:dyDescent="0.25">
      <c r="A352" s="135">
        <f t="shared" si="78"/>
        <v>335</v>
      </c>
      <c r="B352" s="134">
        <f t="shared" si="79"/>
        <v>147</v>
      </c>
      <c r="C352" s="77" t="s">
        <v>89</v>
      </c>
      <c r="D352" s="77" t="s">
        <v>386</v>
      </c>
      <c r="E352" s="129">
        <f>SUBTOTAL(9,F352:T352)</f>
        <v>7543619.07816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/>
      <c r="L352" s="44"/>
      <c r="M352" s="44">
        <v>0</v>
      </c>
      <c r="N352" s="44">
        <v>7293813.5599999996</v>
      </c>
      <c r="O352" s="44">
        <v>0</v>
      </c>
      <c r="P352" s="44">
        <v>0</v>
      </c>
      <c r="Q352" s="44">
        <v>0</v>
      </c>
      <c r="R352" s="44">
        <v>44378.15</v>
      </c>
      <c r="S352" s="68">
        <v>24000</v>
      </c>
      <c r="T352" s="136">
        <v>181427.36816000004</v>
      </c>
      <c r="U352" s="24">
        <f>COUNTIF(F352:Q352,"&gt;0")</f>
        <v>1</v>
      </c>
    </row>
    <row r="353" spans="1:22" x14ac:dyDescent="0.25">
      <c r="A353" s="135">
        <f t="shared" si="78"/>
        <v>336</v>
      </c>
      <c r="B353" s="134">
        <f t="shared" si="79"/>
        <v>148</v>
      </c>
      <c r="C353" s="77" t="s">
        <v>89</v>
      </c>
      <c r="D353" s="77" t="s">
        <v>387</v>
      </c>
      <c r="E353" s="129">
        <f>SUBTOTAL(9,F353:T353)</f>
        <v>4448664.1270599999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/>
      <c r="L353" s="44"/>
      <c r="M353" s="44">
        <v>0</v>
      </c>
      <c r="N353" s="44">
        <v>4203546.0199999996</v>
      </c>
      <c r="O353" s="44">
        <v>0</v>
      </c>
      <c r="P353" s="44">
        <v>0</v>
      </c>
      <c r="Q353" s="44">
        <v>0</v>
      </c>
      <c r="R353" s="44">
        <v>45375.360000000001</v>
      </c>
      <c r="S353" s="68">
        <v>24000</v>
      </c>
      <c r="T353" s="136">
        <v>175742.74705999999</v>
      </c>
      <c r="U353" s="24">
        <f>COUNTIF(F353:Q353,"&gt;0")</f>
        <v>1</v>
      </c>
      <c r="V353" s="1" t="s">
        <v>714</v>
      </c>
    </row>
    <row r="354" spans="1:22" x14ac:dyDescent="0.25">
      <c r="A354" s="135">
        <f t="shared" si="78"/>
        <v>337</v>
      </c>
      <c r="B354" s="134">
        <f t="shared" si="79"/>
        <v>149</v>
      </c>
      <c r="C354" s="77" t="s">
        <v>89</v>
      </c>
      <c r="D354" s="77" t="s">
        <v>483</v>
      </c>
      <c r="E354" s="129">
        <f t="shared" si="76"/>
        <v>11230594.252708001</v>
      </c>
      <c r="F354" s="44">
        <v>2339408.797698</v>
      </c>
      <c r="G354" s="44">
        <v>1449960.6375240001</v>
      </c>
      <c r="H354" s="44"/>
      <c r="I354" s="44"/>
      <c r="J354" s="44">
        <v>0</v>
      </c>
      <c r="K354" s="44"/>
      <c r="L354" s="44">
        <v>228234.10595495999</v>
      </c>
      <c r="M354" s="44">
        <v>0</v>
      </c>
      <c r="N354" s="44">
        <v>6850480.8288420001</v>
      </c>
      <c r="O354" s="44">
        <v>0</v>
      </c>
      <c r="P354" s="44">
        <v>0</v>
      </c>
      <c r="Q354" s="44">
        <v>0</v>
      </c>
      <c r="R354" s="44">
        <v>99074.368199999997</v>
      </c>
      <c r="S354" s="68">
        <v>26379.8482</v>
      </c>
      <c r="T354" s="136">
        <v>237055.66628903997</v>
      </c>
      <c r="U354" s="24">
        <f t="shared" si="77"/>
        <v>4</v>
      </c>
    </row>
    <row r="355" spans="1:22" x14ac:dyDescent="0.25">
      <c r="A355" s="135">
        <f t="shared" si="78"/>
        <v>338</v>
      </c>
      <c r="B355" s="134">
        <f t="shared" si="79"/>
        <v>150</v>
      </c>
      <c r="C355" s="77" t="s">
        <v>89</v>
      </c>
      <c r="D355" s="77" t="s">
        <v>227</v>
      </c>
      <c r="E355" s="129">
        <f t="shared" si="76"/>
        <v>3488921.0602397402</v>
      </c>
      <c r="F355" s="44"/>
      <c r="G355" s="44"/>
      <c r="H355" s="44">
        <v>0</v>
      </c>
      <c r="I355" s="44">
        <v>1796569.131756</v>
      </c>
      <c r="J355" s="44"/>
      <c r="K355" s="44"/>
      <c r="L355" s="44"/>
      <c r="M355" s="44">
        <v>0</v>
      </c>
      <c r="N355" s="44">
        <v>0</v>
      </c>
      <c r="O355" s="44">
        <v>1450733.92</v>
      </c>
      <c r="P355" s="44">
        <v>0</v>
      </c>
      <c r="Q355" s="44"/>
      <c r="R355" s="44"/>
      <c r="S355" s="68"/>
      <c r="T355" s="136">
        <v>241618.00848373998</v>
      </c>
      <c r="U355" s="24">
        <f t="shared" si="77"/>
        <v>2</v>
      </c>
    </row>
    <row r="356" spans="1:22" x14ac:dyDescent="0.25">
      <c r="A356" s="135">
        <f t="shared" si="78"/>
        <v>339</v>
      </c>
      <c r="B356" s="134">
        <f t="shared" si="79"/>
        <v>151</v>
      </c>
      <c r="C356" s="77" t="s">
        <v>89</v>
      </c>
      <c r="D356" s="77" t="s">
        <v>228</v>
      </c>
      <c r="E356" s="129">
        <f t="shared" si="76"/>
        <v>578480.11581599992</v>
      </c>
      <c r="F356" s="44">
        <v>0</v>
      </c>
      <c r="G356" s="44">
        <v>0</v>
      </c>
      <c r="H356" s="44">
        <v>448683.30485999992</v>
      </c>
      <c r="I356" s="44">
        <v>0</v>
      </c>
      <c r="J356" s="44">
        <v>0</v>
      </c>
      <c r="K356" s="44"/>
      <c r="L356" s="44"/>
      <c r="M356" s="44">
        <v>0</v>
      </c>
      <c r="N356" s="44"/>
      <c r="O356" s="44">
        <v>0</v>
      </c>
      <c r="P356" s="44">
        <v>0</v>
      </c>
      <c r="Q356" s="44">
        <v>0</v>
      </c>
      <c r="R356" s="44"/>
      <c r="S356" s="68"/>
      <c r="T356" s="136">
        <v>129796.81095600002</v>
      </c>
      <c r="U356" s="24">
        <f t="shared" si="77"/>
        <v>1</v>
      </c>
    </row>
    <row r="357" spans="1:22" x14ac:dyDescent="0.25">
      <c r="A357" s="135">
        <f t="shared" si="78"/>
        <v>340</v>
      </c>
      <c r="B357" s="134">
        <f t="shared" si="79"/>
        <v>152</v>
      </c>
      <c r="C357" s="77" t="s">
        <v>89</v>
      </c>
      <c r="D357" s="77" t="s">
        <v>229</v>
      </c>
      <c r="E357" s="129">
        <f t="shared" si="76"/>
        <v>6447490.5377165601</v>
      </c>
      <c r="F357" s="44"/>
      <c r="G357" s="44">
        <v>2485979.4267953397</v>
      </c>
      <c r="H357" s="44">
        <v>0</v>
      </c>
      <c r="I357" s="44">
        <v>1626070.4809313999</v>
      </c>
      <c r="J357" s="44"/>
      <c r="K357" s="44"/>
      <c r="L357" s="44"/>
      <c r="M357" s="44">
        <v>0</v>
      </c>
      <c r="N357" s="44">
        <v>0</v>
      </c>
      <c r="O357" s="44">
        <v>2047663.62</v>
      </c>
      <c r="P357" s="44">
        <v>0</v>
      </c>
      <c r="Q357" s="44"/>
      <c r="R357" s="44"/>
      <c r="S357" s="68"/>
      <c r="T357" s="136">
        <v>287777.00998981996</v>
      </c>
      <c r="U357" s="24">
        <f t="shared" si="77"/>
        <v>3</v>
      </c>
    </row>
    <row r="358" spans="1:22" x14ac:dyDescent="0.25">
      <c r="A358" s="135">
        <f t="shared" si="78"/>
        <v>341</v>
      </c>
      <c r="B358" s="134">
        <f t="shared" si="79"/>
        <v>153</v>
      </c>
      <c r="C358" s="77" t="s">
        <v>89</v>
      </c>
      <c r="D358" s="77" t="s">
        <v>230</v>
      </c>
      <c r="E358" s="129">
        <f t="shared" si="76"/>
        <v>3056253.8263249598</v>
      </c>
      <c r="F358" s="44"/>
      <c r="G358" s="44"/>
      <c r="H358" s="44">
        <v>0</v>
      </c>
      <c r="I358" s="44">
        <v>1451323.2211791598</v>
      </c>
      <c r="J358" s="44"/>
      <c r="K358" s="44"/>
      <c r="L358" s="44"/>
      <c r="M358" s="44">
        <v>0</v>
      </c>
      <c r="N358" s="44">
        <v>0</v>
      </c>
      <c r="O358" s="44">
        <v>1396600.96</v>
      </c>
      <c r="P358" s="44">
        <v>0</v>
      </c>
      <c r="Q358" s="44"/>
      <c r="R358" s="44"/>
      <c r="S358" s="68"/>
      <c r="T358" s="136">
        <v>208329.64514579996</v>
      </c>
      <c r="U358" s="24">
        <f t="shared" si="77"/>
        <v>2</v>
      </c>
    </row>
    <row r="359" spans="1:22" x14ac:dyDescent="0.25">
      <c r="A359" s="135">
        <f t="shared" si="78"/>
        <v>342</v>
      </c>
      <c r="B359" s="134">
        <f t="shared" si="79"/>
        <v>154</v>
      </c>
      <c r="C359" s="77" t="s">
        <v>89</v>
      </c>
      <c r="D359" s="77" t="s">
        <v>231</v>
      </c>
      <c r="E359" s="129">
        <f t="shared" si="76"/>
        <v>601192.01953599998</v>
      </c>
      <c r="F359" s="44">
        <v>0</v>
      </c>
      <c r="G359" s="44">
        <v>0</v>
      </c>
      <c r="H359" s="44">
        <v>467037.62309399992</v>
      </c>
      <c r="I359" s="44">
        <v>0</v>
      </c>
      <c r="J359" s="44">
        <v>0</v>
      </c>
      <c r="K359" s="44"/>
      <c r="L359" s="44"/>
      <c r="M359" s="44">
        <v>0</v>
      </c>
      <c r="N359" s="44"/>
      <c r="O359" s="44">
        <v>0</v>
      </c>
      <c r="P359" s="44">
        <v>0</v>
      </c>
      <c r="Q359" s="44">
        <v>0</v>
      </c>
      <c r="R359" s="44"/>
      <c r="S359" s="68"/>
      <c r="T359" s="136">
        <v>134154.396442</v>
      </c>
      <c r="U359" s="24">
        <f t="shared" si="77"/>
        <v>1</v>
      </c>
    </row>
    <row r="360" spans="1:22" x14ac:dyDescent="0.25">
      <c r="A360" s="135">
        <f t="shared" si="78"/>
        <v>343</v>
      </c>
      <c r="B360" s="134">
        <f t="shared" si="79"/>
        <v>155</v>
      </c>
      <c r="C360" s="77" t="s">
        <v>89</v>
      </c>
      <c r="D360" s="77" t="s">
        <v>232</v>
      </c>
      <c r="E360" s="129">
        <f t="shared" si="76"/>
        <v>549084.61</v>
      </c>
      <c r="F360" s="44">
        <v>0</v>
      </c>
      <c r="G360" s="44">
        <v>0</v>
      </c>
      <c r="H360" s="44">
        <v>537334.19934599998</v>
      </c>
      <c r="I360" s="44">
        <v>0</v>
      </c>
      <c r="J360" s="44">
        <v>0</v>
      </c>
      <c r="K360" s="44"/>
      <c r="L360" s="44"/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/>
      <c r="S360" s="68"/>
      <c r="T360" s="136">
        <v>11750.410653999999</v>
      </c>
      <c r="U360" s="24">
        <f t="shared" si="77"/>
        <v>1</v>
      </c>
    </row>
    <row r="361" spans="1:22" x14ac:dyDescent="0.25">
      <c r="A361" s="135">
        <f t="shared" si="78"/>
        <v>344</v>
      </c>
      <c r="B361" s="134">
        <f t="shared" si="79"/>
        <v>156</v>
      </c>
      <c r="C361" s="77" t="s">
        <v>234</v>
      </c>
      <c r="D361" s="77" t="s">
        <v>235</v>
      </c>
      <c r="E361" s="129">
        <f t="shared" si="76"/>
        <v>4035248.7116984078</v>
      </c>
      <c r="F361" s="44">
        <v>3828166.3</v>
      </c>
      <c r="G361" s="44"/>
      <c r="H361" s="44"/>
      <c r="I361" s="44"/>
      <c r="J361" s="44">
        <v>0</v>
      </c>
      <c r="K361" s="44"/>
      <c r="L361" s="44">
        <v>125708.39506661828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/>
      <c r="S361" s="68"/>
      <c r="T361" s="136">
        <v>81374.016631789709</v>
      </c>
      <c r="U361" s="24">
        <f t="shared" si="77"/>
        <v>2</v>
      </c>
    </row>
    <row r="362" spans="1:22" x14ac:dyDescent="0.25">
      <c r="A362" s="135">
        <f t="shared" si="78"/>
        <v>345</v>
      </c>
      <c r="B362" s="134">
        <f t="shared" si="79"/>
        <v>157</v>
      </c>
      <c r="C362" s="77" t="s">
        <v>234</v>
      </c>
      <c r="D362" s="77" t="s">
        <v>236</v>
      </c>
      <c r="E362" s="129">
        <f>SUBTOTAL(9,F362:T362)</f>
        <v>526378.2994685102</v>
      </c>
      <c r="F362" s="44"/>
      <c r="G362" s="44"/>
      <c r="H362" s="44"/>
      <c r="I362" s="44">
        <v>492037.06</v>
      </c>
      <c r="J362" s="44">
        <v>0</v>
      </c>
      <c r="K362" s="44"/>
      <c r="L362" s="44"/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/>
      <c r="S362" s="68"/>
      <c r="T362" s="136">
        <v>34341.239468510234</v>
      </c>
      <c r="U362" s="24">
        <f>COUNTIF(F362:Q362,"&gt;0")</f>
        <v>1</v>
      </c>
    </row>
    <row r="363" spans="1:22" x14ac:dyDescent="0.25">
      <c r="A363" s="135">
        <f t="shared" si="78"/>
        <v>346</v>
      </c>
      <c r="B363" s="134">
        <f t="shared" si="79"/>
        <v>158</v>
      </c>
      <c r="C363" s="77"/>
      <c r="D363" s="77" t="s">
        <v>729</v>
      </c>
      <c r="E363" s="129">
        <f t="shared" si="76"/>
        <v>520542.46</v>
      </c>
      <c r="F363" s="44"/>
      <c r="G363" s="44"/>
      <c r="H363" s="44"/>
      <c r="I363" s="44">
        <v>520542.46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68"/>
      <c r="T363" s="136"/>
      <c r="U363" s="24">
        <f t="shared" si="77"/>
        <v>1</v>
      </c>
    </row>
    <row r="364" spans="1:22" x14ac:dyDescent="0.25">
      <c r="A364" s="135">
        <f t="shared" si="78"/>
        <v>347</v>
      </c>
      <c r="B364" s="134">
        <f t="shared" si="79"/>
        <v>159</v>
      </c>
      <c r="C364" s="77" t="s">
        <v>234</v>
      </c>
      <c r="D364" s="77" t="s">
        <v>388</v>
      </c>
      <c r="E364" s="129">
        <f t="shared" si="76"/>
        <v>1947788.4374377711</v>
      </c>
      <c r="F364" s="44"/>
      <c r="G364" s="44"/>
      <c r="H364" s="44">
        <v>1910484.53</v>
      </c>
      <c r="I364" s="44">
        <v>0</v>
      </c>
      <c r="J364" s="44">
        <v>0</v>
      </c>
      <c r="K364" s="44"/>
      <c r="L364" s="44"/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/>
      <c r="S364" s="68"/>
      <c r="T364" s="136">
        <v>37303.907437771006</v>
      </c>
      <c r="U364" s="24">
        <f t="shared" si="77"/>
        <v>1</v>
      </c>
    </row>
    <row r="365" spans="1:22" x14ac:dyDescent="0.25">
      <c r="A365" s="135">
        <f t="shared" si="78"/>
        <v>348</v>
      </c>
      <c r="B365" s="134">
        <f t="shared" si="79"/>
        <v>160</v>
      </c>
      <c r="C365" s="77" t="s">
        <v>234</v>
      </c>
      <c r="D365" s="77" t="s">
        <v>389</v>
      </c>
      <c r="E365" s="129">
        <f t="shared" si="76"/>
        <v>1365207.499136603</v>
      </c>
      <c r="F365" s="44"/>
      <c r="G365" s="44"/>
      <c r="H365" s="44">
        <v>1342966.97</v>
      </c>
      <c r="I365" s="44">
        <v>0</v>
      </c>
      <c r="J365" s="44">
        <v>0</v>
      </c>
      <c r="K365" s="44"/>
      <c r="L365" s="44"/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/>
      <c r="S365" s="68"/>
      <c r="T365" s="136">
        <v>22240.529136603051</v>
      </c>
      <c r="U365" s="24">
        <f t="shared" si="77"/>
        <v>1</v>
      </c>
    </row>
    <row r="366" spans="1:22" x14ac:dyDescent="0.25">
      <c r="A366" s="135">
        <f t="shared" si="78"/>
        <v>349</v>
      </c>
      <c r="B366" s="134">
        <f t="shared" si="79"/>
        <v>161</v>
      </c>
      <c r="C366" s="77" t="s">
        <v>234</v>
      </c>
      <c r="D366" s="77" t="s">
        <v>390</v>
      </c>
      <c r="E366" s="129">
        <f t="shared" si="76"/>
        <v>6350031.4946001265</v>
      </c>
      <c r="F366" s="44">
        <v>0</v>
      </c>
      <c r="G366" s="44">
        <v>0</v>
      </c>
      <c r="H366" s="44">
        <v>3751583.61</v>
      </c>
      <c r="I366" s="44">
        <v>2478946.2599999998</v>
      </c>
      <c r="J366" s="44">
        <v>0</v>
      </c>
      <c r="K366" s="44"/>
      <c r="L366" s="44"/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/>
      <c r="S366" s="68"/>
      <c r="T366" s="136">
        <v>119501.62460012714</v>
      </c>
      <c r="U366" s="24">
        <f t="shared" si="77"/>
        <v>2</v>
      </c>
    </row>
    <row r="367" spans="1:22" x14ac:dyDescent="0.25">
      <c r="A367" s="135">
        <f t="shared" si="78"/>
        <v>350</v>
      </c>
      <c r="B367" s="134">
        <f t="shared" si="79"/>
        <v>162</v>
      </c>
      <c r="C367" s="77" t="s">
        <v>234</v>
      </c>
      <c r="D367" s="77" t="s">
        <v>391</v>
      </c>
      <c r="E367" s="129">
        <f t="shared" si="76"/>
        <v>1949615.1872890538</v>
      </c>
      <c r="F367" s="44">
        <v>0</v>
      </c>
      <c r="G367" s="44">
        <v>0</v>
      </c>
      <c r="H367" s="44">
        <v>1912288.29</v>
      </c>
      <c r="I367" s="44">
        <v>0</v>
      </c>
      <c r="J367" s="44">
        <v>0</v>
      </c>
      <c r="K367" s="44"/>
      <c r="L367" s="44"/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/>
      <c r="S367" s="68"/>
      <c r="T367" s="136">
        <v>37326.897289053828</v>
      </c>
      <c r="U367" s="24">
        <f t="shared" si="77"/>
        <v>1</v>
      </c>
    </row>
    <row r="368" spans="1:22" x14ac:dyDescent="0.25">
      <c r="A368" s="135">
        <f t="shared" si="78"/>
        <v>351</v>
      </c>
      <c r="B368" s="134">
        <f t="shared" si="79"/>
        <v>163</v>
      </c>
      <c r="C368" s="77" t="s">
        <v>234</v>
      </c>
      <c r="D368" s="77" t="s">
        <v>392</v>
      </c>
      <c r="E368" s="129">
        <f t="shared" si="76"/>
        <v>948573.00123749382</v>
      </c>
      <c r="F368" s="44">
        <v>0</v>
      </c>
      <c r="G368" s="44">
        <v>0</v>
      </c>
      <c r="H368" s="44">
        <v>932883.87</v>
      </c>
      <c r="I368" s="44">
        <v>0</v>
      </c>
      <c r="J368" s="44">
        <v>0</v>
      </c>
      <c r="K368" s="44"/>
      <c r="L368" s="44"/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/>
      <c r="S368" s="68"/>
      <c r="T368" s="136">
        <v>15689.131237493779</v>
      </c>
      <c r="U368" s="24">
        <f t="shared" si="77"/>
        <v>1</v>
      </c>
    </row>
    <row r="369" spans="1:22" x14ac:dyDescent="0.25">
      <c r="A369" s="135">
        <f t="shared" si="78"/>
        <v>352</v>
      </c>
      <c r="B369" s="134">
        <f t="shared" si="79"/>
        <v>164</v>
      </c>
      <c r="C369" s="77" t="s">
        <v>234</v>
      </c>
      <c r="D369" s="77" t="s">
        <v>237</v>
      </c>
      <c r="E369" s="129">
        <f>SUBTOTAL(9,F369:T369)</f>
        <v>466454.1786358984</v>
      </c>
      <c r="F369" s="44"/>
      <c r="G369" s="44"/>
      <c r="H369" s="44"/>
      <c r="I369" s="44">
        <v>422534</v>
      </c>
      <c r="J369" s="44">
        <v>0</v>
      </c>
      <c r="K369" s="44"/>
      <c r="L369" s="44"/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/>
      <c r="S369" s="68"/>
      <c r="T369" s="136">
        <v>43920.178635898366</v>
      </c>
      <c r="U369" s="24">
        <f>COUNTIF(F369:Q369,"&gt;0")</f>
        <v>1</v>
      </c>
    </row>
    <row r="370" spans="1:22" x14ac:dyDescent="0.25">
      <c r="A370" s="135">
        <f t="shared" si="78"/>
        <v>353</v>
      </c>
      <c r="B370" s="134">
        <f t="shared" si="79"/>
        <v>165</v>
      </c>
      <c r="C370" s="77" t="s">
        <v>234</v>
      </c>
      <c r="D370" s="77" t="s">
        <v>393</v>
      </c>
      <c r="E370" s="129">
        <f t="shared" si="76"/>
        <v>721601.24847460375</v>
      </c>
      <c r="F370" s="44">
        <v>0</v>
      </c>
      <c r="G370" s="44">
        <v>0</v>
      </c>
      <c r="H370" s="44">
        <v>709630.28</v>
      </c>
      <c r="I370" s="44">
        <v>0</v>
      </c>
      <c r="J370" s="44">
        <v>0</v>
      </c>
      <c r="K370" s="44"/>
      <c r="L370" s="44"/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/>
      <c r="S370" s="68"/>
      <c r="T370" s="136">
        <v>11970.968474603775</v>
      </c>
      <c r="U370" s="24">
        <f t="shared" si="77"/>
        <v>1</v>
      </c>
    </row>
    <row r="371" spans="1:22" x14ac:dyDescent="0.25">
      <c r="A371" s="135">
        <f t="shared" si="78"/>
        <v>354</v>
      </c>
      <c r="B371" s="134">
        <f t="shared" si="79"/>
        <v>166</v>
      </c>
      <c r="C371" s="77" t="s">
        <v>234</v>
      </c>
      <c r="D371" s="77" t="s">
        <v>394</v>
      </c>
      <c r="E371" s="129">
        <f t="shared" si="76"/>
        <v>21093264.575755343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/>
      <c r="L371" s="44"/>
      <c r="M371" s="44">
        <v>0</v>
      </c>
      <c r="N371" s="44">
        <v>20690674.18</v>
      </c>
      <c r="O371" s="44">
        <v>0</v>
      </c>
      <c r="P371" s="44">
        <v>0</v>
      </c>
      <c r="Q371" s="44">
        <v>0</v>
      </c>
      <c r="R371" s="44"/>
      <c r="S371" s="68"/>
      <c r="T371" s="136">
        <v>402590.39575534349</v>
      </c>
      <c r="U371" s="24">
        <f t="shared" si="77"/>
        <v>1</v>
      </c>
    </row>
    <row r="372" spans="1:22" x14ac:dyDescent="0.25">
      <c r="A372" s="135">
        <f t="shared" si="78"/>
        <v>355</v>
      </c>
      <c r="B372" s="134">
        <f t="shared" si="79"/>
        <v>167</v>
      </c>
      <c r="C372" s="77" t="s">
        <v>234</v>
      </c>
      <c r="D372" s="77" t="s">
        <v>395</v>
      </c>
      <c r="E372" s="129">
        <f t="shared" ref="E372:E452" si="80">SUBTOTAL(9,F372:T372)</f>
        <v>951471.1264880274</v>
      </c>
      <c r="F372" s="44"/>
      <c r="G372" s="44"/>
      <c r="H372" s="44">
        <v>935865.11</v>
      </c>
      <c r="I372" s="44">
        <v>0</v>
      </c>
      <c r="J372" s="44">
        <v>0</v>
      </c>
      <c r="K372" s="44"/>
      <c r="L372" s="44"/>
      <c r="M372" s="44">
        <v>0</v>
      </c>
      <c r="N372" s="44">
        <v>0</v>
      </c>
      <c r="O372" s="44">
        <v>0</v>
      </c>
      <c r="P372" s="44"/>
      <c r="Q372" s="44">
        <v>0</v>
      </c>
      <c r="R372" s="44"/>
      <c r="S372" s="68"/>
      <c r="T372" s="136">
        <v>15606.016488027466</v>
      </c>
      <c r="U372" s="24">
        <f t="shared" ref="U372:U381" si="81">COUNTIF(F372:Q372,"&gt;0")</f>
        <v>1</v>
      </c>
    </row>
    <row r="373" spans="1:22" x14ac:dyDescent="0.25">
      <c r="A373" s="135">
        <f t="shared" si="78"/>
        <v>356</v>
      </c>
      <c r="B373" s="134">
        <f t="shared" si="79"/>
        <v>168</v>
      </c>
      <c r="C373" s="77" t="s">
        <v>234</v>
      </c>
      <c r="D373" s="77" t="s">
        <v>396</v>
      </c>
      <c r="E373" s="129">
        <f t="shared" si="80"/>
        <v>6917016.3592651244</v>
      </c>
      <c r="F373" s="44"/>
      <c r="G373" s="44"/>
      <c r="H373" s="44">
        <v>0</v>
      </c>
      <c r="I373" s="44">
        <v>0</v>
      </c>
      <c r="J373" s="44">
        <v>0</v>
      </c>
      <c r="K373" s="44"/>
      <c r="L373" s="44"/>
      <c r="M373" s="44">
        <v>0</v>
      </c>
      <c r="N373" s="44">
        <v>6651408.9900000002</v>
      </c>
      <c r="O373" s="44">
        <v>0</v>
      </c>
      <c r="P373" s="44"/>
      <c r="Q373" s="44">
        <v>0</v>
      </c>
      <c r="R373" s="44"/>
      <c r="S373" s="68"/>
      <c r="T373" s="136">
        <v>265607.36926512426</v>
      </c>
      <c r="U373" s="24">
        <f t="shared" si="81"/>
        <v>1</v>
      </c>
    </row>
    <row r="374" spans="1:22" x14ac:dyDescent="0.25">
      <c r="A374" s="135">
        <f t="shared" si="78"/>
        <v>357</v>
      </c>
      <c r="B374" s="134">
        <f t="shared" si="79"/>
        <v>169</v>
      </c>
      <c r="C374" s="77" t="s">
        <v>234</v>
      </c>
      <c r="D374" s="77" t="s">
        <v>397</v>
      </c>
      <c r="E374" s="129">
        <f t="shared" si="80"/>
        <v>8854298.596650539</v>
      </c>
      <c r="F374" s="44"/>
      <c r="G374" s="44"/>
      <c r="H374" s="44">
        <v>1419024.89</v>
      </c>
      <c r="I374" s="44">
        <v>0</v>
      </c>
      <c r="J374" s="44">
        <v>0</v>
      </c>
      <c r="K374" s="44"/>
      <c r="L374" s="44"/>
      <c r="M374" s="44">
        <v>0</v>
      </c>
      <c r="N374" s="44">
        <v>7127323.29</v>
      </c>
      <c r="O374" s="44">
        <v>0</v>
      </c>
      <c r="P374" s="44"/>
      <c r="Q374" s="44">
        <v>0</v>
      </c>
      <c r="R374" s="44"/>
      <c r="S374" s="68"/>
      <c r="T374" s="136">
        <v>307950.4166505388</v>
      </c>
      <c r="U374" s="24">
        <f t="shared" si="81"/>
        <v>2</v>
      </c>
    </row>
    <row r="375" spans="1:22" x14ac:dyDescent="0.25">
      <c r="A375" s="135">
        <f t="shared" si="78"/>
        <v>358</v>
      </c>
      <c r="B375" s="134">
        <f t="shared" si="79"/>
        <v>170</v>
      </c>
      <c r="C375" s="77" t="s">
        <v>234</v>
      </c>
      <c r="D375" s="77" t="s">
        <v>398</v>
      </c>
      <c r="E375" s="129">
        <f t="shared" si="80"/>
        <v>1465551.9724496503</v>
      </c>
      <c r="F375" s="44">
        <v>0</v>
      </c>
      <c r="G375" s="44">
        <v>0</v>
      </c>
      <c r="H375" s="44">
        <v>1437331.93</v>
      </c>
      <c r="I375" s="44">
        <v>0</v>
      </c>
      <c r="J375" s="44">
        <v>0</v>
      </c>
      <c r="K375" s="44"/>
      <c r="L375" s="44"/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/>
      <c r="S375" s="68"/>
      <c r="T375" s="136">
        <v>28220.042449650358</v>
      </c>
      <c r="U375" s="24">
        <f t="shared" si="81"/>
        <v>1</v>
      </c>
    </row>
    <row r="376" spans="1:22" x14ac:dyDescent="0.25">
      <c r="A376" s="135">
        <f t="shared" si="78"/>
        <v>359</v>
      </c>
      <c r="B376" s="134">
        <f t="shared" si="79"/>
        <v>171</v>
      </c>
      <c r="C376" s="77" t="s">
        <v>234</v>
      </c>
      <c r="D376" s="77" t="s">
        <v>238</v>
      </c>
      <c r="E376" s="129">
        <f t="shared" si="80"/>
        <v>3991090.0004099631</v>
      </c>
      <c r="F376" s="44">
        <v>0</v>
      </c>
      <c r="G376" s="44">
        <v>0</v>
      </c>
      <c r="H376" s="44">
        <v>3374225.58</v>
      </c>
      <c r="I376" s="44">
        <v>548136.26</v>
      </c>
      <c r="J376" s="44">
        <v>0</v>
      </c>
      <c r="K376" s="44"/>
      <c r="L376" s="44"/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/>
      <c r="S376" s="68"/>
      <c r="T376" s="136">
        <v>68728.160409963122</v>
      </c>
      <c r="U376" s="24">
        <f t="shared" si="81"/>
        <v>2</v>
      </c>
    </row>
    <row r="377" spans="1:22" x14ac:dyDescent="0.25">
      <c r="A377" s="135">
        <f t="shared" si="78"/>
        <v>360</v>
      </c>
      <c r="B377" s="134">
        <f t="shared" si="79"/>
        <v>172</v>
      </c>
      <c r="C377" s="77" t="s">
        <v>234</v>
      </c>
      <c r="D377" s="77" t="s">
        <v>239</v>
      </c>
      <c r="E377" s="129">
        <f t="shared" si="80"/>
        <v>3592563.7737581315</v>
      </c>
      <c r="F377" s="44">
        <v>0</v>
      </c>
      <c r="G377" s="44">
        <v>0</v>
      </c>
      <c r="H377" s="44">
        <v>3521068.21</v>
      </c>
      <c r="I377" s="44">
        <v>0</v>
      </c>
      <c r="J377" s="44">
        <v>0</v>
      </c>
      <c r="K377" s="44"/>
      <c r="L377" s="44"/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/>
      <c r="S377" s="68"/>
      <c r="T377" s="136">
        <v>71495.56375813151</v>
      </c>
      <c r="U377" s="24">
        <f t="shared" si="81"/>
        <v>1</v>
      </c>
    </row>
    <row r="378" spans="1:22" x14ac:dyDescent="0.25">
      <c r="A378" s="135">
        <f t="shared" si="78"/>
        <v>361</v>
      </c>
      <c r="B378" s="134">
        <f t="shared" si="79"/>
        <v>173</v>
      </c>
      <c r="C378" s="77"/>
      <c r="D378" s="77" t="s">
        <v>732</v>
      </c>
      <c r="E378" s="129">
        <f t="shared" si="80"/>
        <v>640276.6</v>
      </c>
      <c r="F378" s="44"/>
      <c r="G378" s="44"/>
      <c r="H378" s="44"/>
      <c r="I378" s="44">
        <v>640276.6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68"/>
      <c r="T378" s="136"/>
      <c r="U378" s="24">
        <f t="shared" si="81"/>
        <v>1</v>
      </c>
    </row>
    <row r="379" spans="1:22" x14ac:dyDescent="0.25">
      <c r="A379" s="135">
        <f t="shared" si="78"/>
        <v>362</v>
      </c>
      <c r="B379" s="134">
        <f t="shared" si="79"/>
        <v>174</v>
      </c>
      <c r="C379" s="77" t="s">
        <v>234</v>
      </c>
      <c r="D379" s="77" t="s">
        <v>399</v>
      </c>
      <c r="E379" s="129">
        <f t="shared" si="80"/>
        <v>3127146.275568313</v>
      </c>
      <c r="F379" s="44">
        <v>0</v>
      </c>
      <c r="G379" s="44">
        <v>0</v>
      </c>
      <c r="H379" s="44">
        <v>3067621.24</v>
      </c>
      <c r="I379" s="44">
        <v>0</v>
      </c>
      <c r="J379" s="44">
        <v>0</v>
      </c>
      <c r="K379" s="44"/>
      <c r="L379" s="44"/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/>
      <c r="S379" s="68"/>
      <c r="T379" s="136">
        <v>59525.035568312909</v>
      </c>
      <c r="U379" s="24">
        <f t="shared" si="81"/>
        <v>1</v>
      </c>
    </row>
    <row r="380" spans="1:22" x14ac:dyDescent="0.25">
      <c r="A380" s="135">
        <f t="shared" si="78"/>
        <v>363</v>
      </c>
      <c r="B380" s="134">
        <f t="shared" si="79"/>
        <v>175</v>
      </c>
      <c r="C380" s="77"/>
      <c r="D380" s="77" t="s">
        <v>730</v>
      </c>
      <c r="E380" s="129">
        <f t="shared" si="80"/>
        <v>1357157.63</v>
      </c>
      <c r="F380" s="44"/>
      <c r="G380" s="44"/>
      <c r="H380" s="44"/>
      <c r="I380" s="44">
        <v>1357157.63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68"/>
      <c r="T380" s="136"/>
      <c r="U380" s="24">
        <f t="shared" si="81"/>
        <v>1</v>
      </c>
    </row>
    <row r="381" spans="1:22" x14ac:dyDescent="0.25">
      <c r="A381" s="135">
        <f t="shared" si="78"/>
        <v>364</v>
      </c>
      <c r="B381" s="134">
        <f t="shared" si="79"/>
        <v>176</v>
      </c>
      <c r="C381" s="77"/>
      <c r="D381" s="77" t="s">
        <v>731</v>
      </c>
      <c r="E381" s="129">
        <f t="shared" si="80"/>
        <v>530132.51</v>
      </c>
      <c r="F381" s="44"/>
      <c r="G381" s="44"/>
      <c r="H381" s="44"/>
      <c r="I381" s="44">
        <v>530132.51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68"/>
      <c r="T381" s="136"/>
      <c r="U381" s="24">
        <f t="shared" si="81"/>
        <v>1</v>
      </c>
    </row>
    <row r="382" spans="1:22" x14ac:dyDescent="0.25">
      <c r="A382" s="135">
        <f t="shared" si="78"/>
        <v>365</v>
      </c>
      <c r="B382" s="134">
        <f t="shared" si="79"/>
        <v>177</v>
      </c>
      <c r="C382" s="77" t="s">
        <v>95</v>
      </c>
      <c r="D382" s="77" t="s">
        <v>96</v>
      </c>
      <c r="E382" s="129">
        <f t="shared" si="80"/>
        <v>3025771.3497837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/>
      <c r="L382" s="44"/>
      <c r="M382" s="44">
        <v>0</v>
      </c>
      <c r="N382" s="44"/>
      <c r="O382" s="44">
        <v>0</v>
      </c>
      <c r="P382" s="44">
        <v>0</v>
      </c>
      <c r="Q382" s="44">
        <v>1825581.15</v>
      </c>
      <c r="R382" s="44"/>
      <c r="S382" s="68"/>
      <c r="T382" s="136">
        <v>1200190.1997837001</v>
      </c>
      <c r="U382" s="24">
        <f t="shared" ref="U382:U452" si="82">COUNTIF(F382:Q382,"&gt;0")</f>
        <v>1</v>
      </c>
      <c r="V382" s="1" t="s">
        <v>711</v>
      </c>
    </row>
    <row r="383" spans="1:22" x14ac:dyDescent="0.25">
      <c r="A383" s="135">
        <f t="shared" si="78"/>
        <v>366</v>
      </c>
      <c r="B383" s="134">
        <f t="shared" si="79"/>
        <v>178</v>
      </c>
      <c r="C383" s="77" t="s">
        <v>95</v>
      </c>
      <c r="D383" s="77" t="s">
        <v>484</v>
      </c>
      <c r="E383" s="129">
        <f t="shared" si="80"/>
        <v>1422083.61</v>
      </c>
      <c r="F383" s="44"/>
      <c r="G383" s="44"/>
      <c r="H383" s="44">
        <v>758098.38</v>
      </c>
      <c r="I383" s="44">
        <v>627792.72</v>
      </c>
      <c r="J383" s="44">
        <v>0</v>
      </c>
      <c r="K383" s="44"/>
      <c r="L383" s="44"/>
      <c r="M383" s="44">
        <v>0</v>
      </c>
      <c r="N383" s="44"/>
      <c r="O383" s="44">
        <v>0</v>
      </c>
      <c r="P383" s="44">
        <v>0</v>
      </c>
      <c r="Q383" s="44">
        <v>0</v>
      </c>
      <c r="R383" s="81"/>
      <c r="S383" s="81"/>
      <c r="T383" s="136">
        <v>36192.51</v>
      </c>
      <c r="U383" s="24">
        <f t="shared" si="82"/>
        <v>2</v>
      </c>
      <c r="V383" s="1" t="s">
        <v>711</v>
      </c>
    </row>
    <row r="384" spans="1:22" x14ac:dyDescent="0.25">
      <c r="A384" s="135">
        <f t="shared" si="78"/>
        <v>367</v>
      </c>
      <c r="B384" s="134">
        <f t="shared" si="79"/>
        <v>179</v>
      </c>
      <c r="C384" s="77" t="s">
        <v>95</v>
      </c>
      <c r="D384" s="77" t="s">
        <v>240</v>
      </c>
      <c r="E384" s="129">
        <f>SUBTOTAL(9,F384:T384)</f>
        <v>17842345.117532</v>
      </c>
      <c r="F384" s="44">
        <v>5015996.87</v>
      </c>
      <c r="G384" s="44">
        <v>2161426.54</v>
      </c>
      <c r="H384" s="44">
        <v>2221327.14</v>
      </c>
      <c r="I384" s="44">
        <v>1568575.74</v>
      </c>
      <c r="J384" s="44"/>
      <c r="K384" s="44"/>
      <c r="L384" s="44"/>
      <c r="M384" s="44"/>
      <c r="N384" s="44"/>
      <c r="O384" s="44">
        <v>0</v>
      </c>
      <c r="P384" s="44"/>
      <c r="Q384" s="44">
        <v>6200769.6399999997</v>
      </c>
      <c r="R384" s="44"/>
      <c r="S384" s="68"/>
      <c r="T384" s="136">
        <v>674249.18753199989</v>
      </c>
      <c r="U384" s="24">
        <f>COUNTIF(F384:Q384,"&gt;0")</f>
        <v>5</v>
      </c>
      <c r="V384" s="1" t="s">
        <v>711</v>
      </c>
    </row>
    <row r="385" spans="1:22" x14ac:dyDescent="0.25">
      <c r="A385" s="135">
        <f t="shared" si="78"/>
        <v>368</v>
      </c>
      <c r="B385" s="134">
        <f t="shared" si="79"/>
        <v>180</v>
      </c>
      <c r="C385" s="77" t="s">
        <v>241</v>
      </c>
      <c r="D385" s="77" t="s">
        <v>400</v>
      </c>
      <c r="E385" s="129">
        <f t="shared" si="80"/>
        <v>27822893.387377333</v>
      </c>
      <c r="F385" s="44"/>
      <c r="G385" s="44"/>
      <c r="H385" s="44">
        <v>3949042.3</v>
      </c>
      <c r="I385" s="44"/>
      <c r="J385" s="44">
        <v>0</v>
      </c>
      <c r="K385" s="44"/>
      <c r="L385" s="44"/>
      <c r="M385" s="44">
        <v>0</v>
      </c>
      <c r="N385" s="44"/>
      <c r="O385" s="44">
        <v>0</v>
      </c>
      <c r="P385" s="44">
        <v>10229706.1</v>
      </c>
      <c r="Q385" s="44">
        <v>12638125.92</v>
      </c>
      <c r="R385" s="44"/>
      <c r="S385" s="44"/>
      <c r="T385" s="136">
        <v>1006019.0673773335</v>
      </c>
      <c r="U385" s="24">
        <f>COUNTIF(F385:Q385,"&gt;0")</f>
        <v>3</v>
      </c>
      <c r="V385" s="1" t="s">
        <v>711</v>
      </c>
    </row>
    <row r="386" spans="1:22" s="93" customFormat="1" x14ac:dyDescent="0.25">
      <c r="A386" s="135">
        <f t="shared" si="78"/>
        <v>369</v>
      </c>
      <c r="B386" s="134">
        <f t="shared" si="79"/>
        <v>181</v>
      </c>
      <c r="C386" s="130" t="s">
        <v>734</v>
      </c>
      <c r="D386" s="77" t="s">
        <v>735</v>
      </c>
      <c r="E386" s="129">
        <f t="shared" si="80"/>
        <v>60130999.272533476</v>
      </c>
      <c r="F386" s="44">
        <v>11786769.199999999</v>
      </c>
      <c r="G386" s="44">
        <v>5983962.0899999999</v>
      </c>
      <c r="H386" s="44">
        <v>6300761.2800000003</v>
      </c>
      <c r="I386" s="44"/>
      <c r="J386" s="44"/>
      <c r="K386" s="44"/>
      <c r="L386" s="44"/>
      <c r="M386" s="44"/>
      <c r="N386" s="44">
        <v>30868652.559999999</v>
      </c>
      <c r="O386" s="44"/>
      <c r="P386" s="44"/>
      <c r="Q386" s="44">
        <v>2170343.35</v>
      </c>
      <c r="R386" s="44">
        <v>1495997.29</v>
      </c>
      <c r="S386" s="44">
        <v>43785.235980799996</v>
      </c>
      <c r="T386" s="136">
        <v>1480728.2665526769</v>
      </c>
      <c r="U386" s="24">
        <f t="shared" si="82"/>
        <v>5</v>
      </c>
      <c r="V386" s="1" t="s">
        <v>711</v>
      </c>
    </row>
    <row r="387" spans="1:22" x14ac:dyDescent="0.25">
      <c r="A387" s="135">
        <f t="shared" si="78"/>
        <v>370</v>
      </c>
      <c r="B387" s="134">
        <f t="shared" si="79"/>
        <v>182</v>
      </c>
      <c r="C387" s="77"/>
      <c r="D387" s="77" t="s">
        <v>672</v>
      </c>
      <c r="E387" s="129">
        <f>SUBTOTAL(9,F387:T387)</f>
        <v>7182720</v>
      </c>
      <c r="F387" s="81"/>
      <c r="G387" s="81"/>
      <c r="H387" s="44"/>
      <c r="I387" s="81"/>
      <c r="J387" s="44"/>
      <c r="K387" s="44"/>
      <c r="L387" s="44"/>
      <c r="M387" s="44">
        <v>6868490.3575085625</v>
      </c>
      <c r="N387" s="44"/>
      <c r="O387" s="44"/>
      <c r="P387" s="44"/>
      <c r="Q387" s="44"/>
      <c r="R387" s="44">
        <v>140029.66941696001</v>
      </c>
      <c r="S387" s="68">
        <v>24000</v>
      </c>
      <c r="T387" s="136">
        <v>150199.97307447705</v>
      </c>
      <c r="U387" s="24">
        <f>COUNTIF(F387:Q387,"&gt;0")</f>
        <v>1</v>
      </c>
      <c r="V387" s="1" t="s">
        <v>710</v>
      </c>
    </row>
    <row r="388" spans="1:22" x14ac:dyDescent="0.25">
      <c r="A388" s="135">
        <f t="shared" si="78"/>
        <v>371</v>
      </c>
      <c r="B388" s="134">
        <f t="shared" si="79"/>
        <v>183</v>
      </c>
      <c r="C388" s="77" t="s">
        <v>47</v>
      </c>
      <c r="D388" s="77" t="s">
        <v>404</v>
      </c>
      <c r="E388" s="129">
        <f t="shared" si="80"/>
        <v>1761916.0853639999</v>
      </c>
      <c r="F388" s="44">
        <v>1651254.39</v>
      </c>
      <c r="G388" s="44"/>
      <c r="H388" s="44"/>
      <c r="I388" s="44"/>
      <c r="J388" s="44">
        <v>0</v>
      </c>
      <c r="K388" s="44"/>
      <c r="L388" s="44"/>
      <c r="M388" s="44">
        <v>0</v>
      </c>
      <c r="N388" s="44"/>
      <c r="O388" s="44">
        <v>0</v>
      </c>
      <c r="P388" s="44"/>
      <c r="Q388" s="44"/>
      <c r="R388" s="44"/>
      <c r="S388" s="68"/>
      <c r="T388" s="136">
        <v>110661.69536400001</v>
      </c>
      <c r="U388" s="24">
        <f t="shared" si="82"/>
        <v>1</v>
      </c>
      <c r="V388" s="1" t="s">
        <v>711</v>
      </c>
    </row>
    <row r="389" spans="1:22" x14ac:dyDescent="0.25">
      <c r="A389" s="135">
        <f t="shared" si="78"/>
        <v>372</v>
      </c>
      <c r="B389" s="134">
        <f t="shared" si="79"/>
        <v>184</v>
      </c>
      <c r="C389" s="77" t="s">
        <v>47</v>
      </c>
      <c r="D389" s="77" t="s">
        <v>408</v>
      </c>
      <c r="E389" s="129">
        <f t="shared" si="80"/>
        <v>2811074.8886333201</v>
      </c>
      <c r="F389" s="44">
        <v>1454801.65</v>
      </c>
      <c r="G389" s="44">
        <v>450967.71</v>
      </c>
      <c r="H389" s="44"/>
      <c r="I389" s="44">
        <v>341058.14</v>
      </c>
      <c r="J389" s="44">
        <v>0</v>
      </c>
      <c r="K389" s="44"/>
      <c r="L389" s="44"/>
      <c r="M389" s="44">
        <v>0</v>
      </c>
      <c r="N389" s="44"/>
      <c r="O389" s="44">
        <v>0</v>
      </c>
      <c r="P389" s="44"/>
      <c r="Q389" s="44">
        <v>283215.94</v>
      </c>
      <c r="R389" s="44"/>
      <c r="S389" s="68"/>
      <c r="T389" s="136">
        <v>281031.44863332005</v>
      </c>
      <c r="U389" s="24">
        <f>COUNTIF(F389:Q389,"&gt;0")</f>
        <v>4</v>
      </c>
      <c r="V389" s="1" t="s">
        <v>711</v>
      </c>
    </row>
    <row r="390" spans="1:22" x14ac:dyDescent="0.25">
      <c r="A390" s="135">
        <f t="shared" si="78"/>
        <v>373</v>
      </c>
      <c r="B390" s="134">
        <f t="shared" si="79"/>
        <v>185</v>
      </c>
      <c r="C390" s="77" t="s">
        <v>47</v>
      </c>
      <c r="D390" s="77" t="s">
        <v>410</v>
      </c>
      <c r="E390" s="129">
        <f t="shared" si="80"/>
        <v>1066397.1808183601</v>
      </c>
      <c r="F390" s="44"/>
      <c r="G390" s="44"/>
      <c r="H390" s="44"/>
      <c r="I390" s="44"/>
      <c r="J390" s="44">
        <v>0</v>
      </c>
      <c r="K390" s="44"/>
      <c r="L390" s="44"/>
      <c r="M390" s="44">
        <v>0</v>
      </c>
      <c r="N390" s="44">
        <v>393320.57</v>
      </c>
      <c r="O390" s="44"/>
      <c r="P390" s="44"/>
      <c r="Q390" s="44">
        <v>406759.99</v>
      </c>
      <c r="R390" s="44"/>
      <c r="S390" s="68"/>
      <c r="T390" s="136">
        <v>266316.62081835995</v>
      </c>
      <c r="U390" s="24">
        <f>COUNTIF(F390:Q390,"&gt;0")</f>
        <v>2</v>
      </c>
      <c r="V390" s="1" t="s">
        <v>711</v>
      </c>
    </row>
    <row r="391" spans="1:22" x14ac:dyDescent="0.25">
      <c r="A391" s="135">
        <f t="shared" si="78"/>
        <v>374</v>
      </c>
      <c r="B391" s="134">
        <f t="shared" si="79"/>
        <v>186</v>
      </c>
      <c r="C391" s="77" t="s">
        <v>47</v>
      </c>
      <c r="D391" s="77" t="s">
        <v>411</v>
      </c>
      <c r="E391" s="129">
        <f t="shared" si="80"/>
        <v>1974866.4282480001</v>
      </c>
      <c r="F391" s="44"/>
      <c r="G391" s="44"/>
      <c r="H391" s="44"/>
      <c r="I391" s="44"/>
      <c r="J391" s="44">
        <v>0</v>
      </c>
      <c r="K391" s="44"/>
      <c r="L391" s="44"/>
      <c r="M391" s="44">
        <v>0</v>
      </c>
      <c r="N391" s="44">
        <v>227029.93</v>
      </c>
      <c r="O391" s="44">
        <v>0</v>
      </c>
      <c r="P391" s="44"/>
      <c r="Q391" s="44">
        <v>1428913.34</v>
      </c>
      <c r="R391" s="44"/>
      <c r="S391" s="68"/>
      <c r="T391" s="136">
        <v>318923.15824800002</v>
      </c>
      <c r="U391" s="24">
        <f>COUNTIF(F391:Q391,"&gt;0")</f>
        <v>2</v>
      </c>
      <c r="V391" s="1" t="s">
        <v>711</v>
      </c>
    </row>
    <row r="392" spans="1:22" x14ac:dyDescent="0.25">
      <c r="A392" s="135">
        <f t="shared" si="78"/>
        <v>375</v>
      </c>
      <c r="B392" s="134">
        <f t="shared" si="79"/>
        <v>187</v>
      </c>
      <c r="C392" s="77" t="s">
        <v>50</v>
      </c>
      <c r="D392" s="77" t="s">
        <v>413</v>
      </c>
      <c r="E392" s="129">
        <f t="shared" si="80"/>
        <v>1324762.0579570399</v>
      </c>
      <c r="F392" s="44"/>
      <c r="G392" s="44"/>
      <c r="H392" s="44">
        <v>436138.45</v>
      </c>
      <c r="I392" s="44">
        <v>808134.48</v>
      </c>
      <c r="J392" s="44">
        <v>0</v>
      </c>
      <c r="K392" s="44"/>
      <c r="L392" s="44"/>
      <c r="M392" s="44">
        <v>0</v>
      </c>
      <c r="N392" s="44"/>
      <c r="O392" s="44">
        <v>0</v>
      </c>
      <c r="P392" s="44"/>
      <c r="Q392" s="44"/>
      <c r="R392" s="44"/>
      <c r="S392" s="68"/>
      <c r="T392" s="136">
        <v>80489.127957040007</v>
      </c>
      <c r="U392" s="24">
        <f t="shared" si="82"/>
        <v>2</v>
      </c>
      <c r="V392" s="1" t="s">
        <v>711</v>
      </c>
    </row>
    <row r="393" spans="1:22" x14ac:dyDescent="0.25">
      <c r="A393" s="135">
        <f t="shared" si="78"/>
        <v>376</v>
      </c>
      <c r="B393" s="134">
        <f t="shared" si="79"/>
        <v>188</v>
      </c>
      <c r="C393" s="77" t="s">
        <v>50</v>
      </c>
      <c r="D393" s="77" t="s">
        <v>246</v>
      </c>
      <c r="E393" s="129">
        <f t="shared" si="80"/>
        <v>5574824.3399999999</v>
      </c>
      <c r="F393" s="44">
        <v>0</v>
      </c>
      <c r="G393" s="44"/>
      <c r="H393" s="44">
        <v>5455523.0991239995</v>
      </c>
      <c r="I393" s="44">
        <v>0</v>
      </c>
      <c r="J393" s="44">
        <v>0</v>
      </c>
      <c r="K393" s="44"/>
      <c r="L393" s="44"/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/>
      <c r="S393" s="68"/>
      <c r="T393" s="136">
        <v>119301.240876</v>
      </c>
      <c r="U393" s="24">
        <f t="shared" si="82"/>
        <v>1</v>
      </c>
    </row>
    <row r="394" spans="1:22" x14ac:dyDescent="0.25">
      <c r="A394" s="135">
        <f t="shared" si="78"/>
        <v>377</v>
      </c>
      <c r="B394" s="134">
        <f t="shared" si="79"/>
        <v>189</v>
      </c>
      <c r="C394" s="77" t="s">
        <v>50</v>
      </c>
      <c r="D394" s="77" t="s">
        <v>491</v>
      </c>
      <c r="E394" s="129">
        <f t="shared" si="80"/>
        <v>14592894.3048</v>
      </c>
      <c r="F394" s="44">
        <v>4695224.6562059997</v>
      </c>
      <c r="G394" s="44">
        <v>3264310.7159879999</v>
      </c>
      <c r="H394" s="44">
        <v>1988887.4398679999</v>
      </c>
      <c r="I394" s="44">
        <v>1830087.6300839998</v>
      </c>
      <c r="J394" s="44">
        <v>0</v>
      </c>
      <c r="K394" s="44"/>
      <c r="L394" s="44">
        <v>209268.31068528001</v>
      </c>
      <c r="M394" s="44">
        <v>0</v>
      </c>
      <c r="N394" s="44">
        <v>2292827.6138460003</v>
      </c>
      <c r="O394" s="44">
        <v>0</v>
      </c>
      <c r="P394" s="44">
        <v>0</v>
      </c>
      <c r="Q394" s="44">
        <v>0</v>
      </c>
      <c r="R394" s="44"/>
      <c r="S394" s="68"/>
      <c r="T394" s="136">
        <v>312287.93812271999</v>
      </c>
      <c r="U394" s="24">
        <f t="shared" si="82"/>
        <v>6</v>
      </c>
    </row>
    <row r="395" spans="1:22" x14ac:dyDescent="0.25">
      <c r="A395" s="135">
        <f t="shared" si="78"/>
        <v>378</v>
      </c>
      <c r="B395" s="134">
        <f t="shared" si="79"/>
        <v>190</v>
      </c>
      <c r="C395" s="77" t="s">
        <v>50</v>
      </c>
      <c r="D395" s="77" t="s">
        <v>493</v>
      </c>
      <c r="E395" s="129">
        <f t="shared" si="80"/>
        <v>2471396.1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/>
      <c r="L395" s="44"/>
      <c r="M395" s="44">
        <v>0</v>
      </c>
      <c r="N395" s="44">
        <v>2418508.22346</v>
      </c>
      <c r="O395" s="44">
        <v>0</v>
      </c>
      <c r="P395" s="44">
        <v>0</v>
      </c>
      <c r="Q395" s="44">
        <v>0</v>
      </c>
      <c r="R395" s="44"/>
      <c r="S395" s="68"/>
      <c r="T395" s="136">
        <v>52887.876539999997</v>
      </c>
      <c r="U395" s="24">
        <f t="shared" si="82"/>
        <v>1</v>
      </c>
    </row>
    <row r="396" spans="1:22" x14ac:dyDescent="0.25">
      <c r="A396" s="135">
        <f t="shared" si="78"/>
        <v>379</v>
      </c>
      <c r="B396" s="134">
        <f t="shared" si="79"/>
        <v>191</v>
      </c>
      <c r="C396" s="77" t="s">
        <v>50</v>
      </c>
      <c r="D396" s="77" t="s">
        <v>414</v>
      </c>
      <c r="E396" s="129">
        <f t="shared" si="80"/>
        <v>23521550.178977139</v>
      </c>
      <c r="F396" s="44">
        <v>13963940.488183141</v>
      </c>
      <c r="G396" s="81"/>
      <c r="H396" s="81"/>
      <c r="I396" s="44">
        <v>6043467.3980940003</v>
      </c>
      <c r="J396" s="44">
        <v>0</v>
      </c>
      <c r="K396" s="44"/>
      <c r="L396" s="44">
        <v>671777.63177280012</v>
      </c>
      <c r="M396" s="44">
        <v>0</v>
      </c>
      <c r="N396" s="81"/>
      <c r="O396" s="44">
        <v>0</v>
      </c>
      <c r="P396" s="44"/>
      <c r="Q396" s="44"/>
      <c r="R396" s="44"/>
      <c r="S396" s="68"/>
      <c r="T396" s="136">
        <v>2842364.6609271998</v>
      </c>
      <c r="U396" s="24">
        <f t="shared" si="82"/>
        <v>3</v>
      </c>
    </row>
    <row r="397" spans="1:22" x14ac:dyDescent="0.25">
      <c r="A397" s="135">
        <f t="shared" si="78"/>
        <v>380</v>
      </c>
      <c r="B397" s="134">
        <f t="shared" si="79"/>
        <v>192</v>
      </c>
      <c r="C397" s="77" t="s">
        <v>50</v>
      </c>
      <c r="D397" s="77" t="s">
        <v>494</v>
      </c>
      <c r="E397" s="129">
        <f t="shared" si="80"/>
        <v>2922653.7443820001</v>
      </c>
      <c r="F397" s="44"/>
      <c r="G397" s="44"/>
      <c r="H397" s="44">
        <v>2862800.1293219998</v>
      </c>
      <c r="I397" s="44"/>
      <c r="J397" s="44">
        <v>0</v>
      </c>
      <c r="K397" s="44"/>
      <c r="L397" s="44"/>
      <c r="M397" s="44"/>
      <c r="N397" s="44"/>
      <c r="O397" s="44">
        <v>0</v>
      </c>
      <c r="P397" s="44">
        <v>0</v>
      </c>
      <c r="Q397" s="44">
        <v>0</v>
      </c>
      <c r="R397" s="44"/>
      <c r="S397" s="68"/>
      <c r="T397" s="136">
        <v>59853.615060000004</v>
      </c>
      <c r="U397" s="24">
        <f t="shared" si="82"/>
        <v>1</v>
      </c>
    </row>
    <row r="398" spans="1:22" x14ac:dyDescent="0.25">
      <c r="A398" s="135">
        <f t="shared" si="78"/>
        <v>381</v>
      </c>
      <c r="B398" s="134">
        <f t="shared" si="79"/>
        <v>193</v>
      </c>
      <c r="C398" s="77" t="s">
        <v>50</v>
      </c>
      <c r="D398" s="77" t="s">
        <v>495</v>
      </c>
      <c r="E398" s="129">
        <f t="shared" si="80"/>
        <v>2330029.3230000003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/>
      <c r="L398" s="44"/>
      <c r="M398" s="44">
        <v>0</v>
      </c>
      <c r="N398" s="44">
        <v>2280166.6954878005</v>
      </c>
      <c r="O398" s="44">
        <v>0</v>
      </c>
      <c r="P398" s="44">
        <v>0</v>
      </c>
      <c r="Q398" s="44">
        <v>0</v>
      </c>
      <c r="R398" s="44"/>
      <c r="S398" s="68"/>
      <c r="T398" s="136">
        <v>49862.627512200008</v>
      </c>
      <c r="U398" s="24">
        <f t="shared" si="82"/>
        <v>1</v>
      </c>
    </row>
    <row r="399" spans="1:22" x14ac:dyDescent="0.25">
      <c r="A399" s="135">
        <f t="shared" ref="A399:A462" si="83">+A398+1</f>
        <v>382</v>
      </c>
      <c r="B399" s="134">
        <f t="shared" ref="B399:B462" si="84">+B398+1</f>
        <v>194</v>
      </c>
      <c r="C399" s="77" t="s">
        <v>50</v>
      </c>
      <c r="D399" s="77" t="s">
        <v>496</v>
      </c>
      <c r="E399" s="129">
        <f t="shared" si="80"/>
        <v>1941365.751134</v>
      </c>
      <c r="F399" s="44"/>
      <c r="G399" s="44"/>
      <c r="H399" s="44">
        <v>1904080.8091200001</v>
      </c>
      <c r="I399" s="44"/>
      <c r="J399" s="44">
        <v>0</v>
      </c>
      <c r="K399" s="44"/>
      <c r="L399" s="44"/>
      <c r="M399" s="44"/>
      <c r="N399" s="44"/>
      <c r="O399" s="44">
        <v>0</v>
      </c>
      <c r="P399" s="44">
        <v>0</v>
      </c>
      <c r="Q399" s="44">
        <v>0</v>
      </c>
      <c r="R399" s="44"/>
      <c r="S399" s="68"/>
      <c r="T399" s="136">
        <v>37284.942014</v>
      </c>
      <c r="U399" s="24">
        <f t="shared" si="82"/>
        <v>1</v>
      </c>
    </row>
    <row r="400" spans="1:22" x14ac:dyDescent="0.25">
      <c r="A400" s="135">
        <f t="shared" si="83"/>
        <v>383</v>
      </c>
      <c r="B400" s="134">
        <f t="shared" si="84"/>
        <v>195</v>
      </c>
      <c r="C400" s="77" t="s">
        <v>50</v>
      </c>
      <c r="D400" s="77" t="s">
        <v>497</v>
      </c>
      <c r="E400" s="129">
        <f t="shared" si="80"/>
        <v>1477282.3724399998</v>
      </c>
      <c r="F400" s="44"/>
      <c r="G400" s="44"/>
      <c r="H400" s="44">
        <v>1448805.3415079999</v>
      </c>
      <c r="I400" s="44"/>
      <c r="J400" s="44">
        <v>0</v>
      </c>
      <c r="K400" s="44"/>
      <c r="L400" s="44"/>
      <c r="M400" s="44"/>
      <c r="N400" s="44"/>
      <c r="O400" s="44">
        <v>0</v>
      </c>
      <c r="P400" s="44">
        <v>0</v>
      </c>
      <c r="Q400" s="44">
        <v>0</v>
      </c>
      <c r="R400" s="44"/>
      <c r="S400" s="68"/>
      <c r="T400" s="136">
        <v>28477.030932000001</v>
      </c>
      <c r="U400" s="24">
        <f t="shared" si="82"/>
        <v>1</v>
      </c>
    </row>
    <row r="401" spans="1:21" x14ac:dyDescent="0.25">
      <c r="A401" s="135">
        <f t="shared" si="83"/>
        <v>384</v>
      </c>
      <c r="B401" s="134">
        <f t="shared" si="84"/>
        <v>196</v>
      </c>
      <c r="C401" s="77" t="s">
        <v>50</v>
      </c>
      <c r="D401" s="77" t="s">
        <v>498</v>
      </c>
      <c r="E401" s="129">
        <f t="shared" si="80"/>
        <v>1889068.518868</v>
      </c>
      <c r="F401" s="44"/>
      <c r="G401" s="44"/>
      <c r="H401" s="44">
        <v>1850698.86414</v>
      </c>
      <c r="I401" s="44"/>
      <c r="J401" s="44">
        <v>0</v>
      </c>
      <c r="K401" s="44"/>
      <c r="L401" s="44"/>
      <c r="M401" s="44"/>
      <c r="N401" s="44"/>
      <c r="O401" s="44">
        <v>0</v>
      </c>
      <c r="P401" s="44">
        <v>0</v>
      </c>
      <c r="Q401" s="44">
        <v>0</v>
      </c>
      <c r="R401" s="44"/>
      <c r="S401" s="68"/>
      <c r="T401" s="136">
        <v>38369.654728000001</v>
      </c>
      <c r="U401" s="24">
        <f t="shared" si="82"/>
        <v>1</v>
      </c>
    </row>
    <row r="402" spans="1:21" x14ac:dyDescent="0.25">
      <c r="A402" s="135">
        <f t="shared" si="83"/>
        <v>385</v>
      </c>
      <c r="B402" s="134">
        <f t="shared" si="84"/>
        <v>197</v>
      </c>
      <c r="C402" s="77" t="s">
        <v>50</v>
      </c>
      <c r="D402" s="77" t="s">
        <v>499</v>
      </c>
      <c r="E402" s="129">
        <f t="shared" si="80"/>
        <v>1536021.1428999999</v>
      </c>
      <c r="F402" s="44"/>
      <c r="G402" s="44"/>
      <c r="H402" s="44">
        <v>1504229.3604659999</v>
      </c>
      <c r="I402" s="44"/>
      <c r="J402" s="44">
        <v>0</v>
      </c>
      <c r="K402" s="44"/>
      <c r="L402" s="44"/>
      <c r="M402" s="44"/>
      <c r="N402" s="44"/>
      <c r="O402" s="44">
        <v>0</v>
      </c>
      <c r="P402" s="44">
        <v>0</v>
      </c>
      <c r="Q402" s="44">
        <v>0</v>
      </c>
      <c r="R402" s="44"/>
      <c r="S402" s="68"/>
      <c r="T402" s="136">
        <v>31791.782434000001</v>
      </c>
      <c r="U402" s="24">
        <f t="shared" si="82"/>
        <v>1</v>
      </c>
    </row>
    <row r="403" spans="1:21" x14ac:dyDescent="0.25">
      <c r="A403" s="135">
        <f t="shared" si="83"/>
        <v>386</v>
      </c>
      <c r="B403" s="134">
        <f t="shared" si="84"/>
        <v>198</v>
      </c>
      <c r="C403" s="77" t="s">
        <v>50</v>
      </c>
      <c r="D403" s="77" t="s">
        <v>500</v>
      </c>
      <c r="E403" s="129">
        <f t="shared" si="80"/>
        <v>1344004.72</v>
      </c>
      <c r="F403" s="44"/>
      <c r="G403" s="44"/>
      <c r="H403" s="44">
        <v>1315243.018992</v>
      </c>
      <c r="I403" s="44"/>
      <c r="J403" s="44">
        <v>0</v>
      </c>
      <c r="K403" s="44"/>
      <c r="L403" s="44"/>
      <c r="M403" s="44"/>
      <c r="N403" s="44"/>
      <c r="O403" s="44">
        <v>0</v>
      </c>
      <c r="P403" s="44">
        <v>0</v>
      </c>
      <c r="Q403" s="44">
        <v>0</v>
      </c>
      <c r="R403" s="44"/>
      <c r="S403" s="68"/>
      <c r="T403" s="136">
        <v>28761.701008</v>
      </c>
      <c r="U403" s="24">
        <f t="shared" si="82"/>
        <v>1</v>
      </c>
    </row>
    <row r="404" spans="1:21" x14ac:dyDescent="0.25">
      <c r="A404" s="135">
        <f t="shared" si="83"/>
        <v>387</v>
      </c>
      <c r="B404" s="134">
        <f t="shared" si="84"/>
        <v>199</v>
      </c>
      <c r="C404" s="77" t="s">
        <v>50</v>
      </c>
      <c r="D404" s="77" t="s">
        <v>501</v>
      </c>
      <c r="E404" s="129">
        <f t="shared" si="80"/>
        <v>1553171.629552</v>
      </c>
      <c r="F404" s="44"/>
      <c r="G404" s="44"/>
      <c r="H404" s="44">
        <v>1521963.5496660001</v>
      </c>
      <c r="I404" s="44"/>
      <c r="J404" s="44">
        <v>0</v>
      </c>
      <c r="K404" s="44"/>
      <c r="L404" s="44"/>
      <c r="M404" s="44"/>
      <c r="N404" s="44"/>
      <c r="O404" s="44">
        <v>0</v>
      </c>
      <c r="P404" s="44">
        <v>0</v>
      </c>
      <c r="Q404" s="44">
        <v>0</v>
      </c>
      <c r="R404" s="44"/>
      <c r="S404" s="68"/>
      <c r="T404" s="136">
        <v>31208.079886000003</v>
      </c>
      <c r="U404" s="24">
        <f t="shared" si="82"/>
        <v>1</v>
      </c>
    </row>
    <row r="405" spans="1:21" x14ac:dyDescent="0.25">
      <c r="A405" s="135">
        <f t="shared" si="83"/>
        <v>388</v>
      </c>
      <c r="B405" s="134">
        <f t="shared" si="84"/>
        <v>200</v>
      </c>
      <c r="C405" s="77" t="s">
        <v>50</v>
      </c>
      <c r="D405" s="77" t="s">
        <v>502</v>
      </c>
      <c r="E405" s="129">
        <f t="shared" si="80"/>
        <v>1527666.804064</v>
      </c>
      <c r="F405" s="44"/>
      <c r="G405" s="44"/>
      <c r="H405" s="44">
        <v>1495590.896184</v>
      </c>
      <c r="I405" s="44"/>
      <c r="J405" s="44">
        <v>0</v>
      </c>
      <c r="K405" s="44"/>
      <c r="L405" s="44"/>
      <c r="M405" s="44"/>
      <c r="N405" s="44"/>
      <c r="O405" s="44">
        <v>0</v>
      </c>
      <c r="P405" s="44">
        <v>0</v>
      </c>
      <c r="Q405" s="44">
        <v>0</v>
      </c>
      <c r="R405" s="44"/>
      <c r="S405" s="68"/>
      <c r="T405" s="136">
        <v>32075.907880000002</v>
      </c>
      <c r="U405" s="24">
        <f t="shared" si="82"/>
        <v>1</v>
      </c>
    </row>
    <row r="406" spans="1:21" x14ac:dyDescent="0.25">
      <c r="A406" s="135">
        <f t="shared" si="83"/>
        <v>389</v>
      </c>
      <c r="B406" s="134">
        <f t="shared" si="84"/>
        <v>201</v>
      </c>
      <c r="C406" s="77" t="s">
        <v>50</v>
      </c>
      <c r="D406" s="77" t="s">
        <v>504</v>
      </c>
      <c r="E406" s="129">
        <f t="shared" si="80"/>
        <v>13671731.356000001</v>
      </c>
      <c r="F406" s="44">
        <v>4011119.128548</v>
      </c>
      <c r="G406" s="44"/>
      <c r="H406" s="44">
        <v>1562537.0591880002</v>
      </c>
      <c r="I406" s="44"/>
      <c r="J406" s="44">
        <v>0</v>
      </c>
      <c r="K406" s="44"/>
      <c r="L406" s="44">
        <v>122036.02529159999</v>
      </c>
      <c r="M406" s="44">
        <v>0</v>
      </c>
      <c r="N406" s="44">
        <v>7683464.0919540003</v>
      </c>
      <c r="O406" s="44">
        <v>0</v>
      </c>
      <c r="P406" s="44">
        <v>0</v>
      </c>
      <c r="Q406" s="44">
        <v>0</v>
      </c>
      <c r="R406" s="44"/>
      <c r="S406" s="68"/>
      <c r="T406" s="136">
        <v>292575.05101840006</v>
      </c>
      <c r="U406" s="24">
        <f t="shared" si="82"/>
        <v>4</v>
      </c>
    </row>
    <row r="407" spans="1:21" x14ac:dyDescent="0.25">
      <c r="A407" s="135">
        <f t="shared" si="83"/>
        <v>390</v>
      </c>
      <c r="B407" s="134">
        <f t="shared" si="84"/>
        <v>202</v>
      </c>
      <c r="C407" s="77" t="s">
        <v>50</v>
      </c>
      <c r="D407" s="77" t="s">
        <v>505</v>
      </c>
      <c r="E407" s="129">
        <f t="shared" si="80"/>
        <v>24002564.1494</v>
      </c>
      <c r="F407" s="44">
        <v>6351405.7500179997</v>
      </c>
      <c r="G407" s="44">
        <v>2342376.7642799998</v>
      </c>
      <c r="H407" s="44">
        <v>2475810.0486000003</v>
      </c>
      <c r="I407" s="44"/>
      <c r="J407" s="44">
        <v>0</v>
      </c>
      <c r="K407" s="44"/>
      <c r="L407" s="44">
        <v>192437.14870883999</v>
      </c>
      <c r="M407" s="44">
        <v>0</v>
      </c>
      <c r="N407" s="44">
        <v>12126879.564995999</v>
      </c>
      <c r="O407" s="44">
        <v>0</v>
      </c>
      <c r="P407" s="44">
        <v>0</v>
      </c>
      <c r="Q407" s="44">
        <v>0</v>
      </c>
      <c r="R407" s="44"/>
      <c r="S407" s="68"/>
      <c r="T407" s="136">
        <v>513654.87279715994</v>
      </c>
      <c r="U407" s="24">
        <f t="shared" si="82"/>
        <v>5</v>
      </c>
    </row>
    <row r="408" spans="1:21" x14ac:dyDescent="0.25">
      <c r="A408" s="135">
        <f t="shared" si="83"/>
        <v>391</v>
      </c>
      <c r="B408" s="134">
        <f t="shared" si="84"/>
        <v>203</v>
      </c>
      <c r="C408" s="77" t="s">
        <v>50</v>
      </c>
      <c r="D408" s="77" t="s">
        <v>506</v>
      </c>
      <c r="E408" s="129">
        <f t="shared" si="80"/>
        <v>2465306.1624440001</v>
      </c>
      <c r="F408" s="44"/>
      <c r="G408" s="44"/>
      <c r="H408" s="44">
        <v>2416203.8455380001</v>
      </c>
      <c r="I408" s="44"/>
      <c r="J408" s="44">
        <v>0</v>
      </c>
      <c r="K408" s="44"/>
      <c r="L408" s="44"/>
      <c r="M408" s="44"/>
      <c r="N408" s="44"/>
      <c r="O408" s="44">
        <v>0</v>
      </c>
      <c r="P408" s="44">
        <v>0</v>
      </c>
      <c r="Q408" s="44">
        <v>0</v>
      </c>
      <c r="R408" s="44"/>
      <c r="S408" s="68"/>
      <c r="T408" s="136">
        <v>49102.316905999993</v>
      </c>
      <c r="U408" s="24">
        <f t="shared" si="82"/>
        <v>1</v>
      </c>
    </row>
    <row r="409" spans="1:21" x14ac:dyDescent="0.25">
      <c r="A409" s="135">
        <f t="shared" si="83"/>
        <v>392</v>
      </c>
      <c r="B409" s="134">
        <f t="shared" si="84"/>
        <v>204</v>
      </c>
      <c r="C409" s="77" t="s">
        <v>50</v>
      </c>
      <c r="D409" s="77" t="s">
        <v>507</v>
      </c>
      <c r="E409" s="129">
        <f t="shared" si="80"/>
        <v>1582950.1937679998</v>
      </c>
      <c r="F409" s="44"/>
      <c r="G409" s="44"/>
      <c r="H409" s="44">
        <v>1551107.3145539998</v>
      </c>
      <c r="I409" s="44"/>
      <c r="J409" s="44">
        <v>0</v>
      </c>
      <c r="K409" s="44"/>
      <c r="L409" s="44"/>
      <c r="M409" s="44"/>
      <c r="N409" s="44"/>
      <c r="O409" s="44">
        <v>0</v>
      </c>
      <c r="P409" s="44">
        <v>0</v>
      </c>
      <c r="Q409" s="44">
        <v>0</v>
      </c>
      <c r="R409" s="44"/>
      <c r="S409" s="68"/>
      <c r="T409" s="136">
        <v>31842.879214000004</v>
      </c>
      <c r="U409" s="24">
        <f t="shared" si="82"/>
        <v>1</v>
      </c>
    </row>
    <row r="410" spans="1:21" x14ac:dyDescent="0.25">
      <c r="A410" s="135">
        <f t="shared" si="83"/>
        <v>393</v>
      </c>
      <c r="B410" s="134">
        <f t="shared" si="84"/>
        <v>205</v>
      </c>
      <c r="C410" s="77" t="s">
        <v>50</v>
      </c>
      <c r="D410" s="77" t="s">
        <v>508</v>
      </c>
      <c r="E410" s="129">
        <f t="shared" si="80"/>
        <v>8465154.9948999994</v>
      </c>
      <c r="F410" s="44"/>
      <c r="G410" s="44"/>
      <c r="H410" s="44">
        <v>1401560.9593595399</v>
      </c>
      <c r="I410" s="44"/>
      <c r="J410" s="44"/>
      <c r="K410" s="44"/>
      <c r="L410" s="44"/>
      <c r="M410" s="44">
        <v>0</v>
      </c>
      <c r="N410" s="44">
        <v>6882439.7186495997</v>
      </c>
      <c r="O410" s="44">
        <v>0</v>
      </c>
      <c r="P410" s="44">
        <v>0</v>
      </c>
      <c r="Q410" s="44">
        <v>0</v>
      </c>
      <c r="R410" s="44"/>
      <c r="S410" s="68"/>
      <c r="T410" s="136">
        <v>181154.31689086006</v>
      </c>
      <c r="U410" s="24">
        <f t="shared" si="82"/>
        <v>2</v>
      </c>
    </row>
    <row r="411" spans="1:21" x14ac:dyDescent="0.25">
      <c r="A411" s="135">
        <f t="shared" si="83"/>
        <v>394</v>
      </c>
      <c r="B411" s="134">
        <f t="shared" si="84"/>
        <v>206</v>
      </c>
      <c r="C411" s="77" t="s">
        <v>50</v>
      </c>
      <c r="D411" s="77" t="s">
        <v>509</v>
      </c>
      <c r="E411" s="129">
        <f t="shared" si="80"/>
        <v>8463831.2803000007</v>
      </c>
      <c r="F411" s="44"/>
      <c r="G411" s="44"/>
      <c r="H411" s="44">
        <v>1401341.7924949802</v>
      </c>
      <c r="I411" s="44"/>
      <c r="J411" s="44"/>
      <c r="K411" s="44"/>
      <c r="L411" s="44"/>
      <c r="M411" s="44">
        <v>0</v>
      </c>
      <c r="N411" s="44">
        <v>6881363.4984066002</v>
      </c>
      <c r="O411" s="44">
        <v>0</v>
      </c>
      <c r="P411" s="44">
        <v>0</v>
      </c>
      <c r="Q411" s="44">
        <v>0</v>
      </c>
      <c r="R411" s="44"/>
      <c r="S411" s="68"/>
      <c r="T411" s="136">
        <v>181125.98939842003</v>
      </c>
      <c r="U411" s="24">
        <f t="shared" si="82"/>
        <v>2</v>
      </c>
    </row>
    <row r="412" spans="1:21" x14ac:dyDescent="0.25">
      <c r="A412" s="135">
        <f t="shared" si="83"/>
        <v>395</v>
      </c>
      <c r="B412" s="134">
        <f t="shared" si="84"/>
        <v>207</v>
      </c>
      <c r="C412" s="77" t="s">
        <v>50</v>
      </c>
      <c r="D412" s="77" t="s">
        <v>510</v>
      </c>
      <c r="E412" s="129">
        <f t="shared" si="80"/>
        <v>1600414.445874</v>
      </c>
      <c r="F412" s="44"/>
      <c r="G412" s="44"/>
      <c r="H412" s="44">
        <v>1568314.713588</v>
      </c>
      <c r="I412" s="44"/>
      <c r="J412" s="44"/>
      <c r="K412" s="44"/>
      <c r="L412" s="44"/>
      <c r="M412" s="44">
        <v>0</v>
      </c>
      <c r="N412" s="44"/>
      <c r="O412" s="44">
        <v>0</v>
      </c>
      <c r="P412" s="44">
        <v>0</v>
      </c>
      <c r="Q412" s="44">
        <v>0</v>
      </c>
      <c r="R412" s="44"/>
      <c r="S412" s="68"/>
      <c r="T412" s="136">
        <v>32099.732285999999</v>
      </c>
      <c r="U412" s="24">
        <f t="shared" si="82"/>
        <v>1</v>
      </c>
    </row>
    <row r="413" spans="1:21" x14ac:dyDescent="0.25">
      <c r="A413" s="135">
        <f t="shared" si="83"/>
        <v>396</v>
      </c>
      <c r="B413" s="134">
        <f t="shared" si="84"/>
        <v>208</v>
      </c>
      <c r="C413" s="77" t="s">
        <v>50</v>
      </c>
      <c r="D413" s="77" t="s">
        <v>511</v>
      </c>
      <c r="E413" s="129">
        <f t="shared" si="80"/>
        <v>9106068.5073560029</v>
      </c>
      <c r="F413" s="44"/>
      <c r="G413" s="44"/>
      <c r="H413" s="44">
        <v>1513519.582134</v>
      </c>
      <c r="I413" s="44"/>
      <c r="J413" s="44"/>
      <c r="K413" s="44"/>
      <c r="L413" s="44"/>
      <c r="M413" s="44">
        <v>0</v>
      </c>
      <c r="N413" s="44">
        <v>7398774.3793740012</v>
      </c>
      <c r="O413" s="44">
        <v>0</v>
      </c>
      <c r="P413" s="44">
        <v>0</v>
      </c>
      <c r="Q413" s="44">
        <v>0</v>
      </c>
      <c r="R413" s="44"/>
      <c r="S413" s="68"/>
      <c r="T413" s="136">
        <v>193774.54584800001</v>
      </c>
      <c r="U413" s="24">
        <f t="shared" si="82"/>
        <v>2</v>
      </c>
    </row>
    <row r="414" spans="1:21" x14ac:dyDescent="0.25">
      <c r="A414" s="135">
        <f t="shared" si="83"/>
        <v>397</v>
      </c>
      <c r="B414" s="134">
        <f t="shared" si="84"/>
        <v>209</v>
      </c>
      <c r="C414" s="77" t="s">
        <v>50</v>
      </c>
      <c r="D414" s="77" t="s">
        <v>512</v>
      </c>
      <c r="E414" s="129">
        <f t="shared" si="80"/>
        <v>9257725.9846659992</v>
      </c>
      <c r="F414" s="44"/>
      <c r="G414" s="44"/>
      <c r="H414" s="44">
        <v>1538875.675722</v>
      </c>
      <c r="I414" s="44"/>
      <c r="J414" s="44">
        <v>0</v>
      </c>
      <c r="K414" s="44"/>
      <c r="L414" s="44"/>
      <c r="M414" s="44">
        <v>0</v>
      </c>
      <c r="N414" s="44">
        <v>7521830.6773679992</v>
      </c>
      <c r="O414" s="44">
        <v>0</v>
      </c>
      <c r="P414" s="44">
        <v>0</v>
      </c>
      <c r="Q414" s="44">
        <v>0</v>
      </c>
      <c r="R414" s="44"/>
      <c r="S414" s="68"/>
      <c r="T414" s="136">
        <v>197019.63157600001</v>
      </c>
      <c r="U414" s="24">
        <f t="shared" si="82"/>
        <v>2</v>
      </c>
    </row>
    <row r="415" spans="1:21" x14ac:dyDescent="0.25">
      <c r="A415" s="135">
        <f t="shared" si="83"/>
        <v>398</v>
      </c>
      <c r="B415" s="134">
        <f t="shared" si="84"/>
        <v>210</v>
      </c>
      <c r="C415" s="77" t="s">
        <v>50</v>
      </c>
      <c r="D415" s="77" t="s">
        <v>53</v>
      </c>
      <c r="E415" s="129">
        <f t="shared" si="80"/>
        <v>3110187.22</v>
      </c>
      <c r="F415" s="44">
        <v>0</v>
      </c>
      <c r="G415" s="44">
        <v>0</v>
      </c>
      <c r="H415" s="44">
        <v>3043629.213492</v>
      </c>
      <c r="I415" s="44">
        <v>0</v>
      </c>
      <c r="J415" s="44">
        <v>0</v>
      </c>
      <c r="K415" s="44"/>
      <c r="L415" s="44"/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/>
      <c r="S415" s="68"/>
      <c r="T415" s="136">
        <v>66558.006508000006</v>
      </c>
      <c r="U415" s="24">
        <f t="shared" si="82"/>
        <v>1</v>
      </c>
    </row>
    <row r="416" spans="1:21" x14ac:dyDescent="0.25">
      <c r="A416" s="135">
        <f t="shared" si="83"/>
        <v>399</v>
      </c>
      <c r="B416" s="134">
        <f t="shared" si="84"/>
        <v>211</v>
      </c>
      <c r="C416" s="77" t="s">
        <v>50</v>
      </c>
      <c r="D416" s="77" t="s">
        <v>513</v>
      </c>
      <c r="E416" s="129">
        <f t="shared" si="80"/>
        <v>6443087.9000000004</v>
      </c>
      <c r="F416" s="44">
        <v>6305205.8189400006</v>
      </c>
      <c r="G416" s="44">
        <v>0</v>
      </c>
      <c r="H416" s="44">
        <v>0</v>
      </c>
      <c r="I416" s="44">
        <v>0</v>
      </c>
      <c r="J416" s="44">
        <v>0</v>
      </c>
      <c r="K416" s="44"/>
      <c r="L416" s="44"/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/>
      <c r="S416" s="68"/>
      <c r="T416" s="136">
        <v>137882.08106000003</v>
      </c>
      <c r="U416" s="24">
        <f t="shared" si="82"/>
        <v>1</v>
      </c>
    </row>
    <row r="417" spans="1:21" x14ac:dyDescent="0.25">
      <c r="A417" s="135">
        <f t="shared" si="83"/>
        <v>400</v>
      </c>
      <c r="B417" s="134">
        <f t="shared" si="84"/>
        <v>212</v>
      </c>
      <c r="C417" s="77"/>
      <c r="D417" s="77" t="s">
        <v>737</v>
      </c>
      <c r="E417" s="129">
        <f t="shared" si="80"/>
        <v>287932.7</v>
      </c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>
        <v>287932.7</v>
      </c>
      <c r="R417" s="44"/>
      <c r="S417" s="68"/>
      <c r="T417" s="136"/>
      <c r="U417" s="24"/>
    </row>
    <row r="418" spans="1:21" x14ac:dyDescent="0.25">
      <c r="A418" s="135">
        <f t="shared" si="83"/>
        <v>401</v>
      </c>
      <c r="B418" s="134">
        <f t="shared" si="84"/>
        <v>213</v>
      </c>
      <c r="C418" s="77" t="s">
        <v>50</v>
      </c>
      <c r="D418" s="77" t="s">
        <v>416</v>
      </c>
      <c r="E418" s="129">
        <f t="shared" si="80"/>
        <v>20025195.280000001</v>
      </c>
      <c r="F418" s="44">
        <v>4698966.264804</v>
      </c>
      <c r="G418" s="44">
        <v>3271249.5477899997</v>
      </c>
      <c r="H418" s="44">
        <v>1989640.0224120002</v>
      </c>
      <c r="I418" s="44">
        <v>1832647.6966140002</v>
      </c>
      <c r="J418" s="44">
        <v>0</v>
      </c>
      <c r="K418" s="44"/>
      <c r="L418" s="44">
        <v>209478.56798399999</v>
      </c>
      <c r="M418" s="44">
        <v>0</v>
      </c>
      <c r="N418" s="44">
        <v>2295609.7247160003</v>
      </c>
      <c r="O418" s="44">
        <v>0</v>
      </c>
      <c r="P418" s="44">
        <v>0</v>
      </c>
      <c r="Q418" s="44">
        <v>5299064.2766880002</v>
      </c>
      <c r="R418" s="44"/>
      <c r="S418" s="68"/>
      <c r="T418" s="136">
        <v>428539.178992</v>
      </c>
      <c r="U418" s="24">
        <f t="shared" si="82"/>
        <v>7</v>
      </c>
    </row>
    <row r="419" spans="1:21" x14ac:dyDescent="0.25">
      <c r="A419" s="135">
        <f t="shared" si="83"/>
        <v>402</v>
      </c>
      <c r="B419" s="134">
        <f t="shared" si="84"/>
        <v>214</v>
      </c>
      <c r="C419" s="77" t="s">
        <v>50</v>
      </c>
      <c r="D419" s="77" t="s">
        <v>418</v>
      </c>
      <c r="E419" s="129">
        <f t="shared" si="80"/>
        <v>21345856.605785996</v>
      </c>
      <c r="F419" s="44">
        <v>5008921.6874759998</v>
      </c>
      <c r="G419" s="44">
        <v>3483953.1116460003</v>
      </c>
      <c r="H419" s="44">
        <v>2121517.0782959997</v>
      </c>
      <c r="I419" s="44">
        <v>1954219.3801199999</v>
      </c>
      <c r="J419" s="44">
        <v>0</v>
      </c>
      <c r="K419" s="44"/>
      <c r="L419" s="44">
        <v>223072.98168960001</v>
      </c>
      <c r="M419" s="44">
        <v>0</v>
      </c>
      <c r="N419" s="44">
        <v>2447118.710064</v>
      </c>
      <c r="O419" s="44">
        <v>0</v>
      </c>
      <c r="P419" s="44">
        <v>0</v>
      </c>
      <c r="Q419" s="44">
        <v>5650252.325339999</v>
      </c>
      <c r="R419" s="44"/>
      <c r="S419" s="68"/>
      <c r="T419" s="136">
        <v>456801.33115439996</v>
      </c>
      <c r="U419" s="24">
        <f t="shared" si="82"/>
        <v>7</v>
      </c>
    </row>
    <row r="420" spans="1:21" x14ac:dyDescent="0.25">
      <c r="A420" s="135">
        <f t="shared" si="83"/>
        <v>403</v>
      </c>
      <c r="B420" s="134">
        <f t="shared" si="84"/>
        <v>215</v>
      </c>
      <c r="C420" s="77" t="s">
        <v>50</v>
      </c>
      <c r="D420" s="77" t="s">
        <v>99</v>
      </c>
      <c r="E420" s="129">
        <f t="shared" si="80"/>
        <v>12608792.0231</v>
      </c>
      <c r="F420" s="44">
        <v>12338963.873805661</v>
      </c>
      <c r="G420" s="44">
        <v>0</v>
      </c>
      <c r="H420" s="44">
        <v>0</v>
      </c>
      <c r="I420" s="44"/>
      <c r="J420" s="44">
        <v>0</v>
      </c>
      <c r="K420" s="44"/>
      <c r="L420" s="44"/>
      <c r="M420" s="44">
        <v>0</v>
      </c>
      <c r="N420" s="44">
        <v>0</v>
      </c>
      <c r="O420" s="44">
        <v>0</v>
      </c>
      <c r="P420" s="44"/>
      <c r="Q420" s="44"/>
      <c r="R420" s="44"/>
      <c r="S420" s="68"/>
      <c r="T420" s="136">
        <v>269828.14929433999</v>
      </c>
      <c r="U420" s="24">
        <f t="shared" si="82"/>
        <v>1</v>
      </c>
    </row>
    <row r="421" spans="1:21" x14ac:dyDescent="0.25">
      <c r="A421" s="135">
        <f t="shared" si="83"/>
        <v>404</v>
      </c>
      <c r="B421" s="134">
        <f t="shared" si="84"/>
        <v>216</v>
      </c>
      <c r="C421" s="77" t="s">
        <v>50</v>
      </c>
      <c r="D421" s="77" t="s">
        <v>100</v>
      </c>
      <c r="E421" s="129">
        <f t="shared" si="80"/>
        <v>11997336.196299998</v>
      </c>
      <c r="F421" s="44">
        <v>11740593.201699179</v>
      </c>
      <c r="G421" s="44">
        <v>0</v>
      </c>
      <c r="H421" s="44">
        <v>0</v>
      </c>
      <c r="I421" s="44">
        <v>0</v>
      </c>
      <c r="J421" s="44">
        <v>0</v>
      </c>
      <c r="K421" s="44"/>
      <c r="L421" s="44"/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/>
      <c r="S421" s="68"/>
      <c r="T421" s="136">
        <v>256742.99460081998</v>
      </c>
      <c r="U421" s="24">
        <f t="shared" si="82"/>
        <v>1</v>
      </c>
    </row>
    <row r="422" spans="1:21" x14ac:dyDescent="0.25">
      <c r="A422" s="135">
        <f t="shared" si="83"/>
        <v>405</v>
      </c>
      <c r="B422" s="134">
        <f t="shared" si="84"/>
        <v>217</v>
      </c>
      <c r="C422" s="77" t="s">
        <v>50</v>
      </c>
      <c r="D422" s="77" t="s">
        <v>514</v>
      </c>
      <c r="E422" s="129">
        <f t="shared" si="80"/>
        <v>8799436.5950600002</v>
      </c>
      <c r="F422" s="44"/>
      <c r="G422" s="44"/>
      <c r="H422" s="44">
        <v>1454526.423042</v>
      </c>
      <c r="I422" s="44"/>
      <c r="J422" s="44">
        <v>0</v>
      </c>
      <c r="K422" s="44"/>
      <c r="L422" s="44"/>
      <c r="M422" s="44">
        <v>0</v>
      </c>
      <c r="N422" s="44">
        <v>7157698.5886560008</v>
      </c>
      <c r="O422" s="44">
        <v>0</v>
      </c>
      <c r="P422" s="44">
        <v>0</v>
      </c>
      <c r="Q422" s="44">
        <v>0</v>
      </c>
      <c r="R422" s="44"/>
      <c r="S422" s="68"/>
      <c r="T422" s="136">
        <v>187211.58336200003</v>
      </c>
      <c r="U422" s="24">
        <f t="shared" si="82"/>
        <v>2</v>
      </c>
    </row>
    <row r="423" spans="1:21" x14ac:dyDescent="0.25">
      <c r="A423" s="135">
        <f t="shared" si="83"/>
        <v>406</v>
      </c>
      <c r="B423" s="134">
        <f t="shared" si="84"/>
        <v>218</v>
      </c>
      <c r="C423" s="77" t="s">
        <v>50</v>
      </c>
      <c r="D423" s="77" t="s">
        <v>419</v>
      </c>
      <c r="E423" s="129">
        <f t="shared" si="80"/>
        <v>19723222.893742397</v>
      </c>
      <c r="F423" s="44">
        <v>14114712.016718039</v>
      </c>
      <c r="G423" s="161">
        <v>4620819.76</v>
      </c>
      <c r="H423" s="44"/>
      <c r="I423" s="44"/>
      <c r="J423" s="44"/>
      <c r="K423" s="44"/>
      <c r="L423" s="44">
        <v>679030.95234239998</v>
      </c>
      <c r="M423" s="44">
        <v>0</v>
      </c>
      <c r="N423" s="44"/>
      <c r="O423" s="44">
        <v>0</v>
      </c>
      <c r="P423" s="44"/>
      <c r="Q423" s="44"/>
      <c r="R423" s="44"/>
      <c r="S423" s="68"/>
      <c r="T423" s="136">
        <v>308660.16468196001</v>
      </c>
      <c r="U423" s="24">
        <f t="shared" si="82"/>
        <v>3</v>
      </c>
    </row>
    <row r="424" spans="1:21" x14ac:dyDescent="0.25">
      <c r="A424" s="135">
        <f t="shared" si="83"/>
        <v>407</v>
      </c>
      <c r="B424" s="134">
        <f t="shared" si="84"/>
        <v>219</v>
      </c>
      <c r="C424" s="77" t="s">
        <v>50</v>
      </c>
      <c r="D424" s="77" t="s">
        <v>420</v>
      </c>
      <c r="E424" s="129">
        <f t="shared" si="80"/>
        <v>5340335.5010032002</v>
      </c>
      <c r="F424" s="44">
        <v>5007132.5620260006</v>
      </c>
      <c r="G424" s="44"/>
      <c r="H424" s="44"/>
      <c r="I424" s="44"/>
      <c r="J424" s="44"/>
      <c r="K424" s="44"/>
      <c r="L424" s="44">
        <v>223707.09100319998</v>
      </c>
      <c r="M424" s="44">
        <v>0</v>
      </c>
      <c r="N424" s="44">
        <v>0</v>
      </c>
      <c r="O424" s="44">
        <v>0</v>
      </c>
      <c r="P424" s="44">
        <v>0</v>
      </c>
      <c r="Q424" s="44"/>
      <c r="R424" s="44"/>
      <c r="S424" s="68"/>
      <c r="T424" s="136">
        <v>109495.84797400002</v>
      </c>
      <c r="U424" s="24">
        <f t="shared" si="82"/>
        <v>2</v>
      </c>
    </row>
    <row r="425" spans="1:21" x14ac:dyDescent="0.25">
      <c r="A425" s="135">
        <f t="shared" si="83"/>
        <v>408</v>
      </c>
      <c r="B425" s="134">
        <f t="shared" si="84"/>
        <v>220</v>
      </c>
      <c r="C425" s="77" t="s">
        <v>50</v>
      </c>
      <c r="D425" s="77" t="s">
        <v>421</v>
      </c>
      <c r="E425" s="129">
        <f t="shared" si="80"/>
        <v>25200863.723121602</v>
      </c>
      <c r="F425" s="44">
        <v>18821465.971318923</v>
      </c>
      <c r="G425" s="44">
        <v>5062346.8099999996</v>
      </c>
      <c r="H425" s="44"/>
      <c r="I425" s="44"/>
      <c r="J425" s="44"/>
      <c r="K425" s="44"/>
      <c r="L425" s="44">
        <v>905463.60092160001</v>
      </c>
      <c r="M425" s="44">
        <v>0</v>
      </c>
      <c r="N425" s="44"/>
      <c r="O425" s="44">
        <v>0</v>
      </c>
      <c r="P425" s="44">
        <v>0</v>
      </c>
      <c r="Q425" s="44"/>
      <c r="R425" s="44"/>
      <c r="S425" s="68"/>
      <c r="T425" s="136">
        <v>411587.34088108013</v>
      </c>
      <c r="U425" s="24">
        <f t="shared" si="82"/>
        <v>3</v>
      </c>
    </row>
    <row r="426" spans="1:21" x14ac:dyDescent="0.25">
      <c r="A426" s="135">
        <f t="shared" si="83"/>
        <v>409</v>
      </c>
      <c r="B426" s="134">
        <f t="shared" si="84"/>
        <v>221</v>
      </c>
      <c r="C426" s="77" t="s">
        <v>50</v>
      </c>
      <c r="D426" s="77" t="s">
        <v>248</v>
      </c>
      <c r="E426" s="129">
        <f t="shared" si="80"/>
        <v>14909658.0872232</v>
      </c>
      <c r="F426" s="44">
        <v>13934572.418976301</v>
      </c>
      <c r="G426" s="44"/>
      <c r="H426" s="44"/>
      <c r="I426" s="44"/>
      <c r="J426" s="44"/>
      <c r="K426" s="44"/>
      <c r="L426" s="44">
        <v>670364.7917232</v>
      </c>
      <c r="M426" s="44">
        <v>0</v>
      </c>
      <c r="N426" s="44">
        <v>0</v>
      </c>
      <c r="O426" s="44">
        <v>0</v>
      </c>
      <c r="P426" s="44">
        <v>0</v>
      </c>
      <c r="Q426" s="44"/>
      <c r="R426" s="44"/>
      <c r="S426" s="68"/>
      <c r="T426" s="136">
        <v>304720.87652370002</v>
      </c>
      <c r="U426" s="24">
        <f t="shared" si="82"/>
        <v>2</v>
      </c>
    </row>
    <row r="427" spans="1:21" x14ac:dyDescent="0.25">
      <c r="A427" s="135">
        <f t="shared" si="83"/>
        <v>410</v>
      </c>
      <c r="B427" s="134">
        <f t="shared" si="84"/>
        <v>222</v>
      </c>
      <c r="C427" s="77" t="s">
        <v>50</v>
      </c>
      <c r="D427" s="77" t="s">
        <v>422</v>
      </c>
      <c r="E427" s="129">
        <f t="shared" si="80"/>
        <v>39658580.604182005</v>
      </c>
      <c r="F427" s="44">
        <v>20377265.934942003</v>
      </c>
      <c r="G427" s="44"/>
      <c r="H427" s="44">
        <v>8667695.4358680006</v>
      </c>
      <c r="I427" s="44">
        <v>8067730.7190899998</v>
      </c>
      <c r="J427" s="44">
        <v>0</v>
      </c>
      <c r="K427" s="44"/>
      <c r="L427" s="44">
        <v>897798.66553440015</v>
      </c>
      <c r="M427" s="44">
        <v>0</v>
      </c>
      <c r="N427" s="44">
        <v>0</v>
      </c>
      <c r="O427" s="44">
        <v>0</v>
      </c>
      <c r="P427" s="44">
        <v>0</v>
      </c>
      <c r="Q427" s="44"/>
      <c r="R427" s="44"/>
      <c r="S427" s="68"/>
      <c r="T427" s="136">
        <v>1648089.8487476003</v>
      </c>
      <c r="U427" s="24">
        <f t="shared" si="82"/>
        <v>4</v>
      </c>
    </row>
    <row r="428" spans="1:21" x14ac:dyDescent="0.25">
      <c r="A428" s="135">
        <f>+A427+1</f>
        <v>411</v>
      </c>
      <c r="B428" s="134">
        <f>+B427+1</f>
        <v>223</v>
      </c>
      <c r="C428" s="77" t="s">
        <v>50</v>
      </c>
      <c r="D428" s="77" t="s">
        <v>249</v>
      </c>
      <c r="E428" s="129">
        <f t="shared" si="80"/>
        <v>24395451.924600001</v>
      </c>
      <c r="F428" s="44"/>
      <c r="G428" s="44"/>
      <c r="H428" s="44"/>
      <c r="I428" s="44"/>
      <c r="J428" s="44"/>
      <c r="K428" s="44"/>
      <c r="L428" s="44"/>
      <c r="M428" s="44"/>
      <c r="N428" s="44">
        <v>0</v>
      </c>
      <c r="O428" s="44">
        <v>0</v>
      </c>
      <c r="P428" s="44">
        <v>23873389.253413562</v>
      </c>
      <c r="Q428" s="44"/>
      <c r="R428" s="44"/>
      <c r="S428" s="68"/>
      <c r="T428" s="136">
        <v>522062.67118644004</v>
      </c>
      <c r="U428" s="24">
        <f t="shared" si="82"/>
        <v>1</v>
      </c>
    </row>
    <row r="429" spans="1:21" x14ac:dyDescent="0.25">
      <c r="A429" s="135">
        <f t="shared" si="83"/>
        <v>412</v>
      </c>
      <c r="B429" s="134">
        <f t="shared" si="84"/>
        <v>224</v>
      </c>
      <c r="C429" s="77" t="s">
        <v>50</v>
      </c>
      <c r="D429" s="77" t="s">
        <v>423</v>
      </c>
      <c r="E429" s="129">
        <f t="shared" si="80"/>
        <v>8858174.1696719993</v>
      </c>
      <c r="F429" s="44">
        <v>4988188.1969219996</v>
      </c>
      <c r="G429" s="44">
        <v>3464508.143712</v>
      </c>
      <c r="H429" s="44">
        <v>0</v>
      </c>
      <c r="I429" s="44">
        <v>0</v>
      </c>
      <c r="J429" s="44">
        <v>0</v>
      </c>
      <c r="K429" s="44"/>
      <c r="L429" s="44">
        <v>222883.86136800001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/>
      <c r="S429" s="68"/>
      <c r="T429" s="136">
        <v>182593.96767000001</v>
      </c>
      <c r="U429" s="24">
        <f t="shared" si="82"/>
        <v>3</v>
      </c>
    </row>
    <row r="430" spans="1:21" x14ac:dyDescent="0.25">
      <c r="A430" s="135">
        <f t="shared" si="83"/>
        <v>413</v>
      </c>
      <c r="B430" s="134">
        <f t="shared" si="84"/>
        <v>225</v>
      </c>
      <c r="C430" s="77" t="s">
        <v>50</v>
      </c>
      <c r="D430" s="77" t="s">
        <v>424</v>
      </c>
      <c r="E430" s="129">
        <f t="shared" si="80"/>
        <v>7481358.0205419995</v>
      </c>
      <c r="F430" s="44">
        <v>4993428.7956419997</v>
      </c>
      <c r="G430" s="44"/>
      <c r="H430" s="44">
        <v>2109950.6526000001</v>
      </c>
      <c r="I430" s="44">
        <v>0</v>
      </c>
      <c r="J430" s="44">
        <v>0</v>
      </c>
      <c r="K430" s="44"/>
      <c r="L430" s="44">
        <v>222783.73884480001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/>
      <c r="S430" s="68"/>
      <c r="T430" s="136">
        <v>155194.83345520002</v>
      </c>
      <c r="U430" s="24">
        <f t="shared" si="82"/>
        <v>3</v>
      </c>
    </row>
    <row r="431" spans="1:21" x14ac:dyDescent="0.25">
      <c r="A431" s="135">
        <f t="shared" si="83"/>
        <v>414</v>
      </c>
      <c r="B431" s="134">
        <f t="shared" si="84"/>
        <v>226</v>
      </c>
      <c r="C431" s="77" t="s">
        <v>50</v>
      </c>
      <c r="D431" s="77" t="s">
        <v>517</v>
      </c>
      <c r="E431" s="129">
        <f t="shared" si="80"/>
        <v>2192601.5954139996</v>
      </c>
      <c r="F431" s="44"/>
      <c r="G431" s="44"/>
      <c r="H431" s="44">
        <v>2147628.2009279998</v>
      </c>
      <c r="I431" s="44">
        <v>0</v>
      </c>
      <c r="J431" s="44">
        <v>0</v>
      </c>
      <c r="K431" s="44"/>
      <c r="L431" s="44"/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/>
      <c r="S431" s="68"/>
      <c r="T431" s="136">
        <v>44973.394486000005</v>
      </c>
      <c r="U431" s="24">
        <f t="shared" si="82"/>
        <v>1</v>
      </c>
    </row>
    <row r="432" spans="1:21" x14ac:dyDescent="0.25">
      <c r="A432" s="135">
        <f t="shared" si="83"/>
        <v>415</v>
      </c>
      <c r="B432" s="134">
        <f t="shared" si="84"/>
        <v>227</v>
      </c>
      <c r="C432" s="77" t="s">
        <v>50</v>
      </c>
      <c r="D432" s="77" t="s">
        <v>101</v>
      </c>
      <c r="E432" s="129">
        <f t="shared" si="80"/>
        <v>5983323.2459000004</v>
      </c>
      <c r="F432" s="44">
        <v>5855280.1284377407</v>
      </c>
      <c r="G432" s="44">
        <v>0</v>
      </c>
      <c r="H432" s="44">
        <v>0</v>
      </c>
      <c r="I432" s="44">
        <v>0</v>
      </c>
      <c r="J432" s="44">
        <v>0</v>
      </c>
      <c r="K432" s="44"/>
      <c r="L432" s="44"/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/>
      <c r="S432" s="68"/>
      <c r="T432" s="136">
        <v>128043.11746226001</v>
      </c>
      <c r="U432" s="24">
        <f t="shared" si="82"/>
        <v>1</v>
      </c>
    </row>
    <row r="433" spans="1:22" x14ac:dyDescent="0.25">
      <c r="A433" s="135">
        <f t="shared" si="83"/>
        <v>416</v>
      </c>
      <c r="B433" s="134">
        <f t="shared" si="84"/>
        <v>228</v>
      </c>
      <c r="C433" s="77" t="s">
        <v>50</v>
      </c>
      <c r="D433" s="77" t="s">
        <v>252</v>
      </c>
      <c r="E433" s="129">
        <f t="shared" si="80"/>
        <v>9815875.3841793202</v>
      </c>
      <c r="F433" s="44"/>
      <c r="G433" s="44"/>
      <c r="H433" s="44"/>
      <c r="I433" s="44"/>
      <c r="J433" s="44"/>
      <c r="K433" s="44"/>
      <c r="L433" s="44"/>
      <c r="M433" s="44">
        <v>0</v>
      </c>
      <c r="N433" s="44">
        <v>0</v>
      </c>
      <c r="O433" s="44">
        <v>0</v>
      </c>
      <c r="P433" s="44">
        <v>9240803.6899999995</v>
      </c>
      <c r="Q433" s="44"/>
      <c r="R433" s="44"/>
      <c r="S433" s="68"/>
      <c r="T433" s="136">
        <v>575071.69417932001</v>
      </c>
      <c r="U433" s="24">
        <f t="shared" si="82"/>
        <v>1</v>
      </c>
      <c r="V433" s="1" t="s">
        <v>711</v>
      </c>
    </row>
    <row r="434" spans="1:22" x14ac:dyDescent="0.25">
      <c r="A434" s="135">
        <f t="shared" si="83"/>
        <v>417</v>
      </c>
      <c r="B434" s="134">
        <f t="shared" si="84"/>
        <v>229</v>
      </c>
      <c r="C434" s="77" t="s">
        <v>50</v>
      </c>
      <c r="D434" s="77" t="s">
        <v>518</v>
      </c>
      <c r="E434" s="129">
        <f t="shared" si="80"/>
        <v>3195363.8498400003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/>
      <c r="L434" s="44"/>
      <c r="M434" s="44">
        <v>0</v>
      </c>
      <c r="N434" s="44">
        <v>3054781.0748700001</v>
      </c>
      <c r="O434" s="44">
        <v>0</v>
      </c>
      <c r="P434" s="44">
        <v>0</v>
      </c>
      <c r="Q434" s="44">
        <v>0</v>
      </c>
      <c r="R434" s="44"/>
      <c r="S434" s="68"/>
      <c r="T434" s="136">
        <v>140582.77497</v>
      </c>
      <c r="U434" s="24">
        <f t="shared" si="82"/>
        <v>1</v>
      </c>
    </row>
    <row r="435" spans="1:22" x14ac:dyDescent="0.25">
      <c r="A435" s="135">
        <f t="shared" si="83"/>
        <v>418</v>
      </c>
      <c r="B435" s="134">
        <f t="shared" si="84"/>
        <v>230</v>
      </c>
      <c r="C435" s="77" t="s">
        <v>50</v>
      </c>
      <c r="D435" s="77" t="s">
        <v>426</v>
      </c>
      <c r="E435" s="129">
        <f t="shared" si="80"/>
        <v>13125184.475528559</v>
      </c>
      <c r="F435" s="44">
        <v>12305507</v>
      </c>
      <c r="G435" s="44"/>
      <c r="H435" s="44"/>
      <c r="I435" s="44"/>
      <c r="J435" s="44">
        <v>0</v>
      </c>
      <c r="K435" s="44"/>
      <c r="L435" s="44">
        <v>386031.94970675994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/>
      <c r="S435" s="68"/>
      <c r="T435" s="136">
        <v>433645.52582179999</v>
      </c>
      <c r="U435" s="24">
        <f t="shared" si="82"/>
        <v>2</v>
      </c>
    </row>
    <row r="436" spans="1:22" x14ac:dyDescent="0.25">
      <c r="A436" s="135">
        <f t="shared" si="83"/>
        <v>419</v>
      </c>
      <c r="B436" s="134">
        <f t="shared" si="84"/>
        <v>231</v>
      </c>
      <c r="C436" s="77" t="s">
        <v>103</v>
      </c>
      <c r="D436" s="77" t="s">
        <v>428</v>
      </c>
      <c r="E436" s="129">
        <f t="shared" si="80"/>
        <v>19747257.494666997</v>
      </c>
      <c r="F436" s="44">
        <v>13442149.368269999</v>
      </c>
      <c r="G436" s="44">
        <v>4980833.6754120002</v>
      </c>
      <c r="H436" s="44">
        <v>0</v>
      </c>
      <c r="I436" s="44">
        <v>0</v>
      </c>
      <c r="J436" s="44">
        <v>0</v>
      </c>
      <c r="K436" s="44"/>
      <c r="L436" s="44">
        <v>406248.53806487995</v>
      </c>
      <c r="M436" s="44">
        <v>0</v>
      </c>
      <c r="N436" s="44"/>
      <c r="O436" s="44">
        <v>0</v>
      </c>
      <c r="P436" s="44">
        <v>0</v>
      </c>
      <c r="Q436" s="44">
        <v>0</v>
      </c>
      <c r="R436" s="44"/>
      <c r="S436" s="68"/>
      <c r="T436" s="136">
        <v>918025.91292012006</v>
      </c>
      <c r="U436" s="24">
        <f t="shared" si="82"/>
        <v>3</v>
      </c>
    </row>
    <row r="437" spans="1:22" x14ac:dyDescent="0.25">
      <c r="A437" s="135">
        <f t="shared" si="83"/>
        <v>420</v>
      </c>
      <c r="B437" s="134">
        <f t="shared" si="84"/>
        <v>232</v>
      </c>
      <c r="C437" s="77" t="s">
        <v>103</v>
      </c>
      <c r="D437" s="77" t="s">
        <v>429</v>
      </c>
      <c r="E437" s="129">
        <f t="shared" si="80"/>
        <v>24458262.938600004</v>
      </c>
      <c r="F437" s="44">
        <v>13364467.924122002</v>
      </c>
      <c r="G437" s="44">
        <v>4951357.8128279997</v>
      </c>
      <c r="H437" s="44">
        <v>5214934.7490660008</v>
      </c>
      <c r="I437" s="44">
        <v>0</v>
      </c>
      <c r="J437" s="44">
        <v>0</v>
      </c>
      <c r="K437" s="44"/>
      <c r="L437" s="44">
        <v>404095.62569795997</v>
      </c>
      <c r="M437" s="44">
        <v>0</v>
      </c>
      <c r="N437" s="44"/>
      <c r="O437" s="44">
        <v>0</v>
      </c>
      <c r="P437" s="44">
        <v>0</v>
      </c>
      <c r="Q437" s="44">
        <v>0</v>
      </c>
      <c r="R437" s="44"/>
      <c r="S437" s="68"/>
      <c r="T437" s="136">
        <v>523406.8268860401</v>
      </c>
      <c r="U437" s="24">
        <f t="shared" si="82"/>
        <v>4</v>
      </c>
    </row>
    <row r="438" spans="1:22" x14ac:dyDescent="0.25">
      <c r="A438" s="135">
        <f t="shared" si="83"/>
        <v>421</v>
      </c>
      <c r="B438" s="134">
        <f t="shared" si="84"/>
        <v>233</v>
      </c>
      <c r="C438" s="77" t="s">
        <v>103</v>
      </c>
      <c r="D438" s="77" t="s">
        <v>430</v>
      </c>
      <c r="E438" s="129">
        <f t="shared" si="80"/>
        <v>6450583.4850394009</v>
      </c>
      <c r="F438" s="44"/>
      <c r="G438" s="44"/>
      <c r="H438" s="44"/>
      <c r="I438" s="44"/>
      <c r="J438" s="44"/>
      <c r="K438" s="44"/>
      <c r="L438" s="44"/>
      <c r="M438" s="44">
        <v>0</v>
      </c>
      <c r="N438" s="44">
        <v>6165071.1131500006</v>
      </c>
      <c r="O438" s="44">
        <v>0</v>
      </c>
      <c r="P438" s="44">
        <v>0</v>
      </c>
      <c r="Q438" s="44">
        <v>0</v>
      </c>
      <c r="R438" s="44"/>
      <c r="S438" s="68"/>
      <c r="T438" s="136">
        <v>285512.37188940006</v>
      </c>
      <c r="U438" s="24">
        <f t="shared" si="82"/>
        <v>1</v>
      </c>
      <c r="V438" s="1" t="s">
        <v>711</v>
      </c>
    </row>
    <row r="439" spans="1:22" x14ac:dyDescent="0.25">
      <c r="A439" s="135">
        <f t="shared" si="83"/>
        <v>422</v>
      </c>
      <c r="B439" s="134">
        <f t="shared" si="84"/>
        <v>234</v>
      </c>
      <c r="C439" s="77" t="s">
        <v>103</v>
      </c>
      <c r="D439" s="77" t="s">
        <v>432</v>
      </c>
      <c r="E439" s="129">
        <f t="shared" si="80"/>
        <v>16843607.011849999</v>
      </c>
      <c r="F439" s="44">
        <v>7387365.7431419995</v>
      </c>
      <c r="G439" s="44">
        <v>2724118.5447</v>
      </c>
      <c r="H439" s="44">
        <v>0</v>
      </c>
      <c r="I439" s="44">
        <v>0</v>
      </c>
      <c r="J439" s="44">
        <v>0</v>
      </c>
      <c r="K439" s="44"/>
      <c r="L439" s="44">
        <v>224044.32360912001</v>
      </c>
      <c r="M439" s="44">
        <v>0</v>
      </c>
      <c r="N439" s="44">
        <v>6282061.3226499995</v>
      </c>
      <c r="O439" s="44">
        <v>0</v>
      </c>
      <c r="P439" s="44">
        <v>0</v>
      </c>
      <c r="Q439" s="44">
        <v>0</v>
      </c>
      <c r="R439" s="44"/>
      <c r="S439" s="68"/>
      <c r="T439" s="136">
        <v>226017.07774887996</v>
      </c>
      <c r="U439" s="24">
        <f t="shared" si="82"/>
        <v>4</v>
      </c>
    </row>
    <row r="440" spans="1:22" x14ac:dyDescent="0.25">
      <c r="A440" s="135">
        <f t="shared" si="83"/>
        <v>423</v>
      </c>
      <c r="B440" s="134">
        <f t="shared" si="84"/>
        <v>235</v>
      </c>
      <c r="C440" s="77" t="s">
        <v>103</v>
      </c>
      <c r="D440" s="77" t="s">
        <v>433</v>
      </c>
      <c r="E440" s="129">
        <f t="shared" si="80"/>
        <v>28815163.8424908</v>
      </c>
      <c r="F440" s="44">
        <v>13389086.339243999</v>
      </c>
      <c r="G440" s="44">
        <v>4961562.7514880002</v>
      </c>
      <c r="H440" s="44">
        <v>0</v>
      </c>
      <c r="I440" s="44">
        <v>0</v>
      </c>
      <c r="J440" s="44">
        <v>0</v>
      </c>
      <c r="K440" s="44"/>
      <c r="L440" s="44">
        <v>404624.41455659998</v>
      </c>
      <c r="M440" s="44">
        <v>0</v>
      </c>
      <c r="N440" s="44">
        <v>9145505.7300000004</v>
      </c>
      <c r="O440" s="44">
        <v>0</v>
      </c>
      <c r="P440" s="44">
        <v>0</v>
      </c>
      <c r="Q440" s="44">
        <v>0</v>
      </c>
      <c r="R440" s="44"/>
      <c r="S440" s="68"/>
      <c r="T440" s="136">
        <v>914384.60720219999</v>
      </c>
      <c r="U440" s="24">
        <f t="shared" si="82"/>
        <v>4</v>
      </c>
    </row>
    <row r="441" spans="1:22" x14ac:dyDescent="0.25">
      <c r="A441" s="135">
        <f t="shared" si="83"/>
        <v>424</v>
      </c>
      <c r="B441" s="134">
        <f t="shared" si="84"/>
        <v>236</v>
      </c>
      <c r="C441" s="77" t="s">
        <v>103</v>
      </c>
      <c r="D441" s="77" t="s">
        <v>434</v>
      </c>
      <c r="E441" s="129">
        <f t="shared" si="80"/>
        <v>17059045.641933002</v>
      </c>
      <c r="F441" s="44">
        <v>10856660.689999999</v>
      </c>
      <c r="G441" s="44">
        <v>4871890.16</v>
      </c>
      <c r="H441" s="44">
        <v>0</v>
      </c>
      <c r="I441" s="44">
        <v>0</v>
      </c>
      <c r="J441" s="44">
        <v>0</v>
      </c>
      <c r="K441" s="44"/>
      <c r="L441" s="44">
        <v>408137.05600247998</v>
      </c>
      <c r="M441" s="44">
        <v>0</v>
      </c>
      <c r="N441" s="44"/>
      <c r="O441" s="44">
        <v>0</v>
      </c>
      <c r="P441" s="44">
        <v>0</v>
      </c>
      <c r="Q441" s="44">
        <v>0</v>
      </c>
      <c r="R441" s="44"/>
      <c r="S441" s="68"/>
      <c r="T441" s="136">
        <v>922357.73593051999</v>
      </c>
      <c r="U441" s="24">
        <f t="shared" si="82"/>
        <v>3</v>
      </c>
      <c r="V441" s="1" t="s">
        <v>709</v>
      </c>
    </row>
    <row r="442" spans="1:22" x14ac:dyDescent="0.25">
      <c r="A442" s="135">
        <f t="shared" si="83"/>
        <v>425</v>
      </c>
      <c r="B442" s="134">
        <f t="shared" si="84"/>
        <v>237</v>
      </c>
      <c r="C442" s="77" t="s">
        <v>104</v>
      </c>
      <c r="D442" s="77" t="s">
        <v>519</v>
      </c>
      <c r="E442" s="129">
        <f t="shared" si="80"/>
        <v>22010479.830000002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/>
      <c r="L442" s="44"/>
      <c r="M442" s="44">
        <v>0</v>
      </c>
      <c r="N442" s="44">
        <v>21539455.561638001</v>
      </c>
      <c r="O442" s="44">
        <v>0</v>
      </c>
      <c r="P442" s="44">
        <v>0</v>
      </c>
      <c r="Q442" s="44">
        <v>0</v>
      </c>
      <c r="R442" s="44"/>
      <c r="S442" s="68"/>
      <c r="T442" s="136">
        <v>471024.26836200006</v>
      </c>
      <c r="U442" s="24">
        <f t="shared" si="82"/>
        <v>1</v>
      </c>
    </row>
    <row r="443" spans="1:22" x14ac:dyDescent="0.25">
      <c r="A443" s="135">
        <f t="shared" si="83"/>
        <v>426</v>
      </c>
      <c r="B443" s="134">
        <f t="shared" si="84"/>
        <v>238</v>
      </c>
      <c r="C443" s="77" t="s">
        <v>104</v>
      </c>
      <c r="D443" s="77" t="s">
        <v>435</v>
      </c>
      <c r="E443" s="129">
        <f t="shared" si="80"/>
        <v>3633489.3452695999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/>
      <c r="L443" s="44"/>
      <c r="M443" s="44">
        <v>0</v>
      </c>
      <c r="N443" s="44">
        <v>3409155.6744499998</v>
      </c>
      <c r="O443" s="44">
        <v>0</v>
      </c>
      <c r="P443" s="44">
        <v>0</v>
      </c>
      <c r="Q443" s="44">
        <v>0</v>
      </c>
      <c r="R443" s="44"/>
      <c r="S443" s="68"/>
      <c r="T443" s="136">
        <v>224333.67081960003</v>
      </c>
      <c r="U443" s="24">
        <f t="shared" si="82"/>
        <v>1</v>
      </c>
      <c r="V443" s="1" t="s">
        <v>711</v>
      </c>
    </row>
    <row r="444" spans="1:22" x14ac:dyDescent="0.25">
      <c r="A444" s="135">
        <f t="shared" si="83"/>
        <v>427</v>
      </c>
      <c r="B444" s="134">
        <f t="shared" si="84"/>
        <v>239</v>
      </c>
      <c r="C444" s="77" t="s">
        <v>253</v>
      </c>
      <c r="D444" s="77" t="s">
        <v>522</v>
      </c>
      <c r="E444" s="129">
        <f t="shared" si="80"/>
        <v>1832846.1297638123</v>
      </c>
      <c r="F444" s="44"/>
      <c r="G444" s="44">
        <v>880894.3</v>
      </c>
      <c r="H444" s="44">
        <v>292852.17</v>
      </c>
      <c r="I444" s="44">
        <v>569808.16</v>
      </c>
      <c r="J444" s="44">
        <v>0</v>
      </c>
      <c r="K444" s="44"/>
      <c r="L444" s="44"/>
      <c r="M444" s="44">
        <v>0</v>
      </c>
      <c r="N444" s="81"/>
      <c r="O444" s="44"/>
      <c r="P444" s="44"/>
      <c r="Q444" s="44"/>
      <c r="R444" s="44"/>
      <c r="S444" s="68"/>
      <c r="T444" s="136">
        <v>89291.499763812477</v>
      </c>
      <c r="U444" s="24">
        <f t="shared" si="82"/>
        <v>3</v>
      </c>
    </row>
    <row r="445" spans="1:22" x14ac:dyDescent="0.25">
      <c r="A445" s="135">
        <f t="shared" si="83"/>
        <v>428</v>
      </c>
      <c r="B445" s="134">
        <f t="shared" si="84"/>
        <v>240</v>
      </c>
      <c r="C445" s="77" t="s">
        <v>253</v>
      </c>
      <c r="D445" s="77" t="s">
        <v>437</v>
      </c>
      <c r="E445" s="129">
        <f t="shared" si="80"/>
        <v>8034419.9657033095</v>
      </c>
      <c r="F445" s="44">
        <v>0</v>
      </c>
      <c r="G445" s="44">
        <v>0</v>
      </c>
      <c r="H445" s="44">
        <v>2128126.3097030208</v>
      </c>
      <c r="I445" s="44"/>
      <c r="J445" s="44"/>
      <c r="K445" s="44"/>
      <c r="L445" s="44"/>
      <c r="M445" s="44"/>
      <c r="N445" s="44"/>
      <c r="O445" s="44"/>
      <c r="P445" s="44"/>
      <c r="Q445" s="44">
        <v>5673685.3984161094</v>
      </c>
      <c r="R445" s="44"/>
      <c r="S445" s="68"/>
      <c r="T445" s="136">
        <v>232608.25758417978</v>
      </c>
      <c r="U445" s="24">
        <f t="shared" si="82"/>
        <v>2</v>
      </c>
    </row>
    <row r="446" spans="1:22" x14ac:dyDescent="0.25">
      <c r="A446" s="135">
        <f t="shared" si="83"/>
        <v>429</v>
      </c>
      <c r="B446" s="134">
        <f t="shared" si="84"/>
        <v>241</v>
      </c>
      <c r="C446" s="77" t="s">
        <v>253</v>
      </c>
      <c r="D446" s="77" t="s">
        <v>255</v>
      </c>
      <c r="E446" s="129">
        <f t="shared" si="80"/>
        <v>9688406.258375138</v>
      </c>
      <c r="F446" s="44">
        <v>1130532.8799999999</v>
      </c>
      <c r="G446" s="44">
        <v>322661.12</v>
      </c>
      <c r="H446" s="44">
        <v>2032941.39</v>
      </c>
      <c r="I446" s="44">
        <v>361992.49</v>
      </c>
      <c r="J446" s="44">
        <v>0</v>
      </c>
      <c r="K446" s="44"/>
      <c r="L446" s="44"/>
      <c r="M446" s="44">
        <v>0</v>
      </c>
      <c r="N446" s="44">
        <v>0</v>
      </c>
      <c r="O446" s="44">
        <v>0</v>
      </c>
      <c r="P446" s="44">
        <v>0</v>
      </c>
      <c r="Q446" s="44">
        <v>5683076.9400000004</v>
      </c>
      <c r="R446" s="44"/>
      <c r="S446" s="68"/>
      <c r="T446" s="136">
        <v>157201.43837513844</v>
      </c>
      <c r="U446" s="24">
        <f t="shared" si="82"/>
        <v>5</v>
      </c>
    </row>
    <row r="447" spans="1:22" x14ac:dyDescent="0.25">
      <c r="A447" s="135">
        <f t="shared" si="83"/>
        <v>430</v>
      </c>
      <c r="B447" s="134">
        <f t="shared" si="84"/>
        <v>242</v>
      </c>
      <c r="C447" s="77" t="s">
        <v>253</v>
      </c>
      <c r="D447" s="77" t="s">
        <v>256</v>
      </c>
      <c r="E447" s="129">
        <f t="shared" si="80"/>
        <v>6648750.9974127999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/>
      <c r="L447" s="44"/>
      <c r="M447" s="44">
        <v>0</v>
      </c>
      <c r="N447" s="44">
        <v>0</v>
      </c>
      <c r="O447" s="44">
        <v>0</v>
      </c>
      <c r="P447" s="44">
        <v>6506467.7260681661</v>
      </c>
      <c r="Q447" s="44"/>
      <c r="R447" s="44"/>
      <c r="S447" s="68"/>
      <c r="T447" s="136">
        <v>142283.27134463392</v>
      </c>
      <c r="U447" s="24">
        <f t="shared" si="82"/>
        <v>1</v>
      </c>
    </row>
    <row r="448" spans="1:22" x14ac:dyDescent="0.25">
      <c r="A448" s="135">
        <f t="shared" si="83"/>
        <v>431</v>
      </c>
      <c r="B448" s="134">
        <f t="shared" si="84"/>
        <v>243</v>
      </c>
      <c r="C448" s="77" t="s">
        <v>253</v>
      </c>
      <c r="D448" s="77" t="s">
        <v>438</v>
      </c>
      <c r="E448" s="129">
        <f t="shared" si="80"/>
        <v>9102569.4658067226</v>
      </c>
      <c r="F448" s="44">
        <v>0</v>
      </c>
      <c r="G448" s="44">
        <v>0</v>
      </c>
      <c r="H448" s="44">
        <v>2428644.2700873055</v>
      </c>
      <c r="I448" s="44">
        <v>0</v>
      </c>
      <c r="J448" s="44">
        <v>0</v>
      </c>
      <c r="K448" s="44"/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6479130.2091511516</v>
      </c>
      <c r="R448" s="44"/>
      <c r="S448" s="68"/>
      <c r="T448" s="136">
        <v>194794.98656826385</v>
      </c>
      <c r="U448" s="24">
        <f t="shared" si="82"/>
        <v>2</v>
      </c>
    </row>
    <row r="449" spans="1:22" x14ac:dyDescent="0.25">
      <c r="A449" s="135">
        <f t="shared" si="83"/>
        <v>432</v>
      </c>
      <c r="B449" s="134">
        <f t="shared" si="84"/>
        <v>244</v>
      </c>
      <c r="C449" s="77" t="s">
        <v>253</v>
      </c>
      <c r="D449" s="77" t="s">
        <v>436</v>
      </c>
      <c r="E449" s="129">
        <f t="shared" si="80"/>
        <v>7717731.9717803607</v>
      </c>
      <c r="F449" s="44">
        <v>0</v>
      </c>
      <c r="G449" s="44">
        <v>0</v>
      </c>
      <c r="H449" s="44">
        <v>1228652.79</v>
      </c>
      <c r="I449" s="44">
        <v>1678642.03</v>
      </c>
      <c r="J449" s="44">
        <v>0</v>
      </c>
      <c r="K449" s="44"/>
      <c r="L449" s="44"/>
      <c r="M449" s="44">
        <v>0</v>
      </c>
      <c r="N449" s="44">
        <v>3803871.23</v>
      </c>
      <c r="O449" s="44">
        <v>0</v>
      </c>
      <c r="P449" s="44">
        <v>0</v>
      </c>
      <c r="Q449" s="44"/>
      <c r="R449" s="44"/>
      <c r="S449" s="68"/>
      <c r="T449" s="136">
        <v>1006565.9217803602</v>
      </c>
      <c r="U449" s="24">
        <f t="shared" si="82"/>
        <v>3</v>
      </c>
      <c r="V449" s="1" t="s">
        <v>711</v>
      </c>
    </row>
    <row r="450" spans="1:22" x14ac:dyDescent="0.25">
      <c r="A450" s="135">
        <f t="shared" si="83"/>
        <v>433</v>
      </c>
      <c r="B450" s="134">
        <f t="shared" si="84"/>
        <v>245</v>
      </c>
      <c r="C450" s="77" t="s">
        <v>253</v>
      </c>
      <c r="D450" s="77" t="s">
        <v>254</v>
      </c>
      <c r="E450" s="129">
        <f t="shared" si="80"/>
        <v>6161823.346674839</v>
      </c>
      <c r="F450" s="44">
        <v>0</v>
      </c>
      <c r="G450" s="44">
        <v>0</v>
      </c>
      <c r="H450" s="44">
        <v>1076716.6299999999</v>
      </c>
      <c r="I450" s="44">
        <v>1632309.59</v>
      </c>
      <c r="J450" s="44">
        <v>0</v>
      </c>
      <c r="K450" s="44"/>
      <c r="L450" s="44"/>
      <c r="M450" s="44">
        <v>0</v>
      </c>
      <c r="N450" s="44">
        <v>2825101.65</v>
      </c>
      <c r="O450" s="44">
        <v>0</v>
      </c>
      <c r="P450" s="44"/>
      <c r="Q450" s="44"/>
      <c r="R450" s="44"/>
      <c r="S450" s="68"/>
      <c r="T450" s="136">
        <v>627695.47667484009</v>
      </c>
      <c r="U450" s="24">
        <f t="shared" si="82"/>
        <v>3</v>
      </c>
      <c r="V450" s="1" t="s">
        <v>711</v>
      </c>
    </row>
    <row r="451" spans="1:22" x14ac:dyDescent="0.25">
      <c r="A451" s="135">
        <f t="shared" si="83"/>
        <v>434</v>
      </c>
      <c r="B451" s="134">
        <f t="shared" si="84"/>
        <v>246</v>
      </c>
      <c r="C451" s="77" t="s">
        <v>253</v>
      </c>
      <c r="D451" s="77" t="s">
        <v>523</v>
      </c>
      <c r="E451" s="129">
        <f t="shared" si="80"/>
        <v>8194296.4237568006</v>
      </c>
      <c r="F451" s="44"/>
      <c r="G451" s="44"/>
      <c r="H451" s="44">
        <v>2187835.7883797591</v>
      </c>
      <c r="I451" s="44"/>
      <c r="J451" s="44"/>
      <c r="K451" s="44"/>
      <c r="L451" s="44"/>
      <c r="M451" s="44"/>
      <c r="N451" s="44"/>
      <c r="O451" s="44"/>
      <c r="P451" s="44"/>
      <c r="Q451" s="44">
        <v>5831102.6919086454</v>
      </c>
      <c r="R451" s="44"/>
      <c r="S451" s="68"/>
      <c r="T451" s="136">
        <v>175357.9434683955</v>
      </c>
      <c r="U451" s="24">
        <f t="shared" si="82"/>
        <v>2</v>
      </c>
    </row>
    <row r="452" spans="1:22" x14ac:dyDescent="0.25">
      <c r="A452" s="135">
        <f t="shared" si="83"/>
        <v>435</v>
      </c>
      <c r="B452" s="134">
        <f t="shared" si="84"/>
        <v>247</v>
      </c>
      <c r="C452" s="77" t="s">
        <v>105</v>
      </c>
      <c r="D452" s="77" t="s">
        <v>439</v>
      </c>
      <c r="E452" s="129">
        <f t="shared" si="80"/>
        <v>7441099.7124260003</v>
      </c>
      <c r="F452" s="44"/>
      <c r="G452" s="44">
        <v>539640.37</v>
      </c>
      <c r="H452" s="44">
        <v>0</v>
      </c>
      <c r="I452" s="44">
        <v>0</v>
      </c>
      <c r="J452" s="44">
        <v>0</v>
      </c>
      <c r="K452" s="44"/>
      <c r="L452" s="44"/>
      <c r="M452" s="44">
        <v>0</v>
      </c>
      <c r="N452" s="44">
        <v>6713480.5099999998</v>
      </c>
      <c r="O452" s="44">
        <v>0</v>
      </c>
      <c r="P452" s="44">
        <v>0</v>
      </c>
      <c r="Q452" s="44">
        <v>0</v>
      </c>
      <c r="R452" s="44"/>
      <c r="S452" s="68"/>
      <c r="T452" s="136">
        <v>187978.83242600004</v>
      </c>
      <c r="U452" s="24">
        <f t="shared" si="82"/>
        <v>2</v>
      </c>
    </row>
    <row r="453" spans="1:22" x14ac:dyDescent="0.25">
      <c r="A453" s="135">
        <f t="shared" si="83"/>
        <v>436</v>
      </c>
      <c r="B453" s="134">
        <f t="shared" si="84"/>
        <v>248</v>
      </c>
      <c r="C453" s="77" t="s">
        <v>105</v>
      </c>
      <c r="D453" s="77" t="s">
        <v>524</v>
      </c>
      <c r="E453" s="129">
        <f t="shared" ref="E453:E526" si="85">SUBTOTAL(9,F453:T453)</f>
        <v>3577560.5733999996</v>
      </c>
      <c r="F453" s="44">
        <v>1767665.6131679998</v>
      </c>
      <c r="G453" s="44">
        <v>815853.27133800008</v>
      </c>
      <c r="H453" s="44">
        <v>842442.90979800001</v>
      </c>
      <c r="I453" s="44">
        <v>0</v>
      </c>
      <c r="J453" s="44">
        <v>0</v>
      </c>
      <c r="K453" s="44"/>
      <c r="L453" s="44">
        <v>75038.982825239989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/>
      <c r="S453" s="68"/>
      <c r="T453" s="136">
        <v>76559.796270759995</v>
      </c>
      <c r="U453" s="24">
        <f t="shared" ref="U453:U526" si="86">COUNTIF(F453:Q453,"&gt;0")</f>
        <v>4</v>
      </c>
    </row>
    <row r="454" spans="1:22" x14ac:dyDescent="0.25">
      <c r="A454" s="135">
        <f t="shared" si="83"/>
        <v>437</v>
      </c>
      <c r="B454" s="134">
        <f t="shared" si="84"/>
        <v>249</v>
      </c>
      <c r="C454" s="77" t="s">
        <v>105</v>
      </c>
      <c r="D454" s="77" t="s">
        <v>525</v>
      </c>
      <c r="E454" s="129">
        <f t="shared" si="85"/>
        <v>17965449.162177999</v>
      </c>
      <c r="F454" s="44">
        <v>6428842.3899999997</v>
      </c>
      <c r="G454" s="44">
        <v>1825378.91</v>
      </c>
      <c r="H454" s="44">
        <v>1830078.26</v>
      </c>
      <c r="I454" s="44"/>
      <c r="J454" s="44">
        <v>0</v>
      </c>
      <c r="K454" s="44"/>
      <c r="L454" s="44"/>
      <c r="M454" s="44">
        <v>0</v>
      </c>
      <c r="N454" s="44">
        <v>0</v>
      </c>
      <c r="O454" s="44">
        <v>0</v>
      </c>
      <c r="P454" s="44">
        <v>7416801.1399999997</v>
      </c>
      <c r="Q454" s="44">
        <v>0</v>
      </c>
      <c r="R454" s="44"/>
      <c r="S454" s="68"/>
      <c r="T454" s="136">
        <v>464348.46217800002</v>
      </c>
      <c r="U454" s="24">
        <f t="shared" si="86"/>
        <v>4</v>
      </c>
    </row>
    <row r="455" spans="1:22" x14ac:dyDescent="0.25">
      <c r="A455" s="135">
        <f t="shared" si="83"/>
        <v>438</v>
      </c>
      <c r="B455" s="134">
        <f t="shared" si="84"/>
        <v>250</v>
      </c>
      <c r="C455" s="77" t="s">
        <v>105</v>
      </c>
      <c r="D455" s="77" t="s">
        <v>440</v>
      </c>
      <c r="E455" s="129">
        <f t="shared" si="85"/>
        <v>7768881.3499999996</v>
      </c>
      <c r="F455" s="44">
        <v>3912372.017862</v>
      </c>
      <c r="G455" s="44">
        <v>1821795.805494</v>
      </c>
      <c r="H455" s="44">
        <v>1868459.465754</v>
      </c>
      <c r="I455" s="44"/>
      <c r="J455" s="44">
        <v>0</v>
      </c>
      <c r="K455" s="44"/>
      <c r="L455" s="44"/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/>
      <c r="S455" s="68"/>
      <c r="T455" s="136">
        <v>166254.06088999999</v>
      </c>
      <c r="U455" s="24">
        <f t="shared" si="86"/>
        <v>3</v>
      </c>
    </row>
    <row r="456" spans="1:22" x14ac:dyDescent="0.25">
      <c r="A456" s="135">
        <f t="shared" si="83"/>
        <v>439</v>
      </c>
      <c r="B456" s="134">
        <f t="shared" si="84"/>
        <v>251</v>
      </c>
      <c r="C456" s="77" t="s">
        <v>105</v>
      </c>
      <c r="D456" s="77" t="s">
        <v>441</v>
      </c>
      <c r="E456" s="129">
        <f t="shared" si="85"/>
        <v>10164042.109999999</v>
      </c>
      <c r="F456" s="44">
        <v>6784576.1506739995</v>
      </c>
      <c r="G456" s="44">
        <v>3161955.4581719995</v>
      </c>
      <c r="H456" s="44">
        <v>0</v>
      </c>
      <c r="I456" s="44"/>
      <c r="J456" s="44">
        <v>0</v>
      </c>
      <c r="K456" s="44"/>
      <c r="L456" s="44"/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/>
      <c r="S456" s="68"/>
      <c r="T456" s="136">
        <v>217510.50115400003</v>
      </c>
      <c r="U456" s="24">
        <f t="shared" si="86"/>
        <v>2</v>
      </c>
    </row>
    <row r="457" spans="1:22" x14ac:dyDescent="0.25">
      <c r="A457" s="135">
        <f t="shared" si="83"/>
        <v>440</v>
      </c>
      <c r="B457" s="134">
        <f t="shared" si="84"/>
        <v>252</v>
      </c>
      <c r="C457" s="77" t="s">
        <v>105</v>
      </c>
      <c r="D457" s="77" t="s">
        <v>258</v>
      </c>
      <c r="E457" s="129">
        <f t="shared" si="85"/>
        <v>9321568.8579660002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/>
      <c r="L457" s="44"/>
      <c r="M457" s="44">
        <v>0</v>
      </c>
      <c r="N457" s="44">
        <v>9023845.8800000008</v>
      </c>
      <c r="O457" s="44">
        <v>0</v>
      </c>
      <c r="P457" s="44"/>
      <c r="Q457" s="44">
        <v>0</v>
      </c>
      <c r="R457" s="44"/>
      <c r="S457" s="68"/>
      <c r="T457" s="136">
        <v>297722.97796599998</v>
      </c>
      <c r="U457" s="24">
        <f t="shared" si="86"/>
        <v>1</v>
      </c>
    </row>
    <row r="458" spans="1:22" x14ac:dyDescent="0.25">
      <c r="A458" s="135">
        <f t="shared" si="83"/>
        <v>441</v>
      </c>
      <c r="B458" s="134">
        <f t="shared" si="84"/>
        <v>253</v>
      </c>
      <c r="C458" s="77" t="s">
        <v>105</v>
      </c>
      <c r="D458" s="77" t="s">
        <v>257</v>
      </c>
      <c r="E458" s="129">
        <f t="shared" si="85"/>
        <v>1811123.542842</v>
      </c>
      <c r="F458" s="44"/>
      <c r="G458" s="44">
        <v>1775821.500432</v>
      </c>
      <c r="H458" s="44">
        <v>0</v>
      </c>
      <c r="I458" s="44">
        <v>0</v>
      </c>
      <c r="J458" s="44">
        <v>0</v>
      </c>
      <c r="K458" s="44"/>
      <c r="L458" s="44"/>
      <c r="M458" s="44">
        <v>0</v>
      </c>
      <c r="N458" s="44">
        <v>0</v>
      </c>
      <c r="O458" s="44">
        <v>0</v>
      </c>
      <c r="P458" s="44"/>
      <c r="Q458" s="44">
        <v>0</v>
      </c>
      <c r="R458" s="44"/>
      <c r="S458" s="68"/>
      <c r="T458" s="136">
        <v>35302.042410000002</v>
      </c>
      <c r="U458" s="24">
        <f t="shared" si="86"/>
        <v>1</v>
      </c>
    </row>
    <row r="459" spans="1:22" x14ac:dyDescent="0.25">
      <c r="A459" s="135">
        <f t="shared" si="83"/>
        <v>442</v>
      </c>
      <c r="B459" s="134">
        <f t="shared" si="84"/>
        <v>254</v>
      </c>
      <c r="C459" s="77" t="s">
        <v>260</v>
      </c>
      <c r="D459" s="77" t="s">
        <v>443</v>
      </c>
      <c r="E459" s="129">
        <f t="shared" si="85"/>
        <v>28484598.610168263</v>
      </c>
      <c r="F459" s="44">
        <v>5786157.6164384168</v>
      </c>
      <c r="G459" s="44">
        <v>2662659.4013375328</v>
      </c>
      <c r="H459" s="44">
        <v>2785550.9406979568</v>
      </c>
      <c r="I459" s="44">
        <v>1765690.024929533</v>
      </c>
      <c r="J459" s="44">
        <v>0</v>
      </c>
      <c r="K459" s="44"/>
      <c r="L459" s="44">
        <v>255018.07492258408</v>
      </c>
      <c r="M459" s="44">
        <v>0</v>
      </c>
      <c r="N459" s="44">
        <v>14062573.097874001</v>
      </c>
      <c r="O459" s="44">
        <v>0</v>
      </c>
      <c r="P459" s="44">
        <v>0</v>
      </c>
      <c r="Q459" s="44">
        <v>0</v>
      </c>
      <c r="R459" s="44">
        <v>588328.4</v>
      </c>
      <c r="S459" s="68"/>
      <c r="T459" s="136">
        <v>578621.05396824155</v>
      </c>
      <c r="U459" s="24">
        <f t="shared" si="86"/>
        <v>6</v>
      </c>
    </row>
    <row r="460" spans="1:22" x14ac:dyDescent="0.25">
      <c r="A460" s="135">
        <f t="shared" si="83"/>
        <v>443</v>
      </c>
      <c r="B460" s="134">
        <f t="shared" si="84"/>
        <v>255</v>
      </c>
      <c r="C460" s="77" t="s">
        <v>260</v>
      </c>
      <c r="D460" s="77" t="s">
        <v>444</v>
      </c>
      <c r="E460" s="129">
        <f t="shared" si="85"/>
        <v>7852669.346012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/>
      <c r="L460" s="44"/>
      <c r="M460" s="44">
        <v>0</v>
      </c>
      <c r="N460" s="44"/>
      <c r="O460" s="44">
        <v>0</v>
      </c>
      <c r="P460" s="44">
        <v>0</v>
      </c>
      <c r="Q460" s="44">
        <v>7388743.1422140002</v>
      </c>
      <c r="R460" s="44"/>
      <c r="S460" s="68"/>
      <c r="T460" s="136">
        <v>463926.20379799994</v>
      </c>
      <c r="U460" s="24">
        <f t="shared" si="86"/>
        <v>1</v>
      </c>
    </row>
    <row r="461" spans="1:22" x14ac:dyDescent="0.25">
      <c r="A461" s="135">
        <f t="shared" si="83"/>
        <v>444</v>
      </c>
      <c r="B461" s="134">
        <f t="shared" si="84"/>
        <v>256</v>
      </c>
      <c r="C461" s="77" t="s">
        <v>106</v>
      </c>
      <c r="D461" s="77" t="s">
        <v>526</v>
      </c>
      <c r="E461" s="129">
        <f t="shared" si="85"/>
        <v>2792199.2437518002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/>
      <c r="L461" s="44"/>
      <c r="M461" s="44">
        <v>0</v>
      </c>
      <c r="N461" s="44">
        <v>2736680.7350400002</v>
      </c>
      <c r="O461" s="44">
        <v>0</v>
      </c>
      <c r="P461" s="44">
        <v>0</v>
      </c>
      <c r="Q461" s="44"/>
      <c r="R461" s="44"/>
      <c r="S461" s="68"/>
      <c r="T461" s="136">
        <v>55518.508711800008</v>
      </c>
      <c r="U461" s="24">
        <f t="shared" si="86"/>
        <v>1</v>
      </c>
    </row>
    <row r="462" spans="1:22" x14ac:dyDescent="0.25">
      <c r="A462" s="135">
        <f t="shared" si="83"/>
        <v>445</v>
      </c>
      <c r="B462" s="134">
        <f t="shared" si="84"/>
        <v>257</v>
      </c>
      <c r="C462" s="77" t="s">
        <v>106</v>
      </c>
      <c r="D462" s="77" t="s">
        <v>107</v>
      </c>
      <c r="E462" s="129">
        <f t="shared" si="85"/>
        <v>6636678.46</v>
      </c>
      <c r="F462" s="44">
        <v>1320658.3173839999</v>
      </c>
      <c r="G462" s="44">
        <v>0</v>
      </c>
      <c r="H462" s="44">
        <v>0</v>
      </c>
      <c r="I462" s="44">
        <v>737257.57992599998</v>
      </c>
      <c r="J462" s="44">
        <v>0</v>
      </c>
      <c r="K462" s="44"/>
      <c r="L462" s="44"/>
      <c r="M462" s="44">
        <v>0</v>
      </c>
      <c r="N462" s="44">
        <v>1613252.1332339998</v>
      </c>
      <c r="O462" s="44">
        <v>0</v>
      </c>
      <c r="P462" s="44">
        <v>2823485.5104120001</v>
      </c>
      <c r="Q462" s="44">
        <v>0</v>
      </c>
      <c r="R462" s="44"/>
      <c r="S462" s="68"/>
      <c r="T462" s="136">
        <v>142024.91904400001</v>
      </c>
      <c r="U462" s="24">
        <f t="shared" si="86"/>
        <v>4</v>
      </c>
    </row>
    <row r="463" spans="1:22" x14ac:dyDescent="0.25">
      <c r="A463" s="135">
        <f t="shared" ref="A463:B478" si="87">+A462+1</f>
        <v>446</v>
      </c>
      <c r="B463" s="134">
        <f t="shared" si="87"/>
        <v>258</v>
      </c>
      <c r="C463" s="77" t="s">
        <v>106</v>
      </c>
      <c r="D463" s="77" t="s">
        <v>448</v>
      </c>
      <c r="E463" s="129">
        <f t="shared" si="85"/>
        <v>1958541.8158535203</v>
      </c>
      <c r="F463" s="44">
        <v>0</v>
      </c>
      <c r="G463" s="44">
        <v>0</v>
      </c>
      <c r="H463" s="44"/>
      <c r="I463" s="44">
        <v>0</v>
      </c>
      <c r="J463" s="44">
        <v>0</v>
      </c>
      <c r="K463" s="44"/>
      <c r="L463" s="44"/>
      <c r="M463" s="44">
        <v>0</v>
      </c>
      <c r="N463" s="44">
        <v>0</v>
      </c>
      <c r="O463" s="44">
        <v>0</v>
      </c>
      <c r="P463" s="44">
        <v>1919964.7690860003</v>
      </c>
      <c r="Q463" s="44">
        <v>0</v>
      </c>
      <c r="R463" s="44"/>
      <c r="S463" s="68"/>
      <c r="T463" s="136">
        <v>38577.046767520005</v>
      </c>
      <c r="U463" s="24">
        <f t="shared" si="86"/>
        <v>1</v>
      </c>
    </row>
    <row r="464" spans="1:22" x14ac:dyDescent="0.25">
      <c r="A464" s="135">
        <f t="shared" si="87"/>
        <v>447</v>
      </c>
      <c r="B464" s="134">
        <f t="shared" si="87"/>
        <v>259</v>
      </c>
      <c r="C464" s="77" t="s">
        <v>106</v>
      </c>
      <c r="D464" s="77" t="s">
        <v>527</v>
      </c>
      <c r="E464" s="129">
        <f t="shared" si="85"/>
        <v>14630973.174031259</v>
      </c>
      <c r="F464" s="44">
        <v>2788532.6780639999</v>
      </c>
      <c r="G464" s="44">
        <v>0</v>
      </c>
      <c r="H464" s="44"/>
      <c r="I464" s="44">
        <v>1566144.8148779999</v>
      </c>
      <c r="J464" s="44">
        <v>0</v>
      </c>
      <c r="K464" s="44"/>
      <c r="L464" s="44">
        <v>616763.67752999999</v>
      </c>
      <c r="M464" s="44">
        <v>0</v>
      </c>
      <c r="N464" s="44">
        <v>3422622.3707340001</v>
      </c>
      <c r="O464" s="44">
        <v>0</v>
      </c>
      <c r="P464" s="44">
        <v>5952055.6381440004</v>
      </c>
      <c r="Q464" s="44"/>
      <c r="R464" s="44"/>
      <c r="S464" s="68"/>
      <c r="T464" s="136">
        <v>284853.99468125997</v>
      </c>
      <c r="U464" s="24">
        <f t="shared" si="86"/>
        <v>5</v>
      </c>
    </row>
    <row r="465" spans="1:22" x14ac:dyDescent="0.25">
      <c r="A465" s="135">
        <f t="shared" si="87"/>
        <v>448</v>
      </c>
      <c r="B465" s="134">
        <f t="shared" si="87"/>
        <v>260</v>
      </c>
      <c r="C465" s="77" t="s">
        <v>106</v>
      </c>
      <c r="D465" s="77" t="s">
        <v>108</v>
      </c>
      <c r="E465" s="129">
        <f t="shared" si="85"/>
        <v>6038708.3828797396</v>
      </c>
      <c r="F465" s="44">
        <v>1207621.7677859999</v>
      </c>
      <c r="G465" s="44">
        <v>0</v>
      </c>
      <c r="H465" s="44">
        <v>0</v>
      </c>
      <c r="I465" s="44">
        <v>674481.81868200004</v>
      </c>
      <c r="J465" s="44">
        <v>0</v>
      </c>
      <c r="K465" s="44"/>
      <c r="L465" s="44"/>
      <c r="M465" s="44">
        <v>0</v>
      </c>
      <c r="N465" s="44">
        <v>1465015.4884260001</v>
      </c>
      <c r="O465" s="44">
        <v>0</v>
      </c>
      <c r="P465" s="44">
        <v>2572639.0445699999</v>
      </c>
      <c r="Q465" s="44"/>
      <c r="R465" s="44"/>
      <c r="S465" s="68"/>
      <c r="T465" s="136">
        <v>118950.26341574</v>
      </c>
      <c r="U465" s="24">
        <f t="shared" si="86"/>
        <v>4</v>
      </c>
    </row>
    <row r="466" spans="1:22" x14ac:dyDescent="0.25">
      <c r="A466" s="135">
        <f t="shared" si="87"/>
        <v>449</v>
      </c>
      <c r="B466" s="134">
        <f t="shared" si="87"/>
        <v>261</v>
      </c>
      <c r="C466" s="77" t="s">
        <v>106</v>
      </c>
      <c r="D466" s="77" t="s">
        <v>528</v>
      </c>
      <c r="E466" s="129">
        <f t="shared" si="85"/>
        <v>7180288.0364000006</v>
      </c>
      <c r="F466" s="44">
        <v>1536923.9460959998</v>
      </c>
      <c r="G466" s="44">
        <v>0</v>
      </c>
      <c r="H466" s="44">
        <v>0</v>
      </c>
      <c r="I466" s="44"/>
      <c r="J466" s="44">
        <v>0</v>
      </c>
      <c r="K466" s="44"/>
      <c r="L466" s="44">
        <v>334977.14468904003</v>
      </c>
      <c r="M466" s="44">
        <v>0</v>
      </c>
      <c r="N466" s="44">
        <v>1876117.9502100002</v>
      </c>
      <c r="O466" s="44">
        <v>0</v>
      </c>
      <c r="P466" s="44">
        <v>3278610.8314260002</v>
      </c>
      <c r="Q466" s="44"/>
      <c r="R466" s="44"/>
      <c r="S466" s="68"/>
      <c r="T466" s="136">
        <v>153658.16397896002</v>
      </c>
      <c r="U466" s="24">
        <f t="shared" si="86"/>
        <v>4</v>
      </c>
    </row>
    <row r="467" spans="1:22" x14ac:dyDescent="0.25">
      <c r="A467" s="135">
        <f t="shared" si="87"/>
        <v>450</v>
      </c>
      <c r="B467" s="134">
        <f t="shared" si="87"/>
        <v>262</v>
      </c>
      <c r="C467" s="77" t="s">
        <v>446</v>
      </c>
      <c r="D467" s="77" t="s">
        <v>447</v>
      </c>
      <c r="E467" s="129">
        <f t="shared" si="85"/>
        <v>16858412.73</v>
      </c>
      <c r="F467" s="44">
        <v>1683565.8969639998</v>
      </c>
      <c r="G467" s="44">
        <v>1040219.4703179998</v>
      </c>
      <c r="H467" s="44">
        <v>488517.72999399999</v>
      </c>
      <c r="I467" s="44">
        <v>423331.30508199998</v>
      </c>
      <c r="J467" s="44">
        <v>0</v>
      </c>
      <c r="K467" s="44"/>
      <c r="L467" s="44">
        <v>147640.393614</v>
      </c>
      <c r="M467" s="44">
        <v>0</v>
      </c>
      <c r="N467" s="44">
        <v>4805741.3532099994</v>
      </c>
      <c r="O467" s="44">
        <v>0</v>
      </c>
      <c r="P467" s="44">
        <v>4013795.9746779995</v>
      </c>
      <c r="Q467" s="44">
        <v>3549227.0136119998</v>
      </c>
      <c r="R467" s="44">
        <v>314486.54000000004</v>
      </c>
      <c r="S467" s="44">
        <v>38674.67</v>
      </c>
      <c r="T467" s="136">
        <v>353212.38252800005</v>
      </c>
      <c r="U467" s="24">
        <f t="shared" si="86"/>
        <v>8</v>
      </c>
    </row>
    <row r="468" spans="1:22" x14ac:dyDescent="0.25">
      <c r="A468" s="135">
        <f t="shared" si="87"/>
        <v>451</v>
      </c>
      <c r="B468" s="134">
        <f t="shared" si="87"/>
        <v>263</v>
      </c>
      <c r="C468" s="77" t="s">
        <v>262</v>
      </c>
      <c r="D468" s="77" t="s">
        <v>263</v>
      </c>
      <c r="E468" s="129">
        <f t="shared" si="85"/>
        <v>5471090.385000119</v>
      </c>
      <c r="F468" s="44">
        <v>2405495.4171779994</v>
      </c>
      <c r="G468" s="44">
        <v>0</v>
      </c>
      <c r="H468" s="44">
        <v>0</v>
      </c>
      <c r="I468" s="44">
        <v>0</v>
      </c>
      <c r="J468" s="44">
        <v>0</v>
      </c>
      <c r="K468" s="44"/>
      <c r="L468" s="44"/>
      <c r="M468" s="44">
        <v>0</v>
      </c>
      <c r="N468" s="44">
        <v>2946332.8479479998</v>
      </c>
      <c r="O468" s="44">
        <v>0</v>
      </c>
      <c r="P468" s="44">
        <v>0</v>
      </c>
      <c r="Q468" s="44"/>
      <c r="R468" s="44"/>
      <c r="S468" s="68"/>
      <c r="T468" s="136">
        <v>119262.11987412002</v>
      </c>
      <c r="U468" s="24">
        <f t="shared" si="86"/>
        <v>2</v>
      </c>
    </row>
    <row r="469" spans="1:22" x14ac:dyDescent="0.25">
      <c r="A469" s="135">
        <f t="shared" si="87"/>
        <v>452</v>
      </c>
      <c r="B469" s="134">
        <f t="shared" si="87"/>
        <v>264</v>
      </c>
      <c r="C469" s="77" t="s">
        <v>109</v>
      </c>
      <c r="D469" s="77" t="s">
        <v>529</v>
      </c>
      <c r="E469" s="129">
        <f t="shared" si="85"/>
        <v>6209439.0055262595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/>
      <c r="L469" s="44"/>
      <c r="M469" s="44">
        <v>0</v>
      </c>
      <c r="N469" s="44">
        <v>0</v>
      </c>
      <c r="O469" s="44">
        <v>0</v>
      </c>
      <c r="P469" s="44">
        <v>0</v>
      </c>
      <c r="Q469" s="44">
        <v>6039757.0999999996</v>
      </c>
      <c r="R469" s="44"/>
      <c r="S469" s="68"/>
      <c r="T469" s="136">
        <v>169681.90552626003</v>
      </c>
      <c r="U469" s="24">
        <f t="shared" si="86"/>
        <v>1</v>
      </c>
      <c r="V469" s="1" t="s">
        <v>711</v>
      </c>
    </row>
    <row r="470" spans="1:22" x14ac:dyDescent="0.25">
      <c r="A470" s="135">
        <f t="shared" si="87"/>
        <v>453</v>
      </c>
      <c r="B470" s="134">
        <f t="shared" si="87"/>
        <v>265</v>
      </c>
      <c r="C470" s="77" t="s">
        <v>109</v>
      </c>
      <c r="D470" s="77" t="s">
        <v>265</v>
      </c>
      <c r="E470" s="129">
        <f t="shared" si="85"/>
        <v>1050228.8737864401</v>
      </c>
      <c r="F470" s="44">
        <v>0</v>
      </c>
      <c r="G470" s="44">
        <v>0</v>
      </c>
      <c r="H470" s="44">
        <v>0</v>
      </c>
      <c r="I470" s="44">
        <v>0</v>
      </c>
      <c r="J470" s="44">
        <v>1026987.1700000002</v>
      </c>
      <c r="K470" s="44"/>
      <c r="L470" s="44"/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/>
      <c r="S470" s="68"/>
      <c r="T470" s="136">
        <v>23241.703786440004</v>
      </c>
      <c r="U470" s="24">
        <f t="shared" si="86"/>
        <v>1</v>
      </c>
      <c r="V470" s="1" t="s">
        <v>711</v>
      </c>
    </row>
    <row r="471" spans="1:22" x14ac:dyDescent="0.25">
      <c r="A471" s="135">
        <f t="shared" si="87"/>
        <v>454</v>
      </c>
      <c r="B471" s="134">
        <f t="shared" si="87"/>
        <v>266</v>
      </c>
      <c r="C471" s="77" t="s">
        <v>109</v>
      </c>
      <c r="D471" s="77" t="s">
        <v>266</v>
      </c>
      <c r="E471" s="129">
        <f t="shared" si="85"/>
        <v>293473.29564598005</v>
      </c>
      <c r="F471" s="44">
        <v>0</v>
      </c>
      <c r="G471" s="44">
        <v>0</v>
      </c>
      <c r="H471" s="44">
        <v>0</v>
      </c>
      <c r="I471" s="44">
        <v>0</v>
      </c>
      <c r="J471" s="44">
        <v>286699.09000000003</v>
      </c>
      <c r="K471" s="44"/>
      <c r="L471" s="44"/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/>
      <c r="S471" s="68"/>
      <c r="T471" s="136">
        <v>6774.2056459800015</v>
      </c>
      <c r="U471" s="24">
        <f t="shared" si="86"/>
        <v>1</v>
      </c>
      <c r="V471" s="1" t="s">
        <v>711</v>
      </c>
    </row>
    <row r="472" spans="1:22" x14ac:dyDescent="0.25">
      <c r="A472" s="135">
        <f t="shared" si="87"/>
        <v>455</v>
      </c>
      <c r="B472" s="134">
        <f t="shared" si="87"/>
        <v>267</v>
      </c>
      <c r="C472" s="77" t="s">
        <v>109</v>
      </c>
      <c r="D472" s="77" t="s">
        <v>267</v>
      </c>
      <c r="E472" s="129">
        <f t="shared" si="85"/>
        <v>321001.14</v>
      </c>
      <c r="F472" s="44">
        <v>0</v>
      </c>
      <c r="G472" s="44">
        <v>0</v>
      </c>
      <c r="H472" s="44">
        <v>0</v>
      </c>
      <c r="I472" s="44">
        <v>0</v>
      </c>
      <c r="J472" s="44">
        <v>318383.06</v>
      </c>
      <c r="K472" s="44"/>
      <c r="L472" s="44"/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/>
      <c r="S472" s="68"/>
      <c r="T472" s="136">
        <v>2618.08</v>
      </c>
      <c r="U472" s="24">
        <f t="shared" si="86"/>
        <v>1</v>
      </c>
      <c r="V472" s="1" t="s">
        <v>711</v>
      </c>
    </row>
    <row r="473" spans="1:22" x14ac:dyDescent="0.25">
      <c r="A473" s="135">
        <f t="shared" si="87"/>
        <v>456</v>
      </c>
      <c r="B473" s="134">
        <f t="shared" si="87"/>
        <v>268</v>
      </c>
      <c r="C473" s="77" t="s">
        <v>110</v>
      </c>
      <c r="D473" s="77" t="s">
        <v>270</v>
      </c>
      <c r="E473" s="129">
        <f t="shared" si="85"/>
        <v>1873270.93</v>
      </c>
      <c r="F473" s="44">
        <v>0</v>
      </c>
      <c r="G473" s="44">
        <v>0</v>
      </c>
      <c r="H473" s="44">
        <v>0</v>
      </c>
      <c r="I473" s="44">
        <v>0</v>
      </c>
      <c r="J473" s="44">
        <v>1859152.43</v>
      </c>
      <c r="K473" s="44"/>
      <c r="L473" s="44"/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/>
      <c r="S473" s="68"/>
      <c r="T473" s="136">
        <v>14118.5</v>
      </c>
      <c r="U473" s="24">
        <f t="shared" si="86"/>
        <v>1</v>
      </c>
      <c r="V473" s="1" t="s">
        <v>711</v>
      </c>
    </row>
    <row r="474" spans="1:22" x14ac:dyDescent="0.25">
      <c r="A474" s="135">
        <f t="shared" si="87"/>
        <v>457</v>
      </c>
      <c r="B474" s="134">
        <f t="shared" si="87"/>
        <v>269</v>
      </c>
      <c r="C474" s="77" t="s">
        <v>110</v>
      </c>
      <c r="D474" s="77" t="s">
        <v>451</v>
      </c>
      <c r="E474" s="129">
        <f t="shared" si="85"/>
        <v>2251948.8353626798</v>
      </c>
      <c r="F474" s="44"/>
      <c r="G474" s="44">
        <v>0</v>
      </c>
      <c r="H474" s="44">
        <v>0</v>
      </c>
      <c r="I474" s="44">
        <v>0</v>
      </c>
      <c r="J474" s="44"/>
      <c r="K474" s="44"/>
      <c r="L474" s="44"/>
      <c r="M474" s="44">
        <v>0</v>
      </c>
      <c r="N474" s="44">
        <v>0</v>
      </c>
      <c r="O474" s="44">
        <v>0</v>
      </c>
      <c r="P474" s="44">
        <v>0</v>
      </c>
      <c r="Q474" s="44">
        <v>1961437.3199999998</v>
      </c>
      <c r="R474" s="44"/>
      <c r="S474" s="68"/>
      <c r="T474" s="136">
        <v>290511.51536268002</v>
      </c>
      <c r="U474" s="24">
        <f t="shared" si="86"/>
        <v>1</v>
      </c>
      <c r="V474" s="1" t="s">
        <v>711</v>
      </c>
    </row>
    <row r="475" spans="1:22" x14ac:dyDescent="0.25">
      <c r="A475" s="135">
        <f t="shared" si="87"/>
        <v>458</v>
      </c>
      <c r="B475" s="134">
        <f t="shared" si="87"/>
        <v>270</v>
      </c>
      <c r="C475" s="77" t="s">
        <v>110</v>
      </c>
      <c r="D475" s="77" t="s">
        <v>115</v>
      </c>
      <c r="E475" s="129">
        <f t="shared" si="85"/>
        <v>2442223.62128712</v>
      </c>
      <c r="F475" s="44">
        <v>0</v>
      </c>
      <c r="G475" s="44">
        <v>0</v>
      </c>
      <c r="H475" s="44">
        <v>0</v>
      </c>
      <c r="I475" s="44">
        <v>0</v>
      </c>
      <c r="J475" s="44"/>
      <c r="K475" s="44"/>
      <c r="L475" s="44"/>
      <c r="M475" s="44">
        <v>0</v>
      </c>
      <c r="N475" s="44">
        <v>0</v>
      </c>
      <c r="O475" s="44">
        <v>0</v>
      </c>
      <c r="P475" s="44">
        <v>0</v>
      </c>
      <c r="Q475" s="44">
        <v>2292179.81</v>
      </c>
      <c r="R475" s="44"/>
      <c r="S475" s="68"/>
      <c r="T475" s="136">
        <v>150043.81128712001</v>
      </c>
      <c r="U475" s="24">
        <f t="shared" si="86"/>
        <v>1</v>
      </c>
      <c r="V475" s="1" t="s">
        <v>711</v>
      </c>
    </row>
    <row r="476" spans="1:22" x14ac:dyDescent="0.25">
      <c r="A476" s="135">
        <f t="shared" si="87"/>
        <v>459</v>
      </c>
      <c r="B476" s="134">
        <f t="shared" si="87"/>
        <v>271</v>
      </c>
      <c r="C476" s="77" t="s">
        <v>110</v>
      </c>
      <c r="D476" s="77" t="s">
        <v>532</v>
      </c>
      <c r="E476" s="129">
        <f t="shared" si="85"/>
        <v>6432710.1713439999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4"/>
      <c r="L476" s="44"/>
      <c r="M476" s="44">
        <v>0</v>
      </c>
      <c r="N476" s="44">
        <v>0</v>
      </c>
      <c r="O476" s="44">
        <v>0</v>
      </c>
      <c r="P476" s="44"/>
      <c r="Q476" s="44">
        <v>6280344.04</v>
      </c>
      <c r="R476" s="44"/>
      <c r="S476" s="68"/>
      <c r="T476" s="136">
        <v>152366.13134399999</v>
      </c>
      <c r="U476" s="24">
        <f t="shared" si="86"/>
        <v>1</v>
      </c>
    </row>
    <row r="477" spans="1:22" x14ac:dyDescent="0.25">
      <c r="A477" s="135">
        <f t="shared" si="87"/>
        <v>460</v>
      </c>
      <c r="B477" s="134">
        <f t="shared" si="87"/>
        <v>272</v>
      </c>
      <c r="C477" s="77" t="s">
        <v>110</v>
      </c>
      <c r="D477" s="77" t="s">
        <v>118</v>
      </c>
      <c r="E477" s="129">
        <f t="shared" si="85"/>
        <v>6210065.9474952389</v>
      </c>
      <c r="F477" s="44"/>
      <c r="G477" s="44">
        <v>0</v>
      </c>
      <c r="H477" s="44">
        <v>0</v>
      </c>
      <c r="I477" s="44">
        <v>0</v>
      </c>
      <c r="J477" s="44"/>
      <c r="K477" s="44"/>
      <c r="L477" s="44"/>
      <c r="M477" s="44">
        <v>0</v>
      </c>
      <c r="N477" s="44">
        <v>0</v>
      </c>
      <c r="O477" s="44">
        <v>0</v>
      </c>
      <c r="P477" s="44">
        <v>5910943.6999999993</v>
      </c>
      <c r="Q477" s="44"/>
      <c r="R477" s="44"/>
      <c r="S477" s="68"/>
      <c r="T477" s="136">
        <v>299122.24749524001</v>
      </c>
      <c r="U477" s="24">
        <f t="shared" si="86"/>
        <v>1</v>
      </c>
      <c r="V477" s="1" t="s">
        <v>711</v>
      </c>
    </row>
    <row r="478" spans="1:22" x14ac:dyDescent="0.25">
      <c r="A478" s="135">
        <f t="shared" si="87"/>
        <v>461</v>
      </c>
      <c r="B478" s="134">
        <f t="shared" si="87"/>
        <v>273</v>
      </c>
      <c r="C478" s="77" t="s">
        <v>110</v>
      </c>
      <c r="D478" s="77" t="s">
        <v>274</v>
      </c>
      <c r="E478" s="129">
        <f t="shared" si="85"/>
        <v>340500.39751072001</v>
      </c>
      <c r="F478" s="44"/>
      <c r="G478" s="44"/>
      <c r="H478" s="44"/>
      <c r="I478" s="44"/>
      <c r="J478" s="44">
        <v>320937.5</v>
      </c>
      <c r="K478" s="44"/>
      <c r="L478" s="44"/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/>
      <c r="S478" s="68"/>
      <c r="T478" s="136">
        <v>19562.897510720002</v>
      </c>
      <c r="U478" s="24">
        <f t="shared" si="86"/>
        <v>1</v>
      </c>
      <c r="V478" s="1" t="s">
        <v>714</v>
      </c>
    </row>
    <row r="479" spans="1:22" x14ac:dyDescent="0.25">
      <c r="A479" s="135">
        <f t="shared" ref="A479:B479" si="88">+A478+1</f>
        <v>462</v>
      </c>
      <c r="B479" s="134">
        <f t="shared" si="88"/>
        <v>274</v>
      </c>
      <c r="C479" s="77" t="s">
        <v>110</v>
      </c>
      <c r="D479" s="77" t="s">
        <v>119</v>
      </c>
      <c r="E479" s="129">
        <f t="shared" si="85"/>
        <v>13274787.34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/>
      <c r="L479" s="44"/>
      <c r="M479" s="44">
        <v>0</v>
      </c>
      <c r="N479" s="44">
        <v>0</v>
      </c>
      <c r="O479" s="44">
        <v>0</v>
      </c>
      <c r="P479" s="44">
        <v>7231455.4199999999</v>
      </c>
      <c r="Q479" s="44">
        <v>5881945.1899999995</v>
      </c>
      <c r="R479" s="44"/>
      <c r="S479" s="68"/>
      <c r="T479" s="136">
        <v>161386.72999999998</v>
      </c>
      <c r="U479" s="24">
        <f t="shared" si="86"/>
        <v>2</v>
      </c>
    </row>
    <row r="480" spans="1:22" s="55" customFormat="1" x14ac:dyDescent="0.25">
      <c r="D480" s="56">
        <v>2024</v>
      </c>
      <c r="E480" s="59">
        <f>SUM(F480:T480)</f>
        <v>3798960476.5512514</v>
      </c>
      <c r="F480" s="59">
        <f t="shared" ref="F480:U480" si="89">SUM(F481:F751)</f>
        <v>688964879.55553818</v>
      </c>
      <c r="G480" s="59">
        <f t="shared" si="89"/>
        <v>222011004.62018853</v>
      </c>
      <c r="H480" s="59">
        <f t="shared" si="89"/>
        <v>252553404.54617643</v>
      </c>
      <c r="I480" s="59">
        <f t="shared" si="89"/>
        <v>152664538.40203968</v>
      </c>
      <c r="J480" s="59">
        <f t="shared" si="89"/>
        <v>38007735.029524237</v>
      </c>
      <c r="K480" s="59">
        <f t="shared" si="89"/>
        <v>0</v>
      </c>
      <c r="L480" s="59">
        <f t="shared" si="89"/>
        <v>23813980.252038062</v>
      </c>
      <c r="M480" s="59">
        <f t="shared" si="89"/>
        <v>278273940.69563919</v>
      </c>
      <c r="N480" s="59">
        <f t="shared" si="89"/>
        <v>578398492.01891518</v>
      </c>
      <c r="O480" s="59">
        <f t="shared" si="89"/>
        <v>109879232.25027345</v>
      </c>
      <c r="P480" s="59">
        <f t="shared" si="89"/>
        <v>897345440.05839491</v>
      </c>
      <c r="Q480" s="59">
        <f t="shared" si="89"/>
        <v>410624693.30751145</v>
      </c>
      <c r="R480" s="59">
        <f t="shared" si="89"/>
        <v>59632673.527691498</v>
      </c>
      <c r="S480" s="59">
        <f t="shared" si="89"/>
        <v>5161965.5865214812</v>
      </c>
      <c r="T480" s="59">
        <f t="shared" si="89"/>
        <v>81628496.700799584</v>
      </c>
      <c r="U480" s="59">
        <f t="shared" si="89"/>
        <v>670</v>
      </c>
    </row>
    <row r="481" spans="1:21" s="35" customFormat="1" x14ac:dyDescent="0.25">
      <c r="A481" s="135">
        <f>+A479+1</f>
        <v>463</v>
      </c>
      <c r="B481" s="134">
        <f t="shared" ref="B481" si="90">+B480+1</f>
        <v>1</v>
      </c>
      <c r="C481" s="130" t="s">
        <v>617</v>
      </c>
      <c r="D481" s="77" t="s">
        <v>691</v>
      </c>
      <c r="E481" s="129">
        <f t="shared" si="85"/>
        <v>10774080</v>
      </c>
      <c r="F481" s="44">
        <v>0</v>
      </c>
      <c r="G481" s="44">
        <v>0</v>
      </c>
      <c r="H481" s="44">
        <v>0</v>
      </c>
      <c r="I481" s="44">
        <v>0</v>
      </c>
      <c r="J481" s="44"/>
      <c r="K481" s="44">
        <v>0</v>
      </c>
      <c r="L481" s="44"/>
      <c r="M481" s="44">
        <v>10121774.10048</v>
      </c>
      <c r="N481" s="44">
        <v>0</v>
      </c>
      <c r="O481" s="44">
        <v>0</v>
      </c>
      <c r="P481" s="44">
        <v>0</v>
      </c>
      <c r="Q481" s="44">
        <v>0</v>
      </c>
      <c r="R481" s="44">
        <v>323222.39999999997</v>
      </c>
      <c r="S481" s="68">
        <v>107740.8</v>
      </c>
      <c r="T481" s="136">
        <v>221342.69951999999</v>
      </c>
      <c r="U481" s="24">
        <f t="shared" si="86"/>
        <v>1</v>
      </c>
    </row>
    <row r="482" spans="1:21" x14ac:dyDescent="0.25">
      <c r="A482" s="135">
        <f>+A481+1</f>
        <v>464</v>
      </c>
      <c r="B482" s="134">
        <f>+B481+1</f>
        <v>2</v>
      </c>
      <c r="C482" s="81"/>
      <c r="D482" s="77" t="s">
        <v>638</v>
      </c>
      <c r="E482" s="129">
        <f t="shared" si="85"/>
        <v>3109557.33</v>
      </c>
      <c r="F482" s="44"/>
      <c r="G482" s="44"/>
      <c r="H482" s="44"/>
      <c r="I482" s="44"/>
      <c r="J482" s="44"/>
      <c r="K482" s="44"/>
      <c r="L482" s="44"/>
      <c r="M482" s="44">
        <v>3010386.5700000003</v>
      </c>
      <c r="N482" s="44">
        <v>0</v>
      </c>
      <c r="O482" s="44">
        <v>0</v>
      </c>
      <c r="P482" s="44">
        <v>0</v>
      </c>
      <c r="Q482" s="44">
        <v>0</v>
      </c>
      <c r="R482" s="44">
        <v>55593.51</v>
      </c>
      <c r="S482" s="68">
        <v>43577.25</v>
      </c>
      <c r="T482" s="136"/>
      <c r="U482" s="24">
        <f t="shared" si="86"/>
        <v>1</v>
      </c>
    </row>
    <row r="483" spans="1:21" s="38" customFormat="1" x14ac:dyDescent="0.25">
      <c r="A483" s="135">
        <f t="shared" ref="A483:A546" si="91">+A482+1</f>
        <v>465</v>
      </c>
      <c r="B483" s="134">
        <f t="shared" ref="B483:B546" si="92">+B482+1</f>
        <v>3</v>
      </c>
      <c r="C483" s="77" t="s">
        <v>54</v>
      </c>
      <c r="D483" s="77" t="s">
        <v>55</v>
      </c>
      <c r="E483" s="129">
        <f t="shared" si="85"/>
        <v>4612352.454245952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/>
      <c r="L483" s="44"/>
      <c r="M483" s="44">
        <v>0</v>
      </c>
      <c r="N483" s="44">
        <v>0</v>
      </c>
      <c r="O483" s="44">
        <v>4513648.1117250882</v>
      </c>
      <c r="P483" s="44">
        <v>0</v>
      </c>
      <c r="Q483" s="44">
        <v>0</v>
      </c>
      <c r="R483" s="44"/>
      <c r="S483" s="68"/>
      <c r="T483" s="136">
        <v>98704.342520863371</v>
      </c>
      <c r="U483" s="24">
        <f t="shared" si="86"/>
        <v>1</v>
      </c>
    </row>
    <row r="484" spans="1:21" s="38" customFormat="1" x14ac:dyDescent="0.25">
      <c r="A484" s="135">
        <f t="shared" si="91"/>
        <v>466</v>
      </c>
      <c r="B484" s="134">
        <f t="shared" si="92"/>
        <v>4</v>
      </c>
      <c r="C484" s="77" t="s">
        <v>54</v>
      </c>
      <c r="D484" s="77" t="s">
        <v>56</v>
      </c>
      <c r="E484" s="129">
        <f t="shared" si="85"/>
        <v>4989316.109734958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/>
      <c r="L484" s="44"/>
      <c r="M484" s="44">
        <v>0</v>
      </c>
      <c r="N484" s="44">
        <v>0</v>
      </c>
      <c r="O484" s="44">
        <v>4524977.6333963946</v>
      </c>
      <c r="P484" s="44"/>
      <c r="Q484" s="44">
        <v>0</v>
      </c>
      <c r="R484" s="44"/>
      <c r="S484" s="68"/>
      <c r="T484" s="136">
        <v>464338.47633856395</v>
      </c>
      <c r="U484" s="24">
        <f t="shared" si="86"/>
        <v>1</v>
      </c>
    </row>
    <row r="485" spans="1:21" s="39" customFormat="1" x14ac:dyDescent="0.25">
      <c r="A485" s="135">
        <f t="shared" si="91"/>
        <v>467</v>
      </c>
      <c r="B485" s="134">
        <f t="shared" si="92"/>
        <v>5</v>
      </c>
      <c r="C485" s="77" t="s">
        <v>54</v>
      </c>
      <c r="D485" s="77" t="s">
        <v>57</v>
      </c>
      <c r="E485" s="129">
        <f t="shared" si="85"/>
        <v>10975249.203776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/>
      <c r="L485" s="44"/>
      <c r="M485" s="44">
        <v>0</v>
      </c>
      <c r="N485" s="44">
        <v>0</v>
      </c>
      <c r="O485" s="44">
        <v>10740378.870815193</v>
      </c>
      <c r="P485" s="44">
        <v>0</v>
      </c>
      <c r="Q485" s="44">
        <v>0</v>
      </c>
      <c r="R485" s="44"/>
      <c r="S485" s="68"/>
      <c r="T485" s="136">
        <v>234870.33296080641</v>
      </c>
      <c r="U485" s="24">
        <f t="shared" si="86"/>
        <v>1</v>
      </c>
    </row>
    <row r="486" spans="1:21" s="39" customFormat="1" x14ac:dyDescent="0.25">
      <c r="A486" s="135">
        <f t="shared" si="91"/>
        <v>468</v>
      </c>
      <c r="B486" s="134">
        <f t="shared" si="92"/>
        <v>6</v>
      </c>
      <c r="C486" s="77" t="s">
        <v>54</v>
      </c>
      <c r="D486" s="77" t="s">
        <v>58</v>
      </c>
      <c r="E486" s="129">
        <f t="shared" si="85"/>
        <v>31948678.933052544</v>
      </c>
      <c r="F486" s="44">
        <v>0</v>
      </c>
      <c r="G486" s="44">
        <v>0</v>
      </c>
      <c r="H486" s="44">
        <v>9324692.0449531022</v>
      </c>
      <c r="I486" s="44">
        <v>0</v>
      </c>
      <c r="J486" s="44">
        <v>0</v>
      </c>
      <c r="K486" s="44"/>
      <c r="L486" s="44"/>
      <c r="M486" s="44">
        <v>0</v>
      </c>
      <c r="N486" s="44">
        <v>0</v>
      </c>
      <c r="O486" s="44">
        <v>21940285.15893212</v>
      </c>
      <c r="P486" s="44">
        <v>0</v>
      </c>
      <c r="Q486" s="44">
        <v>0</v>
      </c>
      <c r="R486" s="44"/>
      <c r="S486" s="68"/>
      <c r="T486" s="136">
        <v>683701.72916732461</v>
      </c>
      <c r="U486" s="24">
        <f t="shared" si="86"/>
        <v>2</v>
      </c>
    </row>
    <row r="487" spans="1:21" s="39" customFormat="1" x14ac:dyDescent="0.25">
      <c r="A487" s="135">
        <f t="shared" si="91"/>
        <v>469</v>
      </c>
      <c r="B487" s="134">
        <f t="shared" si="92"/>
        <v>7</v>
      </c>
      <c r="C487" s="77"/>
      <c r="D487" s="77" t="s">
        <v>692</v>
      </c>
      <c r="E487" s="129">
        <f t="shared" si="85"/>
        <v>28543137.430465598</v>
      </c>
      <c r="F487" s="44">
        <v>7354624.7223268794</v>
      </c>
      <c r="G487" s="44"/>
      <c r="H487" s="44">
        <v>2193857.2108265185</v>
      </c>
      <c r="I487" s="44">
        <v>1436730.2172311042</v>
      </c>
      <c r="J487" s="44"/>
      <c r="K487" s="44"/>
      <c r="L487" s="44">
        <v>226373.22937164502</v>
      </c>
      <c r="M487" s="44"/>
      <c r="N487" s="44">
        <v>10792178.422151886</v>
      </c>
      <c r="O487" s="44">
        <v>4430546.8082693042</v>
      </c>
      <c r="P487" s="44"/>
      <c r="Q487" s="44"/>
      <c r="R487" s="44">
        <v>1332719.8</v>
      </c>
      <c r="S487" s="68"/>
      <c r="T487" s="136">
        <v>776107.02028826391</v>
      </c>
      <c r="U487" s="24">
        <f t="shared" si="86"/>
        <v>6</v>
      </c>
    </row>
    <row r="488" spans="1:21" s="39" customFormat="1" x14ac:dyDescent="0.25">
      <c r="A488" s="135">
        <f t="shared" si="91"/>
        <v>470</v>
      </c>
      <c r="B488" s="134">
        <f t="shared" si="92"/>
        <v>8</v>
      </c>
      <c r="C488" s="77"/>
      <c r="D488" s="77" t="s">
        <v>693</v>
      </c>
      <c r="E488" s="129">
        <f t="shared" si="85"/>
        <v>23900645.508189511</v>
      </c>
      <c r="F488" s="44">
        <v>7396203.6816467512</v>
      </c>
      <c r="G488" s="44"/>
      <c r="H488" s="44">
        <v>2205842.5577381621</v>
      </c>
      <c r="I488" s="44">
        <v>1448008.6603670018</v>
      </c>
      <c r="J488" s="44"/>
      <c r="K488" s="44"/>
      <c r="L488" s="44">
        <v>227484.67274649048</v>
      </c>
      <c r="M488" s="44"/>
      <c r="N488" s="44">
        <v>10856829.151723081</v>
      </c>
      <c r="O488" s="44"/>
      <c r="P488" s="44"/>
      <c r="Q488" s="44"/>
      <c r="R488" s="44">
        <v>1082844.3500000001</v>
      </c>
      <c r="S488" s="68"/>
      <c r="T488" s="136">
        <v>683432.43396801839</v>
      </c>
      <c r="U488" s="24">
        <f t="shared" si="86"/>
        <v>5</v>
      </c>
    </row>
    <row r="489" spans="1:21" x14ac:dyDescent="0.25">
      <c r="A489" s="135">
        <f t="shared" si="91"/>
        <v>471</v>
      </c>
      <c r="B489" s="134">
        <f t="shared" si="92"/>
        <v>9</v>
      </c>
      <c r="C489" s="77" t="s">
        <v>60</v>
      </c>
      <c r="D489" s="77" t="s">
        <v>123</v>
      </c>
      <c r="E489" s="129">
        <f t="shared" si="85"/>
        <v>24874814.574595217</v>
      </c>
      <c r="F489" s="44">
        <v>12131968.210906873</v>
      </c>
      <c r="G489" s="44">
        <v>5844352.9357768334</v>
      </c>
      <c r="H489" s="44">
        <v>3569164.9191403314</v>
      </c>
      <c r="I489" s="44">
        <v>2405162.5578562059</v>
      </c>
      <c r="J489" s="44">
        <v>0</v>
      </c>
      <c r="K489" s="44"/>
      <c r="L489" s="44">
        <v>391844.91901863407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/>
      <c r="S489" s="68"/>
      <c r="T489" s="136">
        <v>532321.03189633763</v>
      </c>
      <c r="U489" s="24">
        <f t="shared" si="86"/>
        <v>5</v>
      </c>
    </row>
    <row r="490" spans="1:21" x14ac:dyDescent="0.25">
      <c r="A490" s="135">
        <f t="shared" si="91"/>
        <v>472</v>
      </c>
      <c r="B490" s="134">
        <f t="shared" si="92"/>
        <v>10</v>
      </c>
      <c r="C490" s="77" t="s">
        <v>60</v>
      </c>
      <c r="D490" s="77" t="s">
        <v>279</v>
      </c>
      <c r="E490" s="129">
        <f t="shared" si="85"/>
        <v>20098294.125966769</v>
      </c>
      <c r="F490" s="44">
        <v>12966620.036643</v>
      </c>
      <c r="G490" s="44"/>
      <c r="H490" s="44"/>
      <c r="I490" s="44">
        <v>2570628.0509279999</v>
      </c>
      <c r="J490" s="44">
        <v>0</v>
      </c>
      <c r="K490" s="44"/>
      <c r="L490" s="44">
        <v>418822.00892279996</v>
      </c>
      <c r="M490" s="44">
        <v>0</v>
      </c>
      <c r="N490" s="44">
        <v>0</v>
      </c>
      <c r="O490" s="44">
        <v>0</v>
      </c>
      <c r="P490" s="44">
        <v>0</v>
      </c>
      <c r="Q490" s="44">
        <v>3496811.6598338219</v>
      </c>
      <c r="R490" s="44"/>
      <c r="S490" s="68"/>
      <c r="T490" s="136">
        <v>645412.36963914591</v>
      </c>
      <c r="U490" s="24">
        <f t="shared" si="86"/>
        <v>4</v>
      </c>
    </row>
    <row r="491" spans="1:21" x14ac:dyDescent="0.25">
      <c r="A491" s="135">
        <f t="shared" si="91"/>
        <v>473</v>
      </c>
      <c r="B491" s="134">
        <f t="shared" si="92"/>
        <v>11</v>
      </c>
      <c r="C491" s="77" t="s">
        <v>60</v>
      </c>
      <c r="D491" s="77" t="s">
        <v>455</v>
      </c>
      <c r="E491" s="129">
        <f t="shared" si="85"/>
        <v>17775956.210939597</v>
      </c>
      <c r="F491" s="44">
        <v>8669706.261442598</v>
      </c>
      <c r="G491" s="44">
        <v>4176471.8107184474</v>
      </c>
      <c r="H491" s="44">
        <v>2550584.6132842074</v>
      </c>
      <c r="I491" s="44">
        <v>1718769.1663160517</v>
      </c>
      <c r="J491" s="44">
        <v>0</v>
      </c>
      <c r="K491" s="44"/>
      <c r="L491" s="44">
        <v>280018.89626418491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/>
      <c r="S491" s="68"/>
      <c r="T491" s="136">
        <v>380405.46291410743</v>
      </c>
      <c r="U491" s="24">
        <f t="shared" si="86"/>
        <v>5</v>
      </c>
    </row>
    <row r="492" spans="1:21" x14ac:dyDescent="0.25">
      <c r="A492" s="135">
        <f t="shared" si="91"/>
        <v>474</v>
      </c>
      <c r="B492" s="134">
        <f t="shared" si="92"/>
        <v>12</v>
      </c>
      <c r="C492" s="77" t="s">
        <v>60</v>
      </c>
      <c r="D492" s="77" t="s">
        <v>456</v>
      </c>
      <c r="E492" s="129">
        <f t="shared" si="85"/>
        <v>26824385.298744265</v>
      </c>
      <c r="F492" s="44">
        <v>14432823.302317059</v>
      </c>
      <c r="G492" s="44">
        <v>7108989.1508563198</v>
      </c>
      <c r="H492" s="44">
        <v>4341482.2764144</v>
      </c>
      <c r="I492" s="44">
        <v>0</v>
      </c>
      <c r="J492" s="44">
        <v>0</v>
      </c>
      <c r="K492" s="44">
        <v>0</v>
      </c>
      <c r="L492" s="44">
        <v>432862.10529120005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/>
      <c r="S492" s="68"/>
      <c r="T492" s="136">
        <v>508228.46386528754</v>
      </c>
      <c r="U492" s="24">
        <f t="shared" si="86"/>
        <v>4</v>
      </c>
    </row>
    <row r="493" spans="1:21" x14ac:dyDescent="0.25">
      <c r="A493" s="135">
        <f t="shared" si="91"/>
        <v>475</v>
      </c>
      <c r="B493" s="134">
        <f t="shared" si="92"/>
        <v>13</v>
      </c>
      <c r="C493" s="77" t="s">
        <v>60</v>
      </c>
      <c r="D493" s="77" t="s">
        <v>280</v>
      </c>
      <c r="E493" s="129">
        <f t="shared" si="85"/>
        <v>7084313.3406541934</v>
      </c>
      <c r="F493" s="44">
        <v>0</v>
      </c>
      <c r="G493" s="44">
        <v>0</v>
      </c>
      <c r="H493" s="44">
        <v>3130340.41</v>
      </c>
      <c r="I493" s="44">
        <v>2723483.78</v>
      </c>
      <c r="J493" s="44">
        <v>0</v>
      </c>
      <c r="K493" s="44"/>
      <c r="L493" s="44"/>
      <c r="M493" s="44">
        <v>0</v>
      </c>
      <c r="N493" s="44">
        <v>0</v>
      </c>
      <c r="O493" s="44">
        <v>0</v>
      </c>
      <c r="P493" s="44">
        <v>1060064.889085032</v>
      </c>
      <c r="Q493" s="44">
        <v>0</v>
      </c>
      <c r="R493" s="44"/>
      <c r="S493" s="68"/>
      <c r="T493" s="136">
        <v>170424.26156916172</v>
      </c>
      <c r="U493" s="24">
        <f t="shared" si="86"/>
        <v>3</v>
      </c>
    </row>
    <row r="494" spans="1:21" x14ac:dyDescent="0.25">
      <c r="A494" s="135">
        <f t="shared" si="91"/>
        <v>476</v>
      </c>
      <c r="B494" s="134">
        <f t="shared" si="92"/>
        <v>14</v>
      </c>
      <c r="C494" s="77" t="s">
        <v>60</v>
      </c>
      <c r="D494" s="77" t="s">
        <v>124</v>
      </c>
      <c r="E494" s="129">
        <f t="shared" si="85"/>
        <v>792318.11290502013</v>
      </c>
      <c r="F494" s="44">
        <v>0</v>
      </c>
      <c r="G494" s="44">
        <v>0</v>
      </c>
      <c r="H494" s="44">
        <v>766834.98031195218</v>
      </c>
      <c r="I494" s="44"/>
      <c r="J494" s="44">
        <v>0</v>
      </c>
      <c r="K494" s="44"/>
      <c r="L494" s="44"/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/>
      <c r="S494" s="68"/>
      <c r="T494" s="136">
        <v>25483.132593067974</v>
      </c>
      <c r="U494" s="24">
        <f t="shared" si="86"/>
        <v>1</v>
      </c>
    </row>
    <row r="495" spans="1:21" x14ac:dyDescent="0.25">
      <c r="A495" s="135">
        <f t="shared" si="91"/>
        <v>477</v>
      </c>
      <c r="B495" s="134">
        <f t="shared" si="92"/>
        <v>15</v>
      </c>
      <c r="C495" s="77" t="s">
        <v>545</v>
      </c>
      <c r="D495" s="77" t="s">
        <v>126</v>
      </c>
      <c r="E495" s="129">
        <f t="shared" si="85"/>
        <v>7182720</v>
      </c>
      <c r="F495" s="44"/>
      <c r="G495" s="44"/>
      <c r="H495" s="44"/>
      <c r="I495" s="44"/>
      <c r="J495" s="44">
        <v>0</v>
      </c>
      <c r="K495" s="44"/>
      <c r="L495" s="44"/>
      <c r="M495" s="44">
        <v>6326108.8128000004</v>
      </c>
      <c r="N495" s="44"/>
      <c r="O495" s="44">
        <v>0</v>
      </c>
      <c r="P495" s="44">
        <v>0</v>
      </c>
      <c r="Q495" s="44">
        <v>0</v>
      </c>
      <c r="R495" s="44">
        <v>646444.79999999993</v>
      </c>
      <c r="S495" s="68">
        <v>71827.199999999997</v>
      </c>
      <c r="T495" s="136">
        <v>138339.18720000001</v>
      </c>
      <c r="U495" s="24">
        <f t="shared" si="86"/>
        <v>1</v>
      </c>
    </row>
    <row r="496" spans="1:21" x14ac:dyDescent="0.25">
      <c r="A496" s="135">
        <f t="shared" si="91"/>
        <v>478</v>
      </c>
      <c r="B496" s="134">
        <f t="shared" si="92"/>
        <v>16</v>
      </c>
      <c r="C496" s="77" t="s">
        <v>545</v>
      </c>
      <c r="D496" s="77" t="s">
        <v>128</v>
      </c>
      <c r="E496" s="129">
        <f t="shared" si="85"/>
        <v>23725234.313397765</v>
      </c>
      <c r="F496" s="44">
        <v>6428049.5552969025</v>
      </c>
      <c r="G496" s="44">
        <v>0</v>
      </c>
      <c r="H496" s="44"/>
      <c r="I496" s="44">
        <v>0</v>
      </c>
      <c r="J496" s="44">
        <v>0</v>
      </c>
      <c r="K496" s="44"/>
      <c r="L496" s="44">
        <v>285589.26987220609</v>
      </c>
      <c r="M496" s="44">
        <v>0</v>
      </c>
      <c r="N496" s="44">
        <v>0</v>
      </c>
      <c r="O496" s="44">
        <v>0</v>
      </c>
      <c r="P496" s="44">
        <v>16503875.473921943</v>
      </c>
      <c r="Q496" s="44">
        <v>0</v>
      </c>
      <c r="R496" s="44"/>
      <c r="S496" s="68"/>
      <c r="T496" s="136">
        <v>507720.0143067122</v>
      </c>
      <c r="U496" s="24">
        <f t="shared" si="86"/>
        <v>3</v>
      </c>
    </row>
    <row r="497" spans="1:21" x14ac:dyDescent="0.25">
      <c r="A497" s="135">
        <f t="shared" si="91"/>
        <v>479</v>
      </c>
      <c r="B497" s="134">
        <f t="shared" si="92"/>
        <v>17</v>
      </c>
      <c r="C497" s="77" t="s">
        <v>545</v>
      </c>
      <c r="D497" s="77" t="s">
        <v>130</v>
      </c>
      <c r="E497" s="129">
        <f t="shared" si="85"/>
        <v>14771521.290958852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/>
      <c r="L497" s="44"/>
      <c r="M497" s="44">
        <v>0</v>
      </c>
      <c r="N497" s="44">
        <v>14455410.735332333</v>
      </c>
      <c r="O497" s="44">
        <v>0</v>
      </c>
      <c r="P497" s="44"/>
      <c r="Q497" s="44">
        <v>0</v>
      </c>
      <c r="R497" s="44"/>
      <c r="S497" s="68"/>
      <c r="T497" s="136">
        <v>316110.55562651943</v>
      </c>
      <c r="U497" s="24">
        <f t="shared" si="86"/>
        <v>1</v>
      </c>
    </row>
    <row r="498" spans="1:21" x14ac:dyDescent="0.25">
      <c r="A498" s="135">
        <f t="shared" si="91"/>
        <v>480</v>
      </c>
      <c r="B498" s="134">
        <f t="shared" si="92"/>
        <v>18</v>
      </c>
      <c r="C498" s="77"/>
      <c r="D498" s="77" t="s">
        <v>741</v>
      </c>
      <c r="E498" s="129">
        <v>3591360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/>
      <c r="L498" s="44">
        <v>0</v>
      </c>
      <c r="M498" s="44">
        <v>3373924.70016</v>
      </c>
      <c r="N498" s="44"/>
      <c r="O498" s="44">
        <v>0</v>
      </c>
      <c r="P498" s="44">
        <v>0</v>
      </c>
      <c r="Q498" s="44">
        <v>0</v>
      </c>
      <c r="R498" s="44">
        <v>107740.8</v>
      </c>
      <c r="S498" s="68">
        <v>35913.599999999999</v>
      </c>
      <c r="T498" s="136">
        <v>73780.899839999998</v>
      </c>
      <c r="U498" s="24"/>
    </row>
    <row r="499" spans="1:21" x14ac:dyDescent="0.25">
      <c r="A499" s="135">
        <f t="shared" si="91"/>
        <v>481</v>
      </c>
      <c r="B499" s="134">
        <f t="shared" si="92"/>
        <v>19</v>
      </c>
      <c r="C499" s="77"/>
      <c r="D499" s="77" t="s">
        <v>742</v>
      </c>
      <c r="E499" s="129">
        <v>3591360</v>
      </c>
      <c r="F499" s="44"/>
      <c r="G499" s="44"/>
      <c r="H499" s="44"/>
      <c r="I499" s="44"/>
      <c r="J499" s="44"/>
      <c r="K499" s="44"/>
      <c r="L499" s="44"/>
      <c r="M499" s="44">
        <v>3373924.70016</v>
      </c>
      <c r="N499" s="44"/>
      <c r="O499" s="44"/>
      <c r="P499" s="44"/>
      <c r="Q499" s="44"/>
      <c r="R499" s="44">
        <v>107740.8</v>
      </c>
      <c r="S499" s="68">
        <v>35913.599999999999</v>
      </c>
      <c r="T499" s="136">
        <v>73780.899839999998</v>
      </c>
      <c r="U499" s="24"/>
    </row>
    <row r="500" spans="1:21" x14ac:dyDescent="0.25">
      <c r="A500" s="135">
        <f t="shared" si="91"/>
        <v>482</v>
      </c>
      <c r="B500" s="134">
        <f t="shared" si="92"/>
        <v>20</v>
      </c>
      <c r="C500" s="77" t="s">
        <v>545</v>
      </c>
      <c r="D500" s="77" t="s">
        <v>132</v>
      </c>
      <c r="E500" s="129">
        <f t="shared" si="85"/>
        <v>16349155.862697219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/>
      <c r="L500" s="44"/>
      <c r="M500" s="44">
        <v>0</v>
      </c>
      <c r="N500" s="44">
        <v>0</v>
      </c>
      <c r="O500" s="44">
        <v>15999283.927235499</v>
      </c>
      <c r="P500" s="44">
        <v>0</v>
      </c>
      <c r="Q500" s="44">
        <v>0</v>
      </c>
      <c r="R500" s="44"/>
      <c r="S500" s="68"/>
      <c r="T500" s="136">
        <v>349871.93546172051</v>
      </c>
      <c r="U500" s="24">
        <f t="shared" si="86"/>
        <v>1</v>
      </c>
    </row>
    <row r="501" spans="1:21" x14ac:dyDescent="0.25">
      <c r="A501" s="135">
        <f t="shared" si="91"/>
        <v>483</v>
      </c>
      <c r="B501" s="134">
        <f t="shared" si="92"/>
        <v>21</v>
      </c>
      <c r="C501" s="77"/>
      <c r="D501" s="77" t="s">
        <v>743</v>
      </c>
      <c r="E501" s="129">
        <v>7182720</v>
      </c>
      <c r="F501" s="44"/>
      <c r="G501" s="44"/>
      <c r="H501" s="44"/>
      <c r="I501" s="44"/>
      <c r="J501" s="44"/>
      <c r="K501" s="44"/>
      <c r="L501" s="44"/>
      <c r="M501" s="44">
        <v>6747849.40032</v>
      </c>
      <c r="N501" s="44"/>
      <c r="O501" s="44"/>
      <c r="P501" s="44"/>
      <c r="Q501" s="44"/>
      <c r="R501" s="44">
        <v>215481.60000000001</v>
      </c>
      <c r="S501" s="68">
        <v>71827.199999999997</v>
      </c>
      <c r="T501" s="136">
        <v>147561.79968</v>
      </c>
      <c r="U501" s="24"/>
    </row>
    <row r="502" spans="1:21" x14ac:dyDescent="0.25">
      <c r="A502" s="135">
        <f t="shared" si="91"/>
        <v>484</v>
      </c>
      <c r="B502" s="134">
        <f t="shared" si="92"/>
        <v>22</v>
      </c>
      <c r="C502" s="77"/>
      <c r="D502" s="77" t="s">
        <v>744</v>
      </c>
      <c r="E502" s="129">
        <v>3591360</v>
      </c>
      <c r="F502" s="44"/>
      <c r="G502" s="44"/>
      <c r="H502" s="44"/>
      <c r="I502" s="44"/>
      <c r="J502" s="44"/>
      <c r="K502" s="44"/>
      <c r="L502" s="44"/>
      <c r="M502" s="44">
        <v>3373924.70016</v>
      </c>
      <c r="N502" s="44"/>
      <c r="O502" s="44"/>
      <c r="P502" s="44"/>
      <c r="Q502" s="44"/>
      <c r="R502" s="44">
        <v>107740.8</v>
      </c>
      <c r="S502" s="68">
        <v>35913.599999999999</v>
      </c>
      <c r="T502" s="136">
        <v>73780.899839999998</v>
      </c>
      <c r="U502" s="24"/>
    </row>
    <row r="503" spans="1:21" x14ac:dyDescent="0.25">
      <c r="A503" s="135">
        <f t="shared" si="91"/>
        <v>485</v>
      </c>
      <c r="B503" s="134">
        <f t="shared" si="92"/>
        <v>23</v>
      </c>
      <c r="C503" s="77"/>
      <c r="D503" s="77" t="s">
        <v>694</v>
      </c>
      <c r="E503" s="129">
        <f t="shared" si="85"/>
        <v>10774080</v>
      </c>
      <c r="F503" s="44"/>
      <c r="G503" s="44"/>
      <c r="H503" s="44"/>
      <c r="I503" s="44"/>
      <c r="J503" s="44"/>
      <c r="K503" s="44"/>
      <c r="L503" s="44"/>
      <c r="M503" s="44">
        <f>3*3591360</f>
        <v>10774080</v>
      </c>
      <c r="N503" s="44"/>
      <c r="O503" s="44"/>
      <c r="P503" s="44"/>
      <c r="Q503" s="44"/>
      <c r="R503" s="44"/>
      <c r="S503" s="68"/>
      <c r="T503" s="136"/>
      <c r="U503" s="24">
        <f t="shared" si="86"/>
        <v>1</v>
      </c>
    </row>
    <row r="504" spans="1:21" x14ac:dyDescent="0.25">
      <c r="A504" s="135">
        <f t="shared" si="91"/>
        <v>486</v>
      </c>
      <c r="B504" s="134">
        <f t="shared" si="92"/>
        <v>24</v>
      </c>
      <c r="C504" s="77"/>
      <c r="D504" s="77" t="s">
        <v>745</v>
      </c>
      <c r="E504" s="129">
        <v>3591360</v>
      </c>
      <c r="F504" s="44"/>
      <c r="G504" s="44"/>
      <c r="H504" s="44"/>
      <c r="I504" s="44"/>
      <c r="J504" s="44"/>
      <c r="K504" s="44"/>
      <c r="L504" s="44"/>
      <c r="M504" s="44">
        <v>3373924.70016</v>
      </c>
      <c r="N504" s="44"/>
      <c r="O504" s="44"/>
      <c r="P504" s="44"/>
      <c r="Q504" s="44"/>
      <c r="R504" s="44">
        <v>107740.8</v>
      </c>
      <c r="S504" s="68">
        <v>35913.599999999999</v>
      </c>
      <c r="T504" s="136">
        <v>73780.899839999998</v>
      </c>
      <c r="U504" s="24"/>
    </row>
    <row r="505" spans="1:21" x14ac:dyDescent="0.25">
      <c r="A505" s="135">
        <f t="shared" si="91"/>
        <v>487</v>
      </c>
      <c r="B505" s="134">
        <f t="shared" si="92"/>
        <v>25</v>
      </c>
      <c r="C505" s="77" t="s">
        <v>545</v>
      </c>
      <c r="D505" s="77" t="s">
        <v>283</v>
      </c>
      <c r="E505" s="129">
        <f t="shared" si="85"/>
        <v>13650330.635379208</v>
      </c>
      <c r="F505" s="44">
        <v>9517364.6367539484</v>
      </c>
      <c r="G505" s="44">
        <v>0</v>
      </c>
      <c r="H505" s="44">
        <v>0</v>
      </c>
      <c r="I505" s="44">
        <v>3840848.923028145</v>
      </c>
      <c r="J505" s="44">
        <v>0</v>
      </c>
      <c r="K505" s="44"/>
      <c r="L505" s="44"/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/>
      <c r="S505" s="68"/>
      <c r="T505" s="136">
        <v>292117.07559711509</v>
      </c>
      <c r="U505" s="24">
        <f t="shared" si="86"/>
        <v>2</v>
      </c>
    </row>
    <row r="506" spans="1:21" x14ac:dyDescent="0.25">
      <c r="A506" s="135">
        <f t="shared" si="91"/>
        <v>488</v>
      </c>
      <c r="B506" s="134">
        <f t="shared" si="92"/>
        <v>26</v>
      </c>
      <c r="C506" s="77" t="s">
        <v>545</v>
      </c>
      <c r="D506" s="77" t="s">
        <v>134</v>
      </c>
      <c r="E506" s="129">
        <f t="shared" si="85"/>
        <v>17594017.8503768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/>
      <c r="L506" s="44"/>
      <c r="M506" s="44">
        <v>0</v>
      </c>
      <c r="N506" s="44">
        <v>0</v>
      </c>
      <c r="O506" s="44">
        <v>0</v>
      </c>
      <c r="P506" s="44">
        <v>17217505.868378736</v>
      </c>
      <c r="Q506" s="44">
        <v>0</v>
      </c>
      <c r="R506" s="81"/>
      <c r="S506" s="44"/>
      <c r="T506" s="136">
        <v>376511.98199806357</v>
      </c>
      <c r="U506" s="24">
        <f t="shared" si="86"/>
        <v>1</v>
      </c>
    </row>
    <row r="507" spans="1:21" x14ac:dyDescent="0.25">
      <c r="A507" s="135">
        <f t="shared" si="91"/>
        <v>489</v>
      </c>
      <c r="B507" s="134">
        <f t="shared" si="92"/>
        <v>27</v>
      </c>
      <c r="C507" s="77" t="s">
        <v>545</v>
      </c>
      <c r="D507" s="77" t="s">
        <v>284</v>
      </c>
      <c r="E507" s="129">
        <f t="shared" si="85"/>
        <v>16075963.844649071</v>
      </c>
      <c r="F507" s="44"/>
      <c r="G507" s="44"/>
      <c r="H507" s="44">
        <v>0</v>
      </c>
      <c r="I507" s="44"/>
      <c r="J507" s="44">
        <v>0</v>
      </c>
      <c r="K507" s="44"/>
      <c r="L507" s="44"/>
      <c r="M507" s="44">
        <v>0</v>
      </c>
      <c r="N507" s="44">
        <v>0</v>
      </c>
      <c r="O507" s="44"/>
      <c r="P507" s="44">
        <v>15731938.21837358</v>
      </c>
      <c r="Q507" s="44">
        <v>0</v>
      </c>
      <c r="R507" s="44"/>
      <c r="S507" s="68"/>
      <c r="T507" s="136">
        <v>344025.62627549015</v>
      </c>
      <c r="U507" s="24">
        <f t="shared" si="86"/>
        <v>1</v>
      </c>
    </row>
    <row r="508" spans="1:21" x14ac:dyDescent="0.25">
      <c r="A508" s="135">
        <f t="shared" si="91"/>
        <v>490</v>
      </c>
      <c r="B508" s="134">
        <f t="shared" si="92"/>
        <v>28</v>
      </c>
      <c r="C508" s="77" t="s">
        <v>545</v>
      </c>
      <c r="D508" s="77" t="s">
        <v>135</v>
      </c>
      <c r="E508" s="129">
        <f t="shared" si="85"/>
        <v>4281809.6559070544</v>
      </c>
      <c r="F508" s="44"/>
      <c r="G508" s="44">
        <v>0</v>
      </c>
      <c r="H508" s="44">
        <v>0</v>
      </c>
      <c r="I508" s="44">
        <v>0</v>
      </c>
      <c r="J508" s="44">
        <v>0</v>
      </c>
      <c r="K508" s="44"/>
      <c r="L508" s="44"/>
      <c r="M508" s="44">
        <v>0</v>
      </c>
      <c r="N508" s="44">
        <v>0</v>
      </c>
      <c r="O508" s="44">
        <v>0</v>
      </c>
      <c r="P508" s="44">
        <v>3944120.89</v>
      </c>
      <c r="Q508" s="44">
        <v>0</v>
      </c>
      <c r="R508" s="44"/>
      <c r="S508" s="68"/>
      <c r="T508" s="136">
        <v>337688.76590705459</v>
      </c>
      <c r="U508" s="24">
        <f t="shared" si="86"/>
        <v>1</v>
      </c>
    </row>
    <row r="509" spans="1:21" x14ac:dyDescent="0.25">
      <c r="A509" s="135">
        <f t="shared" si="91"/>
        <v>491</v>
      </c>
      <c r="B509" s="134">
        <f t="shared" si="92"/>
        <v>29</v>
      </c>
      <c r="C509" s="77" t="s">
        <v>545</v>
      </c>
      <c r="D509" s="77" t="s">
        <v>285</v>
      </c>
      <c r="E509" s="129">
        <f t="shared" si="85"/>
        <v>15863907.86463787</v>
      </c>
      <c r="F509" s="44"/>
      <c r="G509" s="44">
        <v>0</v>
      </c>
      <c r="H509" s="44">
        <v>0</v>
      </c>
      <c r="I509" s="44">
        <v>0</v>
      </c>
      <c r="J509" s="44">
        <v>0</v>
      </c>
      <c r="K509" s="44"/>
      <c r="L509" s="44"/>
      <c r="M509" s="44"/>
      <c r="N509" s="44"/>
      <c r="O509" s="44"/>
      <c r="P509" s="44">
        <v>15524420.23633462</v>
      </c>
      <c r="Q509" s="44">
        <v>0</v>
      </c>
      <c r="R509" s="44"/>
      <c r="S509" s="68"/>
      <c r="T509" s="136">
        <v>339487.62830325047</v>
      </c>
      <c r="U509" s="24">
        <f t="shared" si="86"/>
        <v>1</v>
      </c>
    </row>
    <row r="510" spans="1:21" x14ac:dyDescent="0.25">
      <c r="A510" s="135">
        <f t="shared" si="91"/>
        <v>492</v>
      </c>
      <c r="B510" s="134">
        <f t="shared" si="92"/>
        <v>30</v>
      </c>
      <c r="C510" s="77"/>
      <c r="D510" s="77" t="s">
        <v>659</v>
      </c>
      <c r="E510" s="129">
        <f t="shared" si="85"/>
        <v>10774080</v>
      </c>
      <c r="F510" s="44"/>
      <c r="G510" s="44"/>
      <c r="H510" s="44"/>
      <c r="I510" s="44"/>
      <c r="J510" s="44"/>
      <c r="K510" s="44"/>
      <c r="L510" s="44"/>
      <c r="M510" s="44">
        <f>3*3591360</f>
        <v>10774080</v>
      </c>
      <c r="N510" s="44"/>
      <c r="O510" s="44"/>
      <c r="P510" s="44"/>
      <c r="Q510" s="44"/>
      <c r="R510" s="44"/>
      <c r="S510" s="68"/>
      <c r="T510" s="136"/>
      <c r="U510" s="24">
        <f t="shared" si="86"/>
        <v>1</v>
      </c>
    </row>
    <row r="511" spans="1:21" x14ac:dyDescent="0.25">
      <c r="A511" s="135">
        <f t="shared" si="91"/>
        <v>493</v>
      </c>
      <c r="B511" s="134">
        <f t="shared" si="92"/>
        <v>31</v>
      </c>
      <c r="C511" s="77" t="s">
        <v>545</v>
      </c>
      <c r="D511" s="77" t="s">
        <v>141</v>
      </c>
      <c r="E511" s="129">
        <f t="shared" si="85"/>
        <v>2789837.5587991653</v>
      </c>
      <c r="F511" s="44"/>
      <c r="G511" s="44"/>
      <c r="H511" s="44">
        <v>2695930.7316036122</v>
      </c>
      <c r="I511" s="44">
        <v>0</v>
      </c>
      <c r="J511" s="44"/>
      <c r="K511" s="44"/>
      <c r="L511" s="44"/>
      <c r="M511" s="44"/>
      <c r="N511" s="44"/>
      <c r="O511" s="44">
        <v>0</v>
      </c>
      <c r="P511" s="44">
        <v>0</v>
      </c>
      <c r="Q511" s="44">
        <v>0</v>
      </c>
      <c r="R511" s="44"/>
      <c r="S511" s="68"/>
      <c r="T511" s="136">
        <v>93906.827195552934</v>
      </c>
      <c r="U511" s="24">
        <f t="shared" si="86"/>
        <v>1</v>
      </c>
    </row>
    <row r="512" spans="1:21" x14ac:dyDescent="0.25">
      <c r="A512" s="135">
        <f t="shared" si="91"/>
        <v>494</v>
      </c>
      <c r="B512" s="134">
        <f t="shared" si="92"/>
        <v>32</v>
      </c>
      <c r="C512" s="77" t="s">
        <v>545</v>
      </c>
      <c r="D512" s="77" t="s">
        <v>142</v>
      </c>
      <c r="E512" s="129">
        <f t="shared" si="85"/>
        <v>6261773.3525414057</v>
      </c>
      <c r="F512" s="44">
        <v>5934192.4713683669</v>
      </c>
      <c r="G512" s="44">
        <v>0</v>
      </c>
      <c r="H512" s="44"/>
      <c r="I512" s="44">
        <v>0</v>
      </c>
      <c r="J512" s="44">
        <v>0</v>
      </c>
      <c r="K512" s="44"/>
      <c r="L512" s="44">
        <v>263647.88892809901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/>
      <c r="S512" s="68"/>
      <c r="T512" s="136">
        <v>63932.992244939996</v>
      </c>
      <c r="U512" s="24">
        <f t="shared" si="86"/>
        <v>2</v>
      </c>
    </row>
    <row r="513" spans="1:21" x14ac:dyDescent="0.25">
      <c r="A513" s="135">
        <f t="shared" si="91"/>
        <v>495</v>
      </c>
      <c r="B513" s="134">
        <f t="shared" si="92"/>
        <v>33</v>
      </c>
      <c r="C513" s="77" t="s">
        <v>545</v>
      </c>
      <c r="D513" s="77" t="s">
        <v>137</v>
      </c>
      <c r="E513" s="129">
        <f t="shared" si="85"/>
        <v>24639934.329513032</v>
      </c>
      <c r="F513" s="44">
        <v>23086920.098178856</v>
      </c>
      <c r="G513" s="44">
        <v>0</v>
      </c>
      <c r="H513" s="44"/>
      <c r="I513" s="44">
        <v>0</v>
      </c>
      <c r="J513" s="44">
        <v>0</v>
      </c>
      <c r="K513" s="44"/>
      <c r="L513" s="44">
        <v>1025719.6366825957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/>
      <c r="S513" s="68"/>
      <c r="T513" s="136">
        <v>527294.59465157881</v>
      </c>
      <c r="U513" s="24">
        <f t="shared" si="86"/>
        <v>2</v>
      </c>
    </row>
    <row r="514" spans="1:21" x14ac:dyDescent="0.25">
      <c r="A514" s="135">
        <f t="shared" si="91"/>
        <v>496</v>
      </c>
      <c r="B514" s="134">
        <f t="shared" si="92"/>
        <v>34</v>
      </c>
      <c r="C514" s="77" t="s">
        <v>545</v>
      </c>
      <c r="D514" s="77" t="s">
        <v>138</v>
      </c>
      <c r="E514" s="129">
        <f t="shared" si="85"/>
        <v>13615505.81675427</v>
      </c>
      <c r="F514" s="44">
        <v>6434490.0569673264</v>
      </c>
      <c r="G514" s="44">
        <v>2579400.6477582264</v>
      </c>
      <c r="H514" s="44"/>
      <c r="I514" s="44">
        <v>1228279.0768493079</v>
      </c>
      <c r="J514" s="44">
        <v>0</v>
      </c>
      <c r="K514" s="44"/>
      <c r="L514" s="44">
        <v>263647.88892809901</v>
      </c>
      <c r="M514" s="44">
        <v>0</v>
      </c>
      <c r="N514" s="44">
        <v>2818316.3217727714</v>
      </c>
      <c r="O514" s="44">
        <v>0</v>
      </c>
      <c r="P514" s="44">
        <v>0</v>
      </c>
      <c r="Q514" s="44">
        <v>0</v>
      </c>
      <c r="R514" s="44"/>
      <c r="S514" s="68"/>
      <c r="T514" s="136">
        <v>291371.82447854138</v>
      </c>
      <c r="U514" s="24">
        <f t="shared" si="86"/>
        <v>5</v>
      </c>
    </row>
    <row r="515" spans="1:21" x14ac:dyDescent="0.25">
      <c r="A515" s="135">
        <f t="shared" si="91"/>
        <v>497</v>
      </c>
      <c r="B515" s="134">
        <f t="shared" si="92"/>
        <v>35</v>
      </c>
      <c r="C515" s="77" t="s">
        <v>545</v>
      </c>
      <c r="D515" s="77" t="s">
        <v>140</v>
      </c>
      <c r="E515" s="129">
        <f t="shared" si="85"/>
        <v>30335468.022675067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/>
      <c r="L515" s="44"/>
      <c r="M515" s="44">
        <v>0</v>
      </c>
      <c r="N515" s="44">
        <v>0</v>
      </c>
      <c r="O515" s="44">
        <v>7270908.124217337</v>
      </c>
      <c r="P515" s="44">
        <v>22465047.324697815</v>
      </c>
      <c r="Q515" s="44">
        <v>0</v>
      </c>
      <c r="R515" s="44"/>
      <c r="S515" s="68"/>
      <c r="T515" s="136">
        <v>599512.57375991263</v>
      </c>
      <c r="U515" s="24">
        <f t="shared" si="86"/>
        <v>2</v>
      </c>
    </row>
    <row r="516" spans="1:21" x14ac:dyDescent="0.25">
      <c r="A516" s="135">
        <f t="shared" si="91"/>
        <v>498</v>
      </c>
      <c r="B516" s="134">
        <f t="shared" si="92"/>
        <v>36</v>
      </c>
      <c r="C516" s="77"/>
      <c r="D516" s="77" t="s">
        <v>635</v>
      </c>
      <c r="E516" s="129">
        <f t="shared" si="85"/>
        <v>17956800</v>
      </c>
      <c r="F516" s="44"/>
      <c r="G516" s="44"/>
      <c r="H516" s="44"/>
      <c r="I516" s="44"/>
      <c r="J516" s="44"/>
      <c r="K516" s="44"/>
      <c r="L516" s="44"/>
      <c r="M516" s="44">
        <f>5*3591360</f>
        <v>17956800</v>
      </c>
      <c r="N516" s="44"/>
      <c r="O516" s="44"/>
      <c r="P516" s="44"/>
      <c r="Q516" s="44"/>
      <c r="R516" s="44"/>
      <c r="S516" s="68"/>
      <c r="T516" s="136"/>
      <c r="U516" s="24">
        <f t="shared" si="86"/>
        <v>1</v>
      </c>
    </row>
    <row r="517" spans="1:21" x14ac:dyDescent="0.25">
      <c r="A517" s="135">
        <f t="shared" si="91"/>
        <v>499</v>
      </c>
      <c r="B517" s="134">
        <f t="shared" si="92"/>
        <v>37</v>
      </c>
      <c r="C517" s="77"/>
      <c r="D517" s="77" t="s">
        <v>636</v>
      </c>
      <c r="E517" s="129">
        <f t="shared" si="85"/>
        <v>17956800</v>
      </c>
      <c r="F517" s="44"/>
      <c r="G517" s="44"/>
      <c r="H517" s="44"/>
      <c r="I517" s="44"/>
      <c r="J517" s="44"/>
      <c r="K517" s="44"/>
      <c r="L517" s="44"/>
      <c r="M517" s="44">
        <f>5*3591360</f>
        <v>17956800</v>
      </c>
      <c r="N517" s="44"/>
      <c r="O517" s="44"/>
      <c r="P517" s="44"/>
      <c r="Q517" s="44"/>
      <c r="R517" s="44"/>
      <c r="S517" s="68"/>
      <c r="T517" s="136"/>
      <c r="U517" s="24">
        <f t="shared" si="86"/>
        <v>1</v>
      </c>
    </row>
    <row r="518" spans="1:21" x14ac:dyDescent="0.25">
      <c r="A518" s="135">
        <f t="shared" si="91"/>
        <v>500</v>
      </c>
      <c r="B518" s="134">
        <f t="shared" si="92"/>
        <v>38</v>
      </c>
      <c r="C518" s="77" t="s">
        <v>545</v>
      </c>
      <c r="D518" s="77" t="s">
        <v>61</v>
      </c>
      <c r="E518" s="129">
        <f t="shared" si="85"/>
        <v>1275449.2849021249</v>
      </c>
      <c r="F518" s="44"/>
      <c r="G518" s="44"/>
      <c r="H518" s="44">
        <v>0</v>
      </c>
      <c r="I518" s="44">
        <v>1248154.6702052194</v>
      </c>
      <c r="J518" s="44">
        <v>0</v>
      </c>
      <c r="K518" s="44"/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/>
      <c r="S518" s="68"/>
      <c r="T518" s="136">
        <v>27294.614696905472</v>
      </c>
      <c r="U518" s="24">
        <f t="shared" si="86"/>
        <v>1</v>
      </c>
    </row>
    <row r="519" spans="1:21" x14ac:dyDescent="0.25">
      <c r="A519" s="135">
        <f t="shared" si="91"/>
        <v>501</v>
      </c>
      <c r="B519" s="134">
        <f t="shared" si="92"/>
        <v>39</v>
      </c>
      <c r="C519" s="77" t="s">
        <v>545</v>
      </c>
      <c r="D519" s="77" t="s">
        <v>293</v>
      </c>
      <c r="E519" s="129">
        <f t="shared" si="85"/>
        <v>22487460.02870208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/>
      <c r="L519" s="44"/>
      <c r="M519" s="44">
        <v>0</v>
      </c>
      <c r="N519" s="44">
        <v>0</v>
      </c>
      <c r="O519" s="44">
        <v>0</v>
      </c>
      <c r="P519" s="44">
        <v>22006228.384087857</v>
      </c>
      <c r="Q519" s="44">
        <v>0</v>
      </c>
      <c r="R519" s="44"/>
      <c r="S519" s="44"/>
      <c r="T519" s="136">
        <v>481231.6446142245</v>
      </c>
      <c r="U519" s="24">
        <f t="shared" si="86"/>
        <v>1</v>
      </c>
    </row>
    <row r="520" spans="1:21" x14ac:dyDescent="0.25">
      <c r="A520" s="135">
        <f t="shared" si="91"/>
        <v>502</v>
      </c>
      <c r="B520" s="134">
        <f t="shared" si="92"/>
        <v>40</v>
      </c>
      <c r="C520" s="77" t="s">
        <v>545</v>
      </c>
      <c r="D520" s="77" t="s">
        <v>294</v>
      </c>
      <c r="E520" s="129">
        <f t="shared" si="85"/>
        <v>3419863.41420834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/>
      <c r="L520" s="44"/>
      <c r="M520" s="44">
        <v>0</v>
      </c>
      <c r="N520" s="44">
        <v>2942363.2883842816</v>
      </c>
      <c r="O520" s="44">
        <v>0</v>
      </c>
      <c r="P520" s="44">
        <v>0</v>
      </c>
      <c r="Q520" s="44">
        <v>0</v>
      </c>
      <c r="R520" s="44">
        <v>413156.6</v>
      </c>
      <c r="S520" s="68"/>
      <c r="T520" s="136">
        <v>64343.525824058474</v>
      </c>
      <c r="U520" s="24">
        <f t="shared" si="86"/>
        <v>1</v>
      </c>
    </row>
    <row r="521" spans="1:21" x14ac:dyDescent="0.25">
      <c r="A521" s="135">
        <f t="shared" si="91"/>
        <v>503</v>
      </c>
      <c r="B521" s="134">
        <f t="shared" si="92"/>
        <v>41</v>
      </c>
      <c r="C521" s="77" t="s">
        <v>545</v>
      </c>
      <c r="D521" s="77" t="s">
        <v>295</v>
      </c>
      <c r="E521" s="129">
        <f t="shared" si="85"/>
        <v>11503201.959506918</v>
      </c>
      <c r="F521" s="44"/>
      <c r="G521" s="44">
        <v>2937868.0070875632</v>
      </c>
      <c r="H521" s="44">
        <v>0</v>
      </c>
      <c r="I521" s="44">
        <v>0</v>
      </c>
      <c r="J521" s="44">
        <v>0</v>
      </c>
      <c r="K521" s="44"/>
      <c r="L521" s="44"/>
      <c r="M521" s="44">
        <v>0</v>
      </c>
      <c r="N521" s="44">
        <v>3213549.8114351672</v>
      </c>
      <c r="O521" s="44">
        <v>5105615.6190507403</v>
      </c>
      <c r="P521" s="44">
        <v>0</v>
      </c>
      <c r="Q521" s="44">
        <v>0</v>
      </c>
      <c r="R521" s="44"/>
      <c r="S521" s="68"/>
      <c r="T521" s="136">
        <v>246168.52193344809</v>
      </c>
      <c r="U521" s="24">
        <f t="shared" si="86"/>
        <v>3</v>
      </c>
    </row>
    <row r="522" spans="1:21" x14ac:dyDescent="0.25">
      <c r="A522" s="135">
        <f t="shared" si="91"/>
        <v>504</v>
      </c>
      <c r="B522" s="134">
        <f t="shared" si="92"/>
        <v>42</v>
      </c>
      <c r="C522" s="77" t="s">
        <v>545</v>
      </c>
      <c r="D522" s="77" t="s">
        <v>143</v>
      </c>
      <c r="E522" s="129">
        <f t="shared" si="85"/>
        <v>18513063.03403087</v>
      </c>
      <c r="F522" s="44">
        <v>9672123.3663251549</v>
      </c>
      <c r="G522" s="44">
        <v>4139883.059433911</v>
      </c>
      <c r="H522" s="44">
        <v>0</v>
      </c>
      <c r="I522" s="44">
        <v>3903303.7014767192</v>
      </c>
      <c r="J522" s="44">
        <v>0</v>
      </c>
      <c r="K522" s="44"/>
      <c r="L522" s="44">
        <v>401573.35786682391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/>
      <c r="S522" s="68"/>
      <c r="T522" s="136">
        <v>396179.54892826063</v>
      </c>
      <c r="U522" s="24">
        <f t="shared" si="86"/>
        <v>4</v>
      </c>
    </row>
    <row r="523" spans="1:21" x14ac:dyDescent="0.25">
      <c r="A523" s="135">
        <f t="shared" si="91"/>
        <v>505</v>
      </c>
      <c r="B523" s="134">
        <f t="shared" si="92"/>
        <v>43</v>
      </c>
      <c r="C523" s="77"/>
      <c r="D523" s="77" t="s">
        <v>695</v>
      </c>
      <c r="E523" s="129">
        <f t="shared" si="85"/>
        <v>3591360</v>
      </c>
      <c r="F523" s="44"/>
      <c r="G523" s="44"/>
      <c r="H523" s="44"/>
      <c r="I523" s="44"/>
      <c r="J523" s="44"/>
      <c r="K523" s="44"/>
      <c r="L523" s="44"/>
      <c r="M523" s="44">
        <v>3388344.6460698778</v>
      </c>
      <c r="N523" s="44"/>
      <c r="O523" s="44"/>
      <c r="P523" s="44"/>
      <c r="Q523" s="44"/>
      <c r="R523" s="44">
        <v>104919.11907839999</v>
      </c>
      <c r="S523" s="68">
        <v>24000</v>
      </c>
      <c r="T523" s="136">
        <v>74096.234851722242</v>
      </c>
      <c r="U523" s="24">
        <f t="shared" si="86"/>
        <v>1</v>
      </c>
    </row>
    <row r="524" spans="1:21" x14ac:dyDescent="0.25">
      <c r="A524" s="135">
        <f t="shared" si="91"/>
        <v>506</v>
      </c>
      <c r="B524" s="134">
        <f t="shared" si="92"/>
        <v>44</v>
      </c>
      <c r="C524" s="77" t="s">
        <v>545</v>
      </c>
      <c r="D524" s="77" t="s">
        <v>63</v>
      </c>
      <c r="E524" s="129">
        <f t="shared" si="85"/>
        <v>14159244.434273491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/>
      <c r="L524" s="44"/>
      <c r="M524" s="44">
        <v>0</v>
      </c>
      <c r="N524" s="44">
        <v>0</v>
      </c>
      <c r="O524" s="44">
        <v>0</v>
      </c>
      <c r="P524" s="44">
        <v>13745702.449999999</v>
      </c>
      <c r="Q524" s="44">
        <v>0</v>
      </c>
      <c r="R524" s="44"/>
      <c r="S524" s="44"/>
      <c r="T524" s="136">
        <v>413541.98427349224</v>
      </c>
      <c r="U524" s="24">
        <f t="shared" si="86"/>
        <v>1</v>
      </c>
    </row>
    <row r="525" spans="1:21" x14ac:dyDescent="0.25">
      <c r="A525" s="135">
        <f t="shared" si="91"/>
        <v>507</v>
      </c>
      <c r="B525" s="134">
        <f t="shared" si="92"/>
        <v>45</v>
      </c>
      <c r="C525" s="77" t="s">
        <v>545</v>
      </c>
      <c r="D525" s="77" t="s">
        <v>296</v>
      </c>
      <c r="E525" s="129">
        <f t="shared" si="85"/>
        <v>28151375.461213589</v>
      </c>
      <c r="F525" s="44">
        <v>6133316.7977849664</v>
      </c>
      <c r="G525" s="44">
        <v>2453911.6795918704</v>
      </c>
      <c r="H525" s="44"/>
      <c r="I525" s="44">
        <v>1158241.1970624225</v>
      </c>
      <c r="J525" s="44">
        <v>0</v>
      </c>
      <c r="K525" s="44"/>
      <c r="L525" s="44">
        <v>272494.70482550462</v>
      </c>
      <c r="M525" s="44">
        <v>0</v>
      </c>
      <c r="N525" s="44">
        <v>0</v>
      </c>
      <c r="O525" s="44">
        <v>0</v>
      </c>
      <c r="P525" s="44">
        <v>17569980.090778742</v>
      </c>
      <c r="Q525" s="44">
        <v>0</v>
      </c>
      <c r="R525" s="44"/>
      <c r="S525" s="68"/>
      <c r="T525" s="136">
        <v>563430.99117008632</v>
      </c>
      <c r="U525" s="24">
        <f t="shared" si="86"/>
        <v>5</v>
      </c>
    </row>
    <row r="526" spans="1:21" x14ac:dyDescent="0.25">
      <c r="A526" s="135">
        <f t="shared" si="91"/>
        <v>508</v>
      </c>
      <c r="B526" s="134">
        <f t="shared" si="92"/>
        <v>46</v>
      </c>
      <c r="C526" s="77" t="s">
        <v>545</v>
      </c>
      <c r="D526" s="77" t="s">
        <v>145</v>
      </c>
      <c r="E526" s="129">
        <f t="shared" si="85"/>
        <v>7069135.474907618</v>
      </c>
      <c r="F526" s="44">
        <v>6623579.5797926262</v>
      </c>
      <c r="G526" s="44">
        <v>0</v>
      </c>
      <c r="H526" s="44"/>
      <c r="I526" s="44">
        <v>0</v>
      </c>
      <c r="J526" s="44">
        <v>0</v>
      </c>
      <c r="K526" s="44"/>
      <c r="L526" s="44">
        <v>294276.39595196897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/>
      <c r="S526" s="68"/>
      <c r="T526" s="136">
        <v>151279.49916302305</v>
      </c>
      <c r="U526" s="24">
        <f t="shared" si="86"/>
        <v>2</v>
      </c>
    </row>
    <row r="527" spans="1:21" x14ac:dyDescent="0.25">
      <c r="A527" s="135">
        <f t="shared" si="91"/>
        <v>509</v>
      </c>
      <c r="B527" s="134">
        <f t="shared" si="92"/>
        <v>47</v>
      </c>
      <c r="C527" s="77" t="s">
        <v>545</v>
      </c>
      <c r="D527" s="77" t="s">
        <v>64</v>
      </c>
      <c r="E527" s="129">
        <f t="shared" ref="E527:E591" si="93">SUBTOTAL(9,F527:T527)</f>
        <v>5116420.3570661386</v>
      </c>
      <c r="F527" s="44">
        <v>0</v>
      </c>
      <c r="G527" s="44">
        <v>0</v>
      </c>
      <c r="H527" s="44">
        <v>5006928.9614249235</v>
      </c>
      <c r="I527" s="44">
        <v>0</v>
      </c>
      <c r="J527" s="44">
        <v>0</v>
      </c>
      <c r="K527" s="44"/>
      <c r="L527" s="44"/>
      <c r="M527" s="44">
        <v>0</v>
      </c>
      <c r="N527" s="44">
        <v>0</v>
      </c>
      <c r="O527" s="44">
        <v>0</v>
      </c>
      <c r="P527" s="44"/>
      <c r="Q527" s="44">
        <v>0</v>
      </c>
      <c r="R527" s="44"/>
      <c r="S527" s="68"/>
      <c r="T527" s="136">
        <v>109491.39564121536</v>
      </c>
      <c r="U527" s="24">
        <f t="shared" ref="U527:U591" si="94">COUNTIF(F527:Q527,"&gt;0")</f>
        <v>1</v>
      </c>
    </row>
    <row r="528" spans="1:21" x14ac:dyDescent="0.25">
      <c r="A528" s="135">
        <f t="shared" si="91"/>
        <v>510</v>
      </c>
      <c r="B528" s="134">
        <f t="shared" si="92"/>
        <v>48</v>
      </c>
      <c r="C528" s="77"/>
      <c r="D528" s="77" t="s">
        <v>637</v>
      </c>
      <c r="E528" s="129">
        <f t="shared" si="93"/>
        <v>3591360</v>
      </c>
      <c r="F528" s="44"/>
      <c r="G528" s="44"/>
      <c r="H528" s="44"/>
      <c r="I528" s="44"/>
      <c r="J528" s="44"/>
      <c r="K528" s="44"/>
      <c r="L528" s="44"/>
      <c r="M528" s="44">
        <v>3388344.6460698778</v>
      </c>
      <c r="N528" s="44"/>
      <c r="O528" s="44"/>
      <c r="P528" s="44"/>
      <c r="Q528" s="44"/>
      <c r="R528" s="44">
        <v>104919.11907839999</v>
      </c>
      <c r="S528" s="68">
        <v>24000</v>
      </c>
      <c r="T528" s="136">
        <v>74096.234851722242</v>
      </c>
      <c r="U528" s="24">
        <f t="shared" si="94"/>
        <v>1</v>
      </c>
    </row>
    <row r="529" spans="1:21" x14ac:dyDescent="0.25">
      <c r="A529" s="135">
        <f t="shared" si="91"/>
        <v>511</v>
      </c>
      <c r="B529" s="134">
        <f t="shared" si="92"/>
        <v>49</v>
      </c>
      <c r="C529" s="77" t="s">
        <v>545</v>
      </c>
      <c r="D529" s="77" t="s">
        <v>146</v>
      </c>
      <c r="E529" s="129">
        <f t="shared" si="93"/>
        <v>3723951.8689671173</v>
      </c>
      <c r="F529" s="44">
        <v>0</v>
      </c>
      <c r="G529" s="44">
        <v>0</v>
      </c>
      <c r="H529" s="44">
        <v>3644259.2989712209</v>
      </c>
      <c r="I529" s="44">
        <v>0</v>
      </c>
      <c r="J529" s="44">
        <v>0</v>
      </c>
      <c r="K529" s="44"/>
      <c r="L529" s="44"/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/>
      <c r="S529" s="68"/>
      <c r="T529" s="136">
        <v>79692.569995896309</v>
      </c>
      <c r="U529" s="24">
        <f t="shared" si="94"/>
        <v>1</v>
      </c>
    </row>
    <row r="530" spans="1:21" x14ac:dyDescent="0.25">
      <c r="A530" s="135">
        <f t="shared" si="91"/>
        <v>512</v>
      </c>
      <c r="B530" s="134">
        <f t="shared" si="92"/>
        <v>50</v>
      </c>
      <c r="C530" s="77" t="s">
        <v>545</v>
      </c>
      <c r="D530" s="77" t="s">
        <v>147</v>
      </c>
      <c r="E530" s="129">
        <f t="shared" si="93"/>
        <v>5704539.4663399998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/>
      <c r="L530" s="44"/>
      <c r="M530" s="44">
        <v>0</v>
      </c>
      <c r="N530" s="44">
        <v>0</v>
      </c>
      <c r="O530" s="44">
        <v>5582462.3217603238</v>
      </c>
      <c r="P530" s="44">
        <v>0</v>
      </c>
      <c r="Q530" s="44">
        <v>0</v>
      </c>
      <c r="R530" s="44"/>
      <c r="S530" s="68"/>
      <c r="T530" s="136">
        <v>122077.14457967599</v>
      </c>
      <c r="U530" s="24">
        <f t="shared" si="94"/>
        <v>1</v>
      </c>
    </row>
    <row r="531" spans="1:21" x14ac:dyDescent="0.25">
      <c r="A531" s="135">
        <f t="shared" si="91"/>
        <v>513</v>
      </c>
      <c r="B531" s="134">
        <f t="shared" si="92"/>
        <v>51</v>
      </c>
      <c r="C531" s="77" t="s">
        <v>545</v>
      </c>
      <c r="D531" s="77" t="s">
        <v>148</v>
      </c>
      <c r="E531" s="129">
        <f t="shared" si="93"/>
        <v>7558612.3204800002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/>
      <c r="L531" s="44"/>
      <c r="M531" s="44">
        <v>0</v>
      </c>
      <c r="N531" s="44">
        <v>0</v>
      </c>
      <c r="O531" s="44">
        <v>7396858.0168217281</v>
      </c>
      <c r="P531" s="44">
        <v>0</v>
      </c>
      <c r="Q531" s="44">
        <v>0</v>
      </c>
      <c r="R531" s="44"/>
      <c r="S531" s="68"/>
      <c r="T531" s="136">
        <v>161754.30365827202</v>
      </c>
      <c r="U531" s="24">
        <f t="shared" si="94"/>
        <v>1</v>
      </c>
    </row>
    <row r="532" spans="1:21" x14ac:dyDescent="0.25">
      <c r="A532" s="135">
        <f t="shared" si="91"/>
        <v>514</v>
      </c>
      <c r="B532" s="134">
        <f t="shared" si="92"/>
        <v>52</v>
      </c>
      <c r="C532" s="77" t="s">
        <v>545</v>
      </c>
      <c r="D532" s="77" t="s">
        <v>151</v>
      </c>
      <c r="E532" s="129">
        <f t="shared" si="93"/>
        <v>10973716.392657893</v>
      </c>
      <c r="F532" s="44">
        <v>6700361.0893385699</v>
      </c>
      <c r="G532" s="44">
        <v>3490874.7316903411</v>
      </c>
      <c r="H532" s="44"/>
      <c r="I532" s="44">
        <v>0</v>
      </c>
      <c r="J532" s="44">
        <v>0</v>
      </c>
      <c r="K532" s="44"/>
      <c r="L532" s="44">
        <v>547643.04082610249</v>
      </c>
      <c r="M532" s="44">
        <v>0</v>
      </c>
      <c r="N532" s="44"/>
      <c r="O532" s="44"/>
      <c r="P532" s="44"/>
      <c r="Q532" s="44">
        <v>0</v>
      </c>
      <c r="R532" s="44"/>
      <c r="S532" s="68"/>
      <c r="T532" s="136">
        <v>234837.53080287893</v>
      </c>
      <c r="U532" s="24">
        <f t="shared" si="94"/>
        <v>3</v>
      </c>
    </row>
    <row r="533" spans="1:21" x14ac:dyDescent="0.25">
      <c r="A533" s="135">
        <f t="shared" si="91"/>
        <v>515</v>
      </c>
      <c r="B533" s="134">
        <f t="shared" si="92"/>
        <v>53</v>
      </c>
      <c r="C533" s="77" t="s">
        <v>545</v>
      </c>
      <c r="D533" s="77" t="s">
        <v>152</v>
      </c>
      <c r="E533" s="129">
        <f t="shared" si="93"/>
        <v>11276107.02613402</v>
      </c>
      <c r="F533" s="44">
        <v>6061746.8582748314</v>
      </c>
      <c r="G533" s="44">
        <v>2605155.66</v>
      </c>
      <c r="H533" s="44">
        <v>2187734.91</v>
      </c>
      <c r="I533" s="44">
        <v>0</v>
      </c>
      <c r="J533" s="44">
        <v>0</v>
      </c>
      <c r="K533" s="44"/>
      <c r="L533" s="44">
        <v>251675.45410878723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/>
      <c r="S533" s="68"/>
      <c r="T533" s="136">
        <v>169794.14375039996</v>
      </c>
      <c r="U533" s="24">
        <f t="shared" si="94"/>
        <v>4</v>
      </c>
    </row>
    <row r="534" spans="1:21" x14ac:dyDescent="0.25">
      <c r="A534" s="135">
        <f t="shared" si="91"/>
        <v>516</v>
      </c>
      <c r="B534" s="134">
        <f t="shared" si="92"/>
        <v>54</v>
      </c>
      <c r="C534" s="77"/>
      <c r="D534" s="77" t="s">
        <v>1151</v>
      </c>
      <c r="E534" s="129">
        <v>14365440</v>
      </c>
      <c r="F534" s="44"/>
      <c r="G534" s="44"/>
      <c r="H534" s="44"/>
      <c r="I534" s="44"/>
      <c r="J534" s="44"/>
      <c r="K534" s="44"/>
      <c r="L534" s="44"/>
      <c r="M534" s="44">
        <v>13495698.80064</v>
      </c>
      <c r="N534" s="44"/>
      <c r="O534" s="44"/>
      <c r="P534" s="44"/>
      <c r="Q534" s="44"/>
      <c r="R534" s="44">
        <v>430963.20000000001</v>
      </c>
      <c r="S534" s="68">
        <v>143654.39999999999</v>
      </c>
      <c r="T534" s="136">
        <v>295123.59935999999</v>
      </c>
      <c r="U534" s="24"/>
    </row>
    <row r="535" spans="1:21" x14ac:dyDescent="0.25">
      <c r="A535" s="135">
        <f t="shared" si="91"/>
        <v>517</v>
      </c>
      <c r="B535" s="134">
        <f t="shared" si="92"/>
        <v>55</v>
      </c>
      <c r="C535" s="77" t="s">
        <v>545</v>
      </c>
      <c r="D535" s="77" t="s">
        <v>154</v>
      </c>
      <c r="E535" s="129">
        <f t="shared" si="93"/>
        <v>9583229.2646912001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/>
      <c r="L535" s="44"/>
      <c r="M535" s="44">
        <v>0</v>
      </c>
      <c r="N535" s="44">
        <v>0</v>
      </c>
      <c r="O535" s="44">
        <v>0</v>
      </c>
      <c r="P535" s="44">
        <v>9378148.1584268082</v>
      </c>
      <c r="Q535" s="44">
        <v>0</v>
      </c>
      <c r="R535" s="44"/>
      <c r="S535" s="68"/>
      <c r="T535" s="136">
        <v>205081.10626439168</v>
      </c>
      <c r="U535" s="24">
        <f t="shared" si="94"/>
        <v>1</v>
      </c>
    </row>
    <row r="536" spans="1:21" x14ac:dyDescent="0.25">
      <c r="A536" s="135">
        <f t="shared" si="91"/>
        <v>518</v>
      </c>
      <c r="B536" s="134">
        <f t="shared" si="92"/>
        <v>56</v>
      </c>
      <c r="C536" s="77" t="s">
        <v>545</v>
      </c>
      <c r="D536" s="77" t="s">
        <v>157</v>
      </c>
      <c r="E536" s="129">
        <f t="shared" si="93"/>
        <v>12813865.938446978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/>
      <c r="L536" s="44"/>
      <c r="M536" s="44">
        <v>0</v>
      </c>
      <c r="N536" s="44">
        <v>12539649.207364213</v>
      </c>
      <c r="O536" s="44">
        <v>0</v>
      </c>
      <c r="P536" s="44">
        <v>0</v>
      </c>
      <c r="Q536" s="44">
        <v>0</v>
      </c>
      <c r="R536" s="44"/>
      <c r="S536" s="68"/>
      <c r="T536" s="136">
        <v>274216.73108276533</v>
      </c>
      <c r="U536" s="24">
        <f t="shared" si="94"/>
        <v>1</v>
      </c>
    </row>
    <row r="537" spans="1:21" x14ac:dyDescent="0.25">
      <c r="A537" s="135">
        <f t="shared" si="91"/>
        <v>519</v>
      </c>
      <c r="B537" s="134">
        <f t="shared" si="92"/>
        <v>57</v>
      </c>
      <c r="C537" s="77" t="s">
        <v>545</v>
      </c>
      <c r="D537" s="77" t="s">
        <v>65</v>
      </c>
      <c r="E537" s="129">
        <f t="shared" si="93"/>
        <v>30321154.784761567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/>
      <c r="L537" s="44"/>
      <c r="M537" s="44">
        <v>0</v>
      </c>
      <c r="N537" s="44">
        <v>0</v>
      </c>
      <c r="O537" s="44">
        <v>0</v>
      </c>
      <c r="P537" s="44">
        <v>29741216.056796018</v>
      </c>
      <c r="Q537" s="44">
        <v>0</v>
      </c>
      <c r="R537" s="44"/>
      <c r="S537" s="44"/>
      <c r="T537" s="136">
        <v>579938.72796554875</v>
      </c>
      <c r="U537" s="24">
        <f t="shared" si="94"/>
        <v>1</v>
      </c>
    </row>
    <row r="538" spans="1:21" x14ac:dyDescent="0.25">
      <c r="A538" s="135">
        <f t="shared" si="91"/>
        <v>520</v>
      </c>
      <c r="B538" s="134">
        <f t="shared" si="92"/>
        <v>58</v>
      </c>
      <c r="C538" s="77"/>
      <c r="D538" s="77" t="s">
        <v>738</v>
      </c>
      <c r="E538" s="129">
        <f t="shared" si="93"/>
        <v>18644724.211052157</v>
      </c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>
        <v>18162045.243728455</v>
      </c>
      <c r="Q538" s="44">
        <v>0</v>
      </c>
      <c r="R538" s="44">
        <v>103571.55</v>
      </c>
      <c r="S538" s="44">
        <v>24000</v>
      </c>
      <c r="T538" s="136">
        <v>355107.4173236994</v>
      </c>
      <c r="U538" s="24">
        <f t="shared" si="94"/>
        <v>1</v>
      </c>
    </row>
    <row r="539" spans="1:21" x14ac:dyDescent="0.25">
      <c r="A539" s="135">
        <f t="shared" si="91"/>
        <v>521</v>
      </c>
      <c r="B539" s="134">
        <f t="shared" si="92"/>
        <v>59</v>
      </c>
      <c r="C539" s="77" t="s">
        <v>545</v>
      </c>
      <c r="D539" s="77" t="s">
        <v>159</v>
      </c>
      <c r="E539" s="129">
        <f t="shared" si="93"/>
        <v>13744076.860234279</v>
      </c>
      <c r="F539" s="44">
        <v>13437177.92113563</v>
      </c>
      <c r="G539" s="44">
        <v>0</v>
      </c>
      <c r="H539" s="44"/>
      <c r="I539" s="44">
        <v>0</v>
      </c>
      <c r="J539" s="44">
        <v>0</v>
      </c>
      <c r="K539" s="44"/>
      <c r="L539" s="44"/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/>
      <c r="S539" s="68"/>
      <c r="T539" s="136">
        <v>306898.93909864855</v>
      </c>
      <c r="U539" s="24">
        <f t="shared" si="94"/>
        <v>1</v>
      </c>
    </row>
    <row r="540" spans="1:21" x14ac:dyDescent="0.25">
      <c r="A540" s="135">
        <f t="shared" si="91"/>
        <v>522</v>
      </c>
      <c r="B540" s="134">
        <f t="shared" si="92"/>
        <v>60</v>
      </c>
      <c r="C540" s="77" t="s">
        <v>545</v>
      </c>
      <c r="D540" s="77" t="s">
        <v>66</v>
      </c>
      <c r="E540" s="129">
        <f t="shared" si="93"/>
        <v>18619115.200956475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/>
      <c r="L540" s="44"/>
      <c r="M540" s="44">
        <v>0</v>
      </c>
      <c r="N540" s="44">
        <v>0</v>
      </c>
      <c r="O540" s="44">
        <v>0</v>
      </c>
      <c r="P540" s="44">
        <v>17777901.600000001</v>
      </c>
      <c r="Q540" s="44">
        <v>0</v>
      </c>
      <c r="R540" s="44"/>
      <c r="S540" s="44"/>
      <c r="T540" s="136">
        <v>841213.6009564735</v>
      </c>
      <c r="U540" s="24">
        <f t="shared" si="94"/>
        <v>1</v>
      </c>
    </row>
    <row r="541" spans="1:21" x14ac:dyDescent="0.25">
      <c r="A541" s="135">
        <f t="shared" si="91"/>
        <v>523</v>
      </c>
      <c r="B541" s="134">
        <f t="shared" si="92"/>
        <v>61</v>
      </c>
      <c r="C541" s="77" t="s">
        <v>545</v>
      </c>
      <c r="D541" s="77" t="s">
        <v>298</v>
      </c>
      <c r="E541" s="129">
        <f t="shared" si="93"/>
        <v>20033884.559999999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/>
      <c r="L541" s="44"/>
      <c r="M541" s="44">
        <v>0</v>
      </c>
      <c r="N541" s="44">
        <v>9005094.9811620004</v>
      </c>
      <c r="O541" s="44">
        <v>0</v>
      </c>
      <c r="P541" s="44">
        <v>10600064.449253999</v>
      </c>
      <c r="Q541" s="44">
        <v>0</v>
      </c>
      <c r="R541" s="44"/>
      <c r="S541" s="68"/>
      <c r="T541" s="136">
        <v>428725.1295840001</v>
      </c>
      <c r="U541" s="24">
        <f t="shared" si="94"/>
        <v>2</v>
      </c>
    </row>
    <row r="542" spans="1:21" x14ac:dyDescent="0.25">
      <c r="A542" s="135">
        <f t="shared" si="91"/>
        <v>524</v>
      </c>
      <c r="B542" s="134">
        <f t="shared" si="92"/>
        <v>62</v>
      </c>
      <c r="C542" s="77" t="s">
        <v>545</v>
      </c>
      <c r="D542" s="77" t="s">
        <v>299</v>
      </c>
      <c r="E542" s="129">
        <f t="shared" si="93"/>
        <v>32986394.763732113</v>
      </c>
      <c r="F542" s="44">
        <v>9958388.8400534373</v>
      </c>
      <c r="G542" s="44">
        <v>0</v>
      </c>
      <c r="H542" s="44">
        <v>0</v>
      </c>
      <c r="I542" s="44">
        <v>4424427.7157852333</v>
      </c>
      <c r="J542" s="44">
        <v>0</v>
      </c>
      <c r="K542" s="44"/>
      <c r="L542" s="44">
        <v>397616.119024474</v>
      </c>
      <c r="M542" s="44">
        <v>0</v>
      </c>
      <c r="N542" s="44">
        <v>17500053.2409251</v>
      </c>
      <c r="O542" s="44">
        <v>0</v>
      </c>
      <c r="P542" s="44">
        <v>0</v>
      </c>
      <c r="Q542" s="44">
        <v>0</v>
      </c>
      <c r="R542" s="44"/>
      <c r="S542" s="68"/>
      <c r="T542" s="136">
        <v>705908.84794386709</v>
      </c>
      <c r="U542" s="24">
        <f t="shared" si="94"/>
        <v>4</v>
      </c>
    </row>
    <row r="543" spans="1:21" x14ac:dyDescent="0.25">
      <c r="A543" s="135">
        <f t="shared" si="91"/>
        <v>525</v>
      </c>
      <c r="B543" s="134">
        <f t="shared" si="92"/>
        <v>63</v>
      </c>
      <c r="C543" s="77" t="s">
        <v>545</v>
      </c>
      <c r="D543" s="77" t="s">
        <v>164</v>
      </c>
      <c r="E543" s="129">
        <f t="shared" si="93"/>
        <v>7562846.0122871753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/>
      <c r="L543" s="44"/>
      <c r="M543" s="44">
        <v>0</v>
      </c>
      <c r="N543" s="44">
        <v>7401001.10762423</v>
      </c>
      <c r="O543" s="44">
        <v>0</v>
      </c>
      <c r="P543" s="44">
        <v>0</v>
      </c>
      <c r="Q543" s="44">
        <v>0</v>
      </c>
      <c r="R543" s="44"/>
      <c r="S543" s="68"/>
      <c r="T543" s="136">
        <v>161844.90466294557</v>
      </c>
      <c r="U543" s="24">
        <f t="shared" si="94"/>
        <v>1</v>
      </c>
    </row>
    <row r="544" spans="1:21" x14ac:dyDescent="0.25">
      <c r="A544" s="135">
        <f t="shared" si="91"/>
        <v>526</v>
      </c>
      <c r="B544" s="134">
        <f t="shared" si="92"/>
        <v>64</v>
      </c>
      <c r="C544" s="77" t="s">
        <v>545</v>
      </c>
      <c r="D544" s="77" t="s">
        <v>160</v>
      </c>
      <c r="E544" s="129">
        <f t="shared" si="93"/>
        <v>6797608.8843123196</v>
      </c>
      <c r="F544" s="44">
        <v>2105749.0699999998</v>
      </c>
      <c r="G544" s="44"/>
      <c r="H544" s="44"/>
      <c r="I544" s="44">
        <v>888374.4</v>
      </c>
      <c r="J544" s="44">
        <v>0</v>
      </c>
      <c r="K544" s="44"/>
      <c r="L544" s="44"/>
      <c r="M544" s="44">
        <v>0</v>
      </c>
      <c r="N544" s="44">
        <v>0</v>
      </c>
      <c r="O544" s="44">
        <v>3619789.6171852797</v>
      </c>
      <c r="P544" s="44">
        <v>0</v>
      </c>
      <c r="Q544" s="44">
        <v>0</v>
      </c>
      <c r="R544" s="44"/>
      <c r="S544" s="68"/>
      <c r="T544" s="136">
        <v>183695.79712703999</v>
      </c>
      <c r="U544" s="24">
        <f t="shared" si="94"/>
        <v>3</v>
      </c>
    </row>
    <row r="545" spans="1:22" x14ac:dyDescent="0.25">
      <c r="A545" s="135">
        <f t="shared" si="91"/>
        <v>527</v>
      </c>
      <c r="B545" s="134">
        <f t="shared" si="92"/>
        <v>65</v>
      </c>
      <c r="C545" s="77" t="s">
        <v>545</v>
      </c>
      <c r="D545" s="77" t="s">
        <v>161</v>
      </c>
      <c r="E545" s="129">
        <f t="shared" si="93"/>
        <v>3323108.484322099</v>
      </c>
      <c r="F545" s="44"/>
      <c r="G545" s="44">
        <v>0</v>
      </c>
      <c r="H545" s="44">
        <v>3251993.9627576061</v>
      </c>
      <c r="I545" s="44">
        <v>0</v>
      </c>
      <c r="J545" s="44">
        <v>0</v>
      </c>
      <c r="K545" s="44"/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/>
      <c r="S545" s="68"/>
      <c r="T545" s="136">
        <v>71114.521564492912</v>
      </c>
      <c r="U545" s="24">
        <f t="shared" si="94"/>
        <v>1</v>
      </c>
    </row>
    <row r="546" spans="1:22" x14ac:dyDescent="0.25">
      <c r="A546" s="135">
        <f t="shared" si="91"/>
        <v>528</v>
      </c>
      <c r="B546" s="134">
        <f t="shared" si="92"/>
        <v>66</v>
      </c>
      <c r="C546" s="77" t="s">
        <v>545</v>
      </c>
      <c r="D546" s="77" t="s">
        <v>162</v>
      </c>
      <c r="E546" s="129">
        <f t="shared" si="93"/>
        <v>25777524.930161469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/>
      <c r="L546" s="44"/>
      <c r="M546" s="44">
        <v>0</v>
      </c>
      <c r="N546" s="44">
        <v>0</v>
      </c>
      <c r="O546" s="44">
        <v>0</v>
      </c>
      <c r="P546" s="44">
        <v>25225885.896656014</v>
      </c>
      <c r="Q546" s="44">
        <v>0</v>
      </c>
      <c r="R546" s="44"/>
      <c r="S546" s="68"/>
      <c r="T546" s="136">
        <v>551639.03350545547</v>
      </c>
      <c r="U546" s="24">
        <f t="shared" si="94"/>
        <v>1</v>
      </c>
    </row>
    <row r="547" spans="1:22" x14ac:dyDescent="0.25">
      <c r="A547" s="135">
        <f t="shared" ref="A547:A610" si="95">+A546+1</f>
        <v>529</v>
      </c>
      <c r="B547" s="134">
        <f t="shared" ref="B547:B610" si="96">+B546+1</f>
        <v>67</v>
      </c>
      <c r="C547" s="77" t="s">
        <v>545</v>
      </c>
      <c r="D547" s="77" t="s">
        <v>300</v>
      </c>
      <c r="E547" s="129">
        <f t="shared" si="93"/>
        <v>13959928.783242105</v>
      </c>
      <c r="F547" s="44"/>
      <c r="G547" s="44"/>
      <c r="H547" s="44"/>
      <c r="I547" s="44"/>
      <c r="J547" s="44"/>
      <c r="K547" s="44"/>
      <c r="L547" s="44"/>
      <c r="M547" s="44">
        <v>0</v>
      </c>
      <c r="N547" s="44">
        <v>0</v>
      </c>
      <c r="O547" s="44">
        <v>0</v>
      </c>
      <c r="P547" s="44">
        <v>13665253.188203763</v>
      </c>
      <c r="Q547" s="44">
        <v>0</v>
      </c>
      <c r="R547" s="44"/>
      <c r="S547" s="68"/>
      <c r="T547" s="136">
        <v>294675.59503834188</v>
      </c>
      <c r="U547" s="24">
        <f t="shared" si="94"/>
        <v>1</v>
      </c>
    </row>
    <row r="548" spans="1:22" x14ac:dyDescent="0.25">
      <c r="A548" s="135">
        <f t="shared" si="95"/>
        <v>530</v>
      </c>
      <c r="B548" s="134">
        <f t="shared" si="96"/>
        <v>68</v>
      </c>
      <c r="C548" s="77" t="s">
        <v>545</v>
      </c>
      <c r="D548" s="77" t="s">
        <v>165</v>
      </c>
      <c r="E548" s="129">
        <f t="shared" si="93"/>
        <v>7536651.091054799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/>
      <c r="L548" s="44"/>
      <c r="M548" s="44">
        <v>0</v>
      </c>
      <c r="N548" s="44">
        <v>0</v>
      </c>
      <c r="O548" s="44">
        <v>7375366.7577062268</v>
      </c>
      <c r="P548" s="44">
        <v>0</v>
      </c>
      <c r="Q548" s="44">
        <v>0</v>
      </c>
      <c r="R548" s="44"/>
      <c r="S548" s="68"/>
      <c r="T548" s="136">
        <v>161284.33334857272</v>
      </c>
      <c r="U548" s="24">
        <f t="shared" si="94"/>
        <v>1</v>
      </c>
    </row>
    <row r="549" spans="1:22" x14ac:dyDescent="0.25">
      <c r="A549" s="135">
        <f t="shared" si="95"/>
        <v>531</v>
      </c>
      <c r="B549" s="134">
        <f t="shared" si="96"/>
        <v>69</v>
      </c>
      <c r="C549" s="77" t="s">
        <v>545</v>
      </c>
      <c r="D549" s="77" t="s">
        <v>166</v>
      </c>
      <c r="E549" s="129">
        <f t="shared" si="93"/>
        <v>46216506.053262837</v>
      </c>
      <c r="F549" s="44">
        <v>11858561.038653761</v>
      </c>
      <c r="G549" s="44">
        <v>0</v>
      </c>
      <c r="H549" s="44">
        <v>0</v>
      </c>
      <c r="I549" s="44">
        <v>4785667.3703647591</v>
      </c>
      <c r="J549" s="44">
        <v>0</v>
      </c>
      <c r="K549" s="44"/>
      <c r="L549" s="44"/>
      <c r="M549" s="44">
        <v>0</v>
      </c>
      <c r="N549" s="44">
        <v>19618197.919447646</v>
      </c>
      <c r="O549" s="44">
        <v>8965046.4952568505</v>
      </c>
      <c r="P549" s="44">
        <v>0</v>
      </c>
      <c r="Q549" s="44">
        <v>0</v>
      </c>
      <c r="R549" s="44"/>
      <c r="S549" s="68"/>
      <c r="T549" s="136">
        <v>989033.22953982488</v>
      </c>
      <c r="U549" s="24">
        <f t="shared" si="94"/>
        <v>4</v>
      </c>
    </row>
    <row r="550" spans="1:22" x14ac:dyDescent="0.25">
      <c r="A550" s="135">
        <f t="shared" si="95"/>
        <v>532</v>
      </c>
      <c r="B550" s="134">
        <f t="shared" si="96"/>
        <v>70</v>
      </c>
      <c r="C550" s="77" t="s">
        <v>545</v>
      </c>
      <c r="D550" s="77" t="s">
        <v>167</v>
      </c>
      <c r="E550" s="129">
        <f t="shared" si="93"/>
        <v>3627706.1305964547</v>
      </c>
      <c r="F550" s="44">
        <v>0</v>
      </c>
      <c r="G550" s="44">
        <v>0</v>
      </c>
      <c r="H550" s="44">
        <v>3550073.2194016906</v>
      </c>
      <c r="I550" s="44">
        <v>0</v>
      </c>
      <c r="J550" s="44">
        <v>0</v>
      </c>
      <c r="K550" s="44"/>
      <c r="L550" s="44"/>
      <c r="M550" s="44">
        <v>0</v>
      </c>
      <c r="N550" s="44">
        <v>0</v>
      </c>
      <c r="O550" s="44">
        <v>0</v>
      </c>
      <c r="P550" s="44"/>
      <c r="Q550" s="44">
        <v>0</v>
      </c>
      <c r="R550" s="44"/>
      <c r="S550" s="68"/>
      <c r="T550" s="136">
        <v>77632.911194764136</v>
      </c>
      <c r="U550" s="24">
        <f t="shared" si="94"/>
        <v>1</v>
      </c>
    </row>
    <row r="551" spans="1:22" x14ac:dyDescent="0.25">
      <c r="A551" s="135">
        <f t="shared" si="95"/>
        <v>533</v>
      </c>
      <c r="B551" s="134">
        <f t="shared" si="96"/>
        <v>71</v>
      </c>
      <c r="C551" s="77" t="s">
        <v>545</v>
      </c>
      <c r="D551" s="77" t="s">
        <v>67</v>
      </c>
      <c r="E551" s="129">
        <f t="shared" si="93"/>
        <v>39683829.239116438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/>
      <c r="L551" s="44"/>
      <c r="M551" s="44">
        <v>0</v>
      </c>
      <c r="N551" s="44">
        <v>0</v>
      </c>
      <c r="O551" s="44">
        <v>0</v>
      </c>
      <c r="P551" s="44">
        <v>38834595.293399349</v>
      </c>
      <c r="Q551" s="44">
        <v>0</v>
      </c>
      <c r="R551" s="44"/>
      <c r="S551" s="44"/>
      <c r="T551" s="136">
        <v>849233.9457170919</v>
      </c>
      <c r="U551" s="24">
        <f t="shared" si="94"/>
        <v>1</v>
      </c>
    </row>
    <row r="552" spans="1:22" x14ac:dyDescent="0.25">
      <c r="A552" s="135">
        <f t="shared" si="95"/>
        <v>534</v>
      </c>
      <c r="B552" s="134">
        <f t="shared" si="96"/>
        <v>72</v>
      </c>
      <c r="C552" s="77" t="s">
        <v>545</v>
      </c>
      <c r="D552" s="77" t="s">
        <v>305</v>
      </c>
      <c r="E552" s="129">
        <f t="shared" si="93"/>
        <v>28688048.331907835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/>
      <c r="L552" s="44"/>
      <c r="M552" s="44">
        <v>0</v>
      </c>
      <c r="N552" s="44">
        <v>0</v>
      </c>
      <c r="O552" s="44">
        <v>0</v>
      </c>
      <c r="P552" s="44">
        <v>28074124.097605009</v>
      </c>
      <c r="Q552" s="44">
        <v>0</v>
      </c>
      <c r="R552" s="44"/>
      <c r="S552" s="44"/>
      <c r="T552" s="136">
        <v>613924.23430282774</v>
      </c>
      <c r="U552" s="24">
        <f t="shared" si="94"/>
        <v>1</v>
      </c>
    </row>
    <row r="553" spans="1:22" x14ac:dyDescent="0.25">
      <c r="A553" s="135">
        <f t="shared" si="95"/>
        <v>535</v>
      </c>
      <c r="B553" s="134">
        <f t="shared" si="96"/>
        <v>73</v>
      </c>
      <c r="C553" s="77" t="s">
        <v>545</v>
      </c>
      <c r="D553" s="77" t="s">
        <v>68</v>
      </c>
      <c r="E553" s="129">
        <f t="shared" si="93"/>
        <v>19753554.682315666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/>
      <c r="L553" s="44"/>
      <c r="M553" s="44">
        <v>0</v>
      </c>
      <c r="N553" s="44">
        <v>0</v>
      </c>
      <c r="O553" s="44">
        <v>0</v>
      </c>
      <c r="P553" s="44">
        <v>18930963.042262111</v>
      </c>
      <c r="Q553" s="44">
        <v>0</v>
      </c>
      <c r="R553" s="44">
        <v>408609.82</v>
      </c>
      <c r="S553" s="44"/>
      <c r="T553" s="136">
        <v>413981.8200535553</v>
      </c>
      <c r="U553" s="24">
        <f t="shared" si="94"/>
        <v>1</v>
      </c>
    </row>
    <row r="554" spans="1:22" x14ac:dyDescent="0.25">
      <c r="A554" s="135">
        <f t="shared" si="95"/>
        <v>536</v>
      </c>
      <c r="B554" s="134">
        <f t="shared" si="96"/>
        <v>74</v>
      </c>
      <c r="C554" s="77" t="s">
        <v>545</v>
      </c>
      <c r="D554" s="77" t="s">
        <v>168</v>
      </c>
      <c r="E554" s="129">
        <f t="shared" si="93"/>
        <v>15044296.824234126</v>
      </c>
      <c r="F554" s="44">
        <v>8244815.9026870374</v>
      </c>
      <c r="G554" s="44">
        <v>0</v>
      </c>
      <c r="H554" s="44">
        <v>3150236.6549268602</v>
      </c>
      <c r="I554" s="44">
        <v>3327296.3145816172</v>
      </c>
      <c r="J554" s="44">
        <v>0</v>
      </c>
      <c r="K554" s="44"/>
      <c r="L554" s="44"/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/>
      <c r="S554" s="68"/>
      <c r="T554" s="136">
        <v>321947.95203861035</v>
      </c>
      <c r="U554" s="24">
        <f t="shared" si="94"/>
        <v>3</v>
      </c>
    </row>
    <row r="555" spans="1:22" x14ac:dyDescent="0.25">
      <c r="A555" s="135">
        <f t="shared" si="95"/>
        <v>537</v>
      </c>
      <c r="B555" s="134">
        <f t="shared" si="96"/>
        <v>75</v>
      </c>
      <c r="C555" s="77" t="s">
        <v>545</v>
      </c>
      <c r="D555" s="77" t="s">
        <v>169</v>
      </c>
      <c r="E555" s="129">
        <f t="shared" si="93"/>
        <v>9909590.6884000003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/>
      <c r="L555" s="44"/>
      <c r="M555" s="44">
        <v>0</v>
      </c>
      <c r="N555" s="44">
        <v>0</v>
      </c>
      <c r="O555" s="44">
        <v>0</v>
      </c>
      <c r="P555" s="44">
        <v>9697525.4476682395</v>
      </c>
      <c r="Q555" s="44">
        <v>0</v>
      </c>
      <c r="R555" s="44"/>
      <c r="S555" s="68"/>
      <c r="T555" s="136">
        <v>212065.24073176002</v>
      </c>
      <c r="U555" s="24">
        <f t="shared" si="94"/>
        <v>1</v>
      </c>
    </row>
    <row r="556" spans="1:22" x14ac:dyDescent="0.25">
      <c r="A556" s="135">
        <f t="shared" si="95"/>
        <v>538</v>
      </c>
      <c r="B556" s="134">
        <f t="shared" si="96"/>
        <v>76</v>
      </c>
      <c r="C556" s="77" t="s">
        <v>545</v>
      </c>
      <c r="D556" s="77" t="s">
        <v>69</v>
      </c>
      <c r="E556" s="129">
        <f t="shared" si="93"/>
        <v>9825604.9005436506</v>
      </c>
      <c r="F556" s="44">
        <v>4922338.54</v>
      </c>
      <c r="G556" s="44">
        <v>2955743</v>
      </c>
      <c r="H556" s="44">
        <v>0</v>
      </c>
      <c r="I556" s="44">
        <v>1405274.47</v>
      </c>
      <c r="J556" s="44">
        <v>0</v>
      </c>
      <c r="K556" s="44"/>
      <c r="L556" s="44">
        <v>300589.46674277715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/>
      <c r="S556" s="68"/>
      <c r="T556" s="136">
        <v>241659.42380087369</v>
      </c>
      <c r="U556" s="24">
        <f t="shared" si="94"/>
        <v>4</v>
      </c>
      <c r="V556" s="1" t="s">
        <v>720</v>
      </c>
    </row>
    <row r="557" spans="1:22" x14ac:dyDescent="0.25">
      <c r="A557" s="135">
        <f t="shared" si="95"/>
        <v>539</v>
      </c>
      <c r="B557" s="134">
        <f t="shared" si="96"/>
        <v>77</v>
      </c>
      <c r="C557" s="77" t="s">
        <v>545</v>
      </c>
      <c r="D557" s="77" t="s">
        <v>70</v>
      </c>
      <c r="E557" s="129">
        <f t="shared" si="93"/>
        <v>14338181.035143422</v>
      </c>
      <c r="F557" s="44">
        <v>6885723.9998886082</v>
      </c>
      <c r="G557" s="44">
        <v>2754946.3207044839</v>
      </c>
      <c r="H557" s="44">
        <v>2034797.5532993053</v>
      </c>
      <c r="I557" s="44">
        <v>2560101.8205176839</v>
      </c>
      <c r="J557" s="44">
        <v>0</v>
      </c>
      <c r="K557" s="44"/>
      <c r="L557" s="44"/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/>
      <c r="S557" s="68"/>
      <c r="T557" s="136">
        <v>102611.34073333956</v>
      </c>
      <c r="U557" s="24">
        <f t="shared" si="94"/>
        <v>4</v>
      </c>
    </row>
    <row r="558" spans="1:22" x14ac:dyDescent="0.25">
      <c r="A558" s="135">
        <f t="shared" si="95"/>
        <v>540</v>
      </c>
      <c r="B558" s="134">
        <f t="shared" si="96"/>
        <v>78</v>
      </c>
      <c r="C558" s="77"/>
      <c r="D558" s="77" t="s">
        <v>633</v>
      </c>
      <c r="E558" s="129">
        <f t="shared" si="93"/>
        <v>9780000</v>
      </c>
      <c r="F558" s="44"/>
      <c r="G558" s="44"/>
      <c r="H558" s="44"/>
      <c r="I558" s="44"/>
      <c r="J558" s="44"/>
      <c r="K558" s="44"/>
      <c r="L558" s="44"/>
      <c r="M558" s="44">
        <v>9062814.5999999996</v>
      </c>
      <c r="N558" s="44"/>
      <c r="O558" s="44"/>
      <c r="P558" s="44"/>
      <c r="Q558" s="44"/>
      <c r="R558" s="44">
        <v>489000</v>
      </c>
      <c r="S558" s="68">
        <v>30000</v>
      </c>
      <c r="T558" s="136">
        <v>198185.4</v>
      </c>
      <c r="U558" s="24">
        <f t="shared" si="94"/>
        <v>1</v>
      </c>
    </row>
    <row r="559" spans="1:22" x14ac:dyDescent="0.25">
      <c r="A559" s="135">
        <f t="shared" si="95"/>
        <v>541</v>
      </c>
      <c r="B559" s="134">
        <f t="shared" si="96"/>
        <v>79</v>
      </c>
      <c r="C559" s="77" t="s">
        <v>545</v>
      </c>
      <c r="D559" s="77" t="s">
        <v>462</v>
      </c>
      <c r="E559" s="129">
        <f t="shared" si="93"/>
        <v>10436992.599520564</v>
      </c>
      <c r="F559" s="44">
        <v>6679650.6897583138</v>
      </c>
      <c r="G559" s="44">
        <v>0</v>
      </c>
      <c r="H559" s="44">
        <v>1973900.9116011779</v>
      </c>
      <c r="I559" s="44">
        <v>1261413.1742972373</v>
      </c>
      <c r="J559" s="44">
        <v>0</v>
      </c>
      <c r="K559" s="44"/>
      <c r="L559" s="44"/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298717.92</v>
      </c>
      <c r="S559" s="68"/>
      <c r="T559" s="136">
        <v>223309.90386383404</v>
      </c>
      <c r="U559" s="24">
        <f t="shared" si="94"/>
        <v>3</v>
      </c>
    </row>
    <row r="560" spans="1:22" x14ac:dyDescent="0.25">
      <c r="A560" s="135">
        <f t="shared" si="95"/>
        <v>542</v>
      </c>
      <c r="B560" s="134">
        <f t="shared" si="96"/>
        <v>80</v>
      </c>
      <c r="C560" s="77"/>
      <c r="D560" s="77" t="s">
        <v>634</v>
      </c>
      <c r="E560" s="129">
        <f t="shared" si="93"/>
        <v>3591360</v>
      </c>
      <c r="F560" s="44"/>
      <c r="G560" s="44"/>
      <c r="H560" s="44"/>
      <c r="I560" s="44"/>
      <c r="J560" s="44"/>
      <c r="K560" s="44"/>
      <c r="L560" s="44"/>
      <c r="M560" s="44">
        <v>3388344.6460698778</v>
      </c>
      <c r="N560" s="44"/>
      <c r="O560" s="44"/>
      <c r="P560" s="44"/>
      <c r="Q560" s="44"/>
      <c r="R560" s="144">
        <v>104919.11907839999</v>
      </c>
      <c r="S560" s="68">
        <v>24000</v>
      </c>
      <c r="T560" s="136">
        <v>74096.234851722242</v>
      </c>
      <c r="U560" s="24">
        <f t="shared" si="94"/>
        <v>1</v>
      </c>
    </row>
    <row r="561" spans="1:22" x14ac:dyDescent="0.25">
      <c r="A561" s="135">
        <f t="shared" si="95"/>
        <v>543</v>
      </c>
      <c r="B561" s="134">
        <f t="shared" si="96"/>
        <v>81</v>
      </c>
      <c r="C561" s="77"/>
      <c r="D561" s="77" t="s">
        <v>655</v>
      </c>
      <c r="E561" s="129">
        <f t="shared" si="93"/>
        <v>7182720</v>
      </c>
      <c r="F561" s="44"/>
      <c r="G561" s="44"/>
      <c r="H561" s="44"/>
      <c r="I561" s="44"/>
      <c r="J561" s="44"/>
      <c r="K561" s="44"/>
      <c r="L561" s="44"/>
      <c r="M561" s="44">
        <v>6868490.3575085625</v>
      </c>
      <c r="N561" s="44"/>
      <c r="O561" s="44"/>
      <c r="P561" s="44"/>
      <c r="Q561" s="44"/>
      <c r="R561" s="144">
        <v>140029.66941696001</v>
      </c>
      <c r="S561" s="68">
        <v>24000</v>
      </c>
      <c r="T561" s="136">
        <v>150199.97307447705</v>
      </c>
      <c r="U561" s="24">
        <f t="shared" si="94"/>
        <v>1</v>
      </c>
    </row>
    <row r="562" spans="1:22" x14ac:dyDescent="0.25">
      <c r="A562" s="135">
        <f t="shared" si="95"/>
        <v>544</v>
      </c>
      <c r="B562" s="134">
        <f t="shared" si="96"/>
        <v>82</v>
      </c>
      <c r="C562" s="77" t="s">
        <v>72</v>
      </c>
      <c r="D562" s="77" t="s">
        <v>74</v>
      </c>
      <c r="E562" s="129">
        <f t="shared" si="93"/>
        <v>2983684.0700000003</v>
      </c>
      <c r="F562" s="44">
        <v>0</v>
      </c>
      <c r="G562" s="44">
        <v>0</v>
      </c>
      <c r="H562" s="44">
        <v>2925994.6940138005</v>
      </c>
      <c r="I562" s="44">
        <v>0</v>
      </c>
      <c r="J562" s="44">
        <v>0</v>
      </c>
      <c r="K562" s="44"/>
      <c r="L562" s="44"/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144"/>
      <c r="S562" s="44"/>
      <c r="T562" s="136">
        <v>57689.375986200001</v>
      </c>
      <c r="U562" s="24">
        <f t="shared" si="94"/>
        <v>1</v>
      </c>
    </row>
    <row r="563" spans="1:22" x14ac:dyDescent="0.25">
      <c r="A563" s="135">
        <f t="shared" si="95"/>
        <v>545</v>
      </c>
      <c r="B563" s="134">
        <f t="shared" si="96"/>
        <v>83</v>
      </c>
      <c r="C563" s="77" t="s">
        <v>72</v>
      </c>
      <c r="D563" s="77" t="s">
        <v>318</v>
      </c>
      <c r="E563" s="129">
        <f t="shared" si="93"/>
        <v>3390546.88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/>
      <c r="L563" s="44"/>
      <c r="M563" s="44">
        <v>0</v>
      </c>
      <c r="N563" s="44">
        <v>3197890.5015539997</v>
      </c>
      <c r="O563" s="44">
        <v>0</v>
      </c>
      <c r="P563" s="44">
        <v>0</v>
      </c>
      <c r="Q563" s="44">
        <v>0</v>
      </c>
      <c r="R563" s="44">
        <v>85155.99</v>
      </c>
      <c r="S563" s="44">
        <v>37569</v>
      </c>
      <c r="T563" s="136">
        <v>69931.388445999997</v>
      </c>
      <c r="U563" s="24">
        <f t="shared" si="94"/>
        <v>1</v>
      </c>
    </row>
    <row r="564" spans="1:22" x14ac:dyDescent="0.25">
      <c r="A564" s="135">
        <f t="shared" si="95"/>
        <v>546</v>
      </c>
      <c r="B564" s="134">
        <f t="shared" si="96"/>
        <v>84</v>
      </c>
      <c r="C564" s="77" t="s">
        <v>72</v>
      </c>
      <c r="D564" s="77" t="s">
        <v>173</v>
      </c>
      <c r="E564" s="129">
        <f t="shared" si="93"/>
        <v>589567.59499999997</v>
      </c>
      <c r="F564" s="44"/>
      <c r="G564" s="44">
        <v>0</v>
      </c>
      <c r="H564" s="44">
        <v>576950.84846699995</v>
      </c>
      <c r="I564" s="44"/>
      <c r="J564" s="44"/>
      <c r="K564" s="44"/>
      <c r="L564" s="44"/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/>
      <c r="S564" s="68"/>
      <c r="T564" s="136">
        <v>12616.746533000001</v>
      </c>
      <c r="U564" s="24">
        <f t="shared" si="94"/>
        <v>1</v>
      </c>
    </row>
    <row r="565" spans="1:22" x14ac:dyDescent="0.25">
      <c r="A565" s="135">
        <f t="shared" si="95"/>
        <v>547</v>
      </c>
      <c r="B565" s="134">
        <f t="shared" si="96"/>
        <v>85</v>
      </c>
      <c r="C565" s="77" t="s">
        <v>72</v>
      </c>
      <c r="D565" s="77" t="s">
        <v>174</v>
      </c>
      <c r="E565" s="129">
        <f t="shared" si="93"/>
        <v>510140.45280000003</v>
      </c>
      <c r="F565" s="44"/>
      <c r="G565" s="44">
        <v>0</v>
      </c>
      <c r="H565" s="44">
        <v>499223.44711008004</v>
      </c>
      <c r="I565" s="44"/>
      <c r="J565" s="44"/>
      <c r="K565" s="44"/>
      <c r="L565" s="44"/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/>
      <c r="S565" s="68"/>
      <c r="T565" s="136">
        <v>10917.005689920001</v>
      </c>
      <c r="U565" s="24">
        <f t="shared" si="94"/>
        <v>1</v>
      </c>
    </row>
    <row r="566" spans="1:22" x14ac:dyDescent="0.25">
      <c r="A566" s="135">
        <f t="shared" si="95"/>
        <v>548</v>
      </c>
      <c r="B566" s="134">
        <f t="shared" si="96"/>
        <v>86</v>
      </c>
      <c r="C566" s="77" t="s">
        <v>72</v>
      </c>
      <c r="D566" s="77" t="s">
        <v>175</v>
      </c>
      <c r="E566" s="129">
        <f t="shared" si="93"/>
        <v>386646.94530000002</v>
      </c>
      <c r="F566" s="44"/>
      <c r="G566" s="44"/>
      <c r="H566" s="44">
        <v>378372.70067058003</v>
      </c>
      <c r="I566" s="44">
        <v>0</v>
      </c>
      <c r="J566" s="44">
        <v>0</v>
      </c>
      <c r="K566" s="44"/>
      <c r="L566" s="44"/>
      <c r="M566" s="44"/>
      <c r="N566" s="44"/>
      <c r="O566" s="44"/>
      <c r="P566" s="44"/>
      <c r="Q566" s="44"/>
      <c r="R566" s="44"/>
      <c r="S566" s="68"/>
      <c r="T566" s="136">
        <v>8274.2446294200017</v>
      </c>
      <c r="U566" s="24">
        <f t="shared" si="94"/>
        <v>1</v>
      </c>
    </row>
    <row r="567" spans="1:22" x14ac:dyDescent="0.25">
      <c r="A567" s="135">
        <f t="shared" si="95"/>
        <v>549</v>
      </c>
      <c r="B567" s="134">
        <f t="shared" si="96"/>
        <v>87</v>
      </c>
      <c r="C567" s="77" t="s">
        <v>72</v>
      </c>
      <c r="D567" s="77" t="s">
        <v>75</v>
      </c>
      <c r="E567" s="129">
        <f t="shared" si="93"/>
        <v>2038756.5126</v>
      </c>
      <c r="F567" s="44">
        <v>1303091.9754052199</v>
      </c>
      <c r="G567" s="44">
        <v>0</v>
      </c>
      <c r="H567" s="44">
        <v>373626.55878113996</v>
      </c>
      <c r="I567" s="44">
        <v>318408.58904399996</v>
      </c>
      <c r="J567" s="44">
        <v>0</v>
      </c>
      <c r="K567" s="44"/>
      <c r="L567" s="44"/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/>
      <c r="S567" s="68"/>
      <c r="T567" s="136">
        <v>43629.389369639997</v>
      </c>
      <c r="U567" s="24">
        <f t="shared" si="94"/>
        <v>3</v>
      </c>
    </row>
    <row r="568" spans="1:22" x14ac:dyDescent="0.25">
      <c r="A568" s="135">
        <f t="shared" si="95"/>
        <v>550</v>
      </c>
      <c r="B568" s="134">
        <f t="shared" si="96"/>
        <v>88</v>
      </c>
      <c r="C568" s="77"/>
      <c r="D568" s="77" t="s">
        <v>660</v>
      </c>
      <c r="E568" s="129">
        <f t="shared" si="93"/>
        <v>21536888.215718932</v>
      </c>
      <c r="F568" s="44"/>
      <c r="G568" s="44"/>
      <c r="H568" s="44"/>
      <c r="I568" s="44"/>
      <c r="J568" s="44"/>
      <c r="K568" s="44"/>
      <c r="L568" s="44"/>
      <c r="M568" s="44">
        <v>20793974.399999999</v>
      </c>
      <c r="N568" s="44"/>
      <c r="O568" s="44"/>
      <c r="P568" s="44"/>
      <c r="Q568" s="44"/>
      <c r="R568" s="44">
        <v>263945.2194144</v>
      </c>
      <c r="S568" s="68">
        <v>24000</v>
      </c>
      <c r="T568" s="136">
        <v>454968.59630453185</v>
      </c>
      <c r="U568" s="24">
        <f t="shared" si="94"/>
        <v>1</v>
      </c>
      <c r="V568" s="1" t="s">
        <v>709</v>
      </c>
    </row>
    <row r="569" spans="1:22" x14ac:dyDescent="0.25">
      <c r="A569" s="135">
        <f t="shared" si="95"/>
        <v>551</v>
      </c>
      <c r="B569" s="134">
        <f t="shared" si="96"/>
        <v>89</v>
      </c>
      <c r="C569" s="77"/>
      <c r="D569" s="77" t="s">
        <v>661</v>
      </c>
      <c r="E569" s="129">
        <f t="shared" si="93"/>
        <v>25139520</v>
      </c>
      <c r="F569" s="44"/>
      <c r="G569" s="44"/>
      <c r="H569" s="44"/>
      <c r="I569" s="44"/>
      <c r="J569" s="44"/>
      <c r="K569" s="44"/>
      <c r="L569" s="44"/>
      <c r="M569" s="44">
        <v>23617472.90112</v>
      </c>
      <c r="N569" s="44">
        <v>0</v>
      </c>
      <c r="O569" s="44">
        <v>0</v>
      </c>
      <c r="P569" s="44">
        <v>0</v>
      </c>
      <c r="Q569" s="44">
        <v>0</v>
      </c>
      <c r="R569" s="44">
        <v>754185.6</v>
      </c>
      <c r="S569" s="68">
        <v>251395.20000000001</v>
      </c>
      <c r="T569" s="136">
        <v>516466.29888000002</v>
      </c>
      <c r="U569" s="24">
        <f t="shared" si="94"/>
        <v>1</v>
      </c>
    </row>
    <row r="570" spans="1:22" x14ac:dyDescent="0.25">
      <c r="A570" s="135">
        <f t="shared" si="95"/>
        <v>552</v>
      </c>
      <c r="B570" s="134">
        <f t="shared" si="96"/>
        <v>90</v>
      </c>
      <c r="C570" s="77"/>
      <c r="D570" s="77" t="s">
        <v>662</v>
      </c>
      <c r="E570" s="129">
        <f t="shared" si="93"/>
        <v>14391493.255421314</v>
      </c>
      <c r="F570" s="44"/>
      <c r="G570" s="44"/>
      <c r="H570" s="44"/>
      <c r="I570" s="44"/>
      <c r="J570" s="44"/>
      <c r="K570" s="44"/>
      <c r="L570" s="44"/>
      <c r="M570" s="44">
        <v>13862649.6</v>
      </c>
      <c r="N570" s="44"/>
      <c r="O570" s="44"/>
      <c r="P570" s="44"/>
      <c r="Q570" s="44"/>
      <c r="R570" s="44">
        <v>202265.31720959998</v>
      </c>
      <c r="S570" s="68">
        <v>24000</v>
      </c>
      <c r="T570" s="136">
        <v>302578.33821171458</v>
      </c>
      <c r="U570" s="24">
        <f t="shared" si="94"/>
        <v>1</v>
      </c>
      <c r="V570" s="1" t="s">
        <v>709</v>
      </c>
    </row>
    <row r="571" spans="1:22" x14ac:dyDescent="0.25">
      <c r="A571" s="135">
        <f t="shared" si="95"/>
        <v>553</v>
      </c>
      <c r="B571" s="134">
        <f t="shared" si="96"/>
        <v>91</v>
      </c>
      <c r="C571" s="77" t="s">
        <v>72</v>
      </c>
      <c r="D571" s="77" t="s">
        <v>314</v>
      </c>
      <c r="E571" s="129">
        <f t="shared" si="93"/>
        <v>39603482.628111437</v>
      </c>
      <c r="F571" s="44">
        <v>13616559.511674002</v>
      </c>
      <c r="G571" s="44">
        <v>4892953.0885143364</v>
      </c>
      <c r="H571" s="44">
        <v>5159278.8563651238</v>
      </c>
      <c r="I571" s="44">
        <v>3303637.3136041779</v>
      </c>
      <c r="J571" s="44"/>
      <c r="K571" s="44"/>
      <c r="L571" s="44">
        <v>488558.85729000001</v>
      </c>
      <c r="M571" s="44">
        <v>0</v>
      </c>
      <c r="N571" s="44">
        <v>11343089.619999999</v>
      </c>
      <c r="O571" s="44">
        <v>0</v>
      </c>
      <c r="P571" s="44">
        <v>0</v>
      </c>
      <c r="Q571" s="44">
        <v>0</v>
      </c>
      <c r="R571" s="44">
        <v>596430.70650000009</v>
      </c>
      <c r="S571" s="44">
        <v>24992.426500000001</v>
      </c>
      <c r="T571" s="136">
        <v>177982.24766380002</v>
      </c>
      <c r="U571" s="24">
        <f t="shared" si="94"/>
        <v>6</v>
      </c>
    </row>
    <row r="572" spans="1:22" x14ac:dyDescent="0.25">
      <c r="A572" s="135">
        <f t="shared" si="95"/>
        <v>554</v>
      </c>
      <c r="B572" s="134">
        <f t="shared" si="96"/>
        <v>92</v>
      </c>
      <c r="C572" s="77" t="s">
        <v>72</v>
      </c>
      <c r="D572" s="77" t="s">
        <v>464</v>
      </c>
      <c r="E572" s="129">
        <f t="shared" si="93"/>
        <v>23235694.261726003</v>
      </c>
      <c r="F572" s="44">
        <v>5940143.1063865805</v>
      </c>
      <c r="G572" s="44">
        <v>2116717.1923795803</v>
      </c>
      <c r="H572" s="44">
        <v>2211498.4827243001</v>
      </c>
      <c r="I572" s="44">
        <v>1384537.88247348</v>
      </c>
      <c r="J572" s="44"/>
      <c r="K572" s="44"/>
      <c r="L572" s="44">
        <v>227939.55009504</v>
      </c>
      <c r="M572" s="44">
        <v>0</v>
      </c>
      <c r="N572" s="44">
        <v>10859485.412210401</v>
      </c>
      <c r="O572" s="44">
        <v>0</v>
      </c>
      <c r="P572" s="44">
        <v>0</v>
      </c>
      <c r="Q572" s="44">
        <v>0</v>
      </c>
      <c r="R572" s="44"/>
      <c r="S572" s="68"/>
      <c r="T572" s="136">
        <v>495372.63545662002</v>
      </c>
      <c r="U572" s="24">
        <f t="shared" si="94"/>
        <v>6</v>
      </c>
    </row>
    <row r="573" spans="1:22" x14ac:dyDescent="0.25">
      <c r="A573" s="135">
        <f t="shared" si="95"/>
        <v>555</v>
      </c>
      <c r="B573" s="134">
        <f t="shared" si="96"/>
        <v>93</v>
      </c>
      <c r="C573" s="77" t="s">
        <v>72</v>
      </c>
      <c r="D573" s="77" t="s">
        <v>76</v>
      </c>
      <c r="E573" s="129">
        <f t="shared" si="93"/>
        <v>4184287.1891999999</v>
      </c>
      <c r="F573" s="44"/>
      <c r="G573" s="44"/>
      <c r="H573" s="44">
        <v>615427.84556945995</v>
      </c>
      <c r="I573" s="44"/>
      <c r="J573" s="44">
        <v>0</v>
      </c>
      <c r="K573" s="44"/>
      <c r="L573" s="44"/>
      <c r="M573" s="44">
        <v>0</v>
      </c>
      <c r="N573" s="44"/>
      <c r="O573" s="44">
        <v>0</v>
      </c>
      <c r="P573" s="44">
        <v>3479315.59778166</v>
      </c>
      <c r="Q573" s="44"/>
      <c r="R573" s="44"/>
      <c r="S573" s="68"/>
      <c r="T573" s="136">
        <v>89543.745848880018</v>
      </c>
      <c r="U573" s="24">
        <f t="shared" si="94"/>
        <v>2</v>
      </c>
    </row>
    <row r="574" spans="1:22" x14ac:dyDescent="0.25">
      <c r="A574" s="135">
        <f t="shared" si="95"/>
        <v>556</v>
      </c>
      <c r="B574" s="134">
        <f t="shared" si="96"/>
        <v>94</v>
      </c>
      <c r="C574" s="77" t="s">
        <v>72</v>
      </c>
      <c r="D574" s="77" t="s">
        <v>319</v>
      </c>
      <c r="E574" s="129">
        <f t="shared" si="93"/>
        <v>41194600.280000001</v>
      </c>
      <c r="F574" s="44"/>
      <c r="G574" s="44"/>
      <c r="H574" s="44"/>
      <c r="I574" s="44"/>
      <c r="J574" s="44"/>
      <c r="K574" s="44"/>
      <c r="L574" s="44"/>
      <c r="M574" s="44"/>
      <c r="N574" s="44"/>
      <c r="O574" s="44">
        <v>0</v>
      </c>
      <c r="P574" s="44">
        <v>40313035.834008001</v>
      </c>
      <c r="Q574" s="44">
        <v>0</v>
      </c>
      <c r="R574" s="44"/>
      <c r="S574" s="68"/>
      <c r="T574" s="136">
        <v>881564.44599200005</v>
      </c>
      <c r="U574" s="24">
        <f t="shared" si="94"/>
        <v>1</v>
      </c>
    </row>
    <row r="575" spans="1:22" x14ac:dyDescent="0.25">
      <c r="A575" s="135">
        <f t="shared" si="95"/>
        <v>557</v>
      </c>
      <c r="B575" s="134">
        <f t="shared" si="96"/>
        <v>95</v>
      </c>
      <c r="C575" s="77" t="s">
        <v>72</v>
      </c>
      <c r="D575" s="77" t="s">
        <v>322</v>
      </c>
      <c r="E575" s="129">
        <f t="shared" si="93"/>
        <v>17444911.509005461</v>
      </c>
      <c r="F575" s="44">
        <v>0</v>
      </c>
      <c r="G575" s="44">
        <v>0</v>
      </c>
      <c r="H575" s="44">
        <v>0</v>
      </c>
      <c r="I575" s="44">
        <v>1124212.3435180259</v>
      </c>
      <c r="J575" s="44">
        <v>0</v>
      </c>
      <c r="K575" s="44"/>
      <c r="L575" s="44"/>
      <c r="M575" s="44">
        <v>0</v>
      </c>
      <c r="N575" s="44">
        <v>4206748.5157533297</v>
      </c>
      <c r="O575" s="44">
        <v>0</v>
      </c>
      <c r="P575" s="44">
        <v>8272430.9336326644</v>
      </c>
      <c r="Q575" s="44">
        <v>3193396.3000122053</v>
      </c>
      <c r="R575" s="44">
        <v>215153.97</v>
      </c>
      <c r="S575" s="44">
        <v>65657.709721273903</v>
      </c>
      <c r="T575" s="136">
        <v>367311.73636796477</v>
      </c>
      <c r="U575" s="24">
        <f t="shared" si="94"/>
        <v>4</v>
      </c>
    </row>
    <row r="576" spans="1:22" x14ac:dyDescent="0.25">
      <c r="A576" s="135">
        <f t="shared" si="95"/>
        <v>558</v>
      </c>
      <c r="B576" s="134">
        <f t="shared" si="96"/>
        <v>96</v>
      </c>
      <c r="C576" s="77" t="s">
        <v>72</v>
      </c>
      <c r="D576" s="77" t="s">
        <v>77</v>
      </c>
      <c r="E576" s="129">
        <f t="shared" si="93"/>
        <v>4999499.0117999995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/>
      <c r="L576" s="44"/>
      <c r="M576" s="44">
        <v>0</v>
      </c>
      <c r="N576" s="44">
        <v>0</v>
      </c>
      <c r="O576" s="44">
        <v>0</v>
      </c>
      <c r="P576" s="44">
        <v>4892509.7329474799</v>
      </c>
      <c r="Q576" s="44">
        <v>0</v>
      </c>
      <c r="R576" s="44"/>
      <c r="S576" s="68"/>
      <c r="T576" s="136">
        <v>106989.27885251999</v>
      </c>
      <c r="U576" s="24">
        <f t="shared" si="94"/>
        <v>1</v>
      </c>
    </row>
    <row r="577" spans="1:22" x14ac:dyDescent="0.25">
      <c r="A577" s="135">
        <f t="shared" si="95"/>
        <v>559</v>
      </c>
      <c r="B577" s="134">
        <f t="shared" si="96"/>
        <v>97</v>
      </c>
      <c r="C577" s="77" t="s">
        <v>72</v>
      </c>
      <c r="D577" s="77" t="s">
        <v>78</v>
      </c>
      <c r="E577" s="129">
        <f t="shared" si="93"/>
        <v>2312595.8024999998</v>
      </c>
      <c r="F577" s="44">
        <v>0</v>
      </c>
      <c r="G577" s="44"/>
      <c r="H577" s="44">
        <v>2263106.2523264997</v>
      </c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68"/>
      <c r="T577" s="136">
        <v>49489.550173499993</v>
      </c>
      <c r="U577" s="24">
        <f t="shared" si="94"/>
        <v>1</v>
      </c>
    </row>
    <row r="578" spans="1:22" x14ac:dyDescent="0.25">
      <c r="A578" s="135">
        <f t="shared" si="95"/>
        <v>560</v>
      </c>
      <c r="B578" s="134">
        <f t="shared" si="96"/>
        <v>98</v>
      </c>
      <c r="C578" s="77" t="s">
        <v>72</v>
      </c>
      <c r="D578" s="77" t="s">
        <v>179</v>
      </c>
      <c r="E578" s="129">
        <f t="shared" si="93"/>
        <v>1578343.95</v>
      </c>
      <c r="F578" s="44">
        <v>0</v>
      </c>
      <c r="G578" s="44">
        <v>0</v>
      </c>
      <c r="H578" s="44">
        <v>0</v>
      </c>
      <c r="I578" s="44">
        <v>0</v>
      </c>
      <c r="J578" s="44">
        <v>1544567.3894700001</v>
      </c>
      <c r="K578" s="44"/>
      <c r="L578" s="44"/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/>
      <c r="S578" s="68"/>
      <c r="T578" s="136">
        <v>33776.560530000002</v>
      </c>
      <c r="U578" s="24">
        <f t="shared" si="94"/>
        <v>1</v>
      </c>
    </row>
    <row r="579" spans="1:22" x14ac:dyDescent="0.25">
      <c r="A579" s="135">
        <f t="shared" si="95"/>
        <v>561</v>
      </c>
      <c r="B579" s="134">
        <f t="shared" si="96"/>
        <v>99</v>
      </c>
      <c r="C579" s="77" t="s">
        <v>72</v>
      </c>
      <c r="D579" s="77" t="s">
        <v>180</v>
      </c>
      <c r="E579" s="129">
        <f t="shared" si="93"/>
        <v>8241862.8259200007</v>
      </c>
      <c r="F579" s="44">
        <v>0</v>
      </c>
      <c r="G579" s="44">
        <v>0</v>
      </c>
      <c r="H579" s="44">
        <v>0</v>
      </c>
      <c r="I579" s="44">
        <v>0</v>
      </c>
      <c r="J579" s="44"/>
      <c r="K579" s="44"/>
      <c r="L579" s="44"/>
      <c r="M579" s="44"/>
      <c r="N579" s="44"/>
      <c r="O579" s="44"/>
      <c r="P579" s="44"/>
      <c r="Q579" s="44">
        <v>8060676.2652087007</v>
      </c>
      <c r="R579" s="44"/>
      <c r="S579" s="68"/>
      <c r="T579" s="136">
        <v>181186.5607113</v>
      </c>
      <c r="U579" s="24">
        <f t="shared" si="94"/>
        <v>1</v>
      </c>
    </row>
    <row r="580" spans="1:22" x14ac:dyDescent="0.25">
      <c r="A580" s="135">
        <f t="shared" si="95"/>
        <v>562</v>
      </c>
      <c r="B580" s="134">
        <f t="shared" si="96"/>
        <v>100</v>
      </c>
      <c r="C580" s="77"/>
      <c r="D580" s="77" t="s">
        <v>613</v>
      </c>
      <c r="E580" s="129">
        <f t="shared" si="93"/>
        <v>19282609.969906949</v>
      </c>
      <c r="F580" s="44">
        <v>2936526.2552402401</v>
      </c>
      <c r="G580" s="44">
        <v>992278.53151099186</v>
      </c>
      <c r="H580" s="44">
        <v>1129085.7379006753</v>
      </c>
      <c r="I580" s="44">
        <v>638430.90249499178</v>
      </c>
      <c r="J580" s="44">
        <v>433417.17657782399</v>
      </c>
      <c r="K580" s="44"/>
      <c r="L580" s="44">
        <v>110597.28387391758</v>
      </c>
      <c r="M580" s="44"/>
      <c r="N580" s="44">
        <v>5552808.1259888709</v>
      </c>
      <c r="O580" s="44"/>
      <c r="P580" s="44">
        <v>2777633.4456708389</v>
      </c>
      <c r="Q580" s="44">
        <v>3085246.79960059</v>
      </c>
      <c r="R580" s="44">
        <v>1240484.2200000002</v>
      </c>
      <c r="S580" s="68"/>
      <c r="T580" s="136">
        <v>386101.49104800873</v>
      </c>
      <c r="U580" s="24">
        <f t="shared" si="94"/>
        <v>9</v>
      </c>
    </row>
    <row r="581" spans="1:22" x14ac:dyDescent="0.25">
      <c r="A581" s="135">
        <f t="shared" si="95"/>
        <v>563</v>
      </c>
      <c r="B581" s="134">
        <f t="shared" si="96"/>
        <v>101</v>
      </c>
      <c r="C581" s="77" t="s">
        <v>72</v>
      </c>
      <c r="D581" s="77" t="s">
        <v>181</v>
      </c>
      <c r="E581" s="129">
        <f t="shared" si="93"/>
        <v>11822611.090756001</v>
      </c>
      <c r="F581" s="44">
        <v>0</v>
      </c>
      <c r="G581" s="44">
        <v>0</v>
      </c>
      <c r="H581" s="44">
        <v>0</v>
      </c>
      <c r="I581" s="44">
        <v>0</v>
      </c>
      <c r="J581" s="44"/>
      <c r="K581" s="44"/>
      <c r="L581" s="44"/>
      <c r="M581" s="44"/>
      <c r="N581" s="44"/>
      <c r="O581" s="44"/>
      <c r="P581" s="44"/>
      <c r="Q581" s="44">
        <v>11561490.38701188</v>
      </c>
      <c r="R581" s="44"/>
      <c r="S581" s="68"/>
      <c r="T581" s="136">
        <v>261120.70374411999</v>
      </c>
      <c r="U581" s="24">
        <f t="shared" si="94"/>
        <v>1</v>
      </c>
    </row>
    <row r="582" spans="1:22" x14ac:dyDescent="0.25">
      <c r="A582" s="135">
        <f t="shared" si="95"/>
        <v>564</v>
      </c>
      <c r="B582" s="134">
        <f t="shared" si="96"/>
        <v>102</v>
      </c>
      <c r="C582" s="77" t="s">
        <v>72</v>
      </c>
      <c r="D582" s="77" t="s">
        <v>183</v>
      </c>
      <c r="E582" s="129">
        <f t="shared" si="93"/>
        <v>1090383.0156</v>
      </c>
      <c r="F582" s="44">
        <v>0</v>
      </c>
      <c r="G582" s="44">
        <v>0</v>
      </c>
      <c r="H582" s="44">
        <v>0</v>
      </c>
      <c r="I582" s="44">
        <v>0</v>
      </c>
      <c r="J582" s="44">
        <v>1067048.8190661601</v>
      </c>
      <c r="K582" s="44"/>
      <c r="L582" s="44"/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/>
      <c r="S582" s="68"/>
      <c r="T582" s="136">
        <v>23334.19653384</v>
      </c>
      <c r="U582" s="24">
        <f t="shared" si="94"/>
        <v>1</v>
      </c>
    </row>
    <row r="583" spans="1:22" x14ac:dyDescent="0.25">
      <c r="A583" s="135">
        <f t="shared" si="95"/>
        <v>565</v>
      </c>
      <c r="B583" s="134">
        <f t="shared" si="96"/>
        <v>103</v>
      </c>
      <c r="C583" s="77" t="s">
        <v>72</v>
      </c>
      <c r="D583" s="77" t="s">
        <v>324</v>
      </c>
      <c r="E583" s="129">
        <f t="shared" si="93"/>
        <v>52616181.969999999</v>
      </c>
      <c r="F583" s="44">
        <v>13235961.861443998</v>
      </c>
      <c r="G583" s="44">
        <v>4786989.9158340003</v>
      </c>
      <c r="H583" s="44">
        <v>5025538.7362740003</v>
      </c>
      <c r="I583" s="44">
        <v>3236045.7926159999</v>
      </c>
      <c r="J583" s="44">
        <v>0</v>
      </c>
      <c r="K583" s="44"/>
      <c r="L583" s="44">
        <v>463910.16369684006</v>
      </c>
      <c r="M583" s="44">
        <v>0</v>
      </c>
      <c r="N583" s="44">
        <v>24494814.653904002</v>
      </c>
      <c r="O583" s="44">
        <v>0</v>
      </c>
      <c r="P583" s="44">
        <v>0</v>
      </c>
      <c r="Q583" s="44">
        <v>0</v>
      </c>
      <c r="R583" s="44">
        <v>223497.21529999998</v>
      </c>
      <c r="S583" s="68">
        <v>28837.295300000002</v>
      </c>
      <c r="T583" s="136">
        <v>1120586.3356311601</v>
      </c>
      <c r="U583" s="24">
        <f t="shared" si="94"/>
        <v>6</v>
      </c>
    </row>
    <row r="584" spans="1:22" x14ac:dyDescent="0.25">
      <c r="A584" s="135">
        <f t="shared" si="95"/>
        <v>566</v>
      </c>
      <c r="B584" s="134">
        <f t="shared" si="96"/>
        <v>104</v>
      </c>
      <c r="C584" s="77" t="s">
        <v>72</v>
      </c>
      <c r="D584" s="77" t="s">
        <v>184</v>
      </c>
      <c r="E584" s="129">
        <f t="shared" si="93"/>
        <v>25712471.723852001</v>
      </c>
      <c r="F584" s="44">
        <v>6531079.8989818199</v>
      </c>
      <c r="G584" s="44">
        <v>0</v>
      </c>
      <c r="H584" s="44">
        <v>0</v>
      </c>
      <c r="I584" s="44">
        <v>0</v>
      </c>
      <c r="J584" s="44"/>
      <c r="K584" s="44"/>
      <c r="L584" s="44"/>
      <c r="M584" s="44">
        <v>0</v>
      </c>
      <c r="N584" s="44">
        <v>11939807.781027</v>
      </c>
      <c r="O584" s="44">
        <v>0</v>
      </c>
      <c r="P584" s="44"/>
      <c r="Q584" s="44">
        <v>6686566.5827221796</v>
      </c>
      <c r="R584" s="44"/>
      <c r="S584" s="68"/>
      <c r="T584" s="136">
        <v>555017.461121</v>
      </c>
      <c r="U584" s="24">
        <f t="shared" si="94"/>
        <v>3</v>
      </c>
    </row>
    <row r="585" spans="1:22" x14ac:dyDescent="0.25">
      <c r="A585" s="135">
        <f t="shared" si="95"/>
        <v>567</v>
      </c>
      <c r="B585" s="134">
        <f t="shared" si="96"/>
        <v>105</v>
      </c>
      <c r="C585" s="77" t="s">
        <v>72</v>
      </c>
      <c r="D585" s="77" t="s">
        <v>79</v>
      </c>
      <c r="E585" s="129">
        <f t="shared" si="93"/>
        <v>5272414.5245999992</v>
      </c>
      <c r="F585" s="44">
        <v>3804046.6453625998</v>
      </c>
      <c r="G585" s="44">
        <v>1355538.2084109599</v>
      </c>
      <c r="H585" s="44">
        <v>0</v>
      </c>
      <c r="I585" s="44">
        <v>0</v>
      </c>
      <c r="J585" s="44"/>
      <c r="K585" s="44"/>
      <c r="L585" s="44"/>
      <c r="M585" s="44">
        <v>0</v>
      </c>
      <c r="N585" s="44">
        <v>0</v>
      </c>
      <c r="O585" s="44">
        <v>0</v>
      </c>
      <c r="P585" s="44"/>
      <c r="Q585" s="44">
        <v>0</v>
      </c>
      <c r="R585" s="44"/>
      <c r="S585" s="68"/>
      <c r="T585" s="136">
        <v>112829.67082643999</v>
      </c>
      <c r="U585" s="24">
        <f t="shared" si="94"/>
        <v>2</v>
      </c>
    </row>
    <row r="586" spans="1:22" x14ac:dyDescent="0.25">
      <c r="A586" s="135">
        <f t="shared" si="95"/>
        <v>568</v>
      </c>
      <c r="B586" s="134">
        <f t="shared" si="96"/>
        <v>106</v>
      </c>
      <c r="C586" s="77"/>
      <c r="D586" s="77" t="s">
        <v>614</v>
      </c>
      <c r="E586" s="129">
        <f t="shared" si="93"/>
        <v>54110859.14588251</v>
      </c>
      <c r="F586" s="44">
        <v>5679229.6643968001</v>
      </c>
      <c r="G586" s="44">
        <v>3284467.252180547</v>
      </c>
      <c r="H586" s="44">
        <v>3471907.125313418</v>
      </c>
      <c r="I586" s="44">
        <v>2647358.0368553139</v>
      </c>
      <c r="J586" s="44"/>
      <c r="K586" s="44"/>
      <c r="L586" s="44">
        <v>282207.60890328896</v>
      </c>
      <c r="M586" s="44">
        <v>0</v>
      </c>
      <c r="N586" s="44">
        <v>10109884.47232125</v>
      </c>
      <c r="O586" s="44">
        <v>0</v>
      </c>
      <c r="P586" s="44">
        <v>19628428.19913204</v>
      </c>
      <c r="Q586" s="44">
        <v>7719599.7672266429</v>
      </c>
      <c r="R586" s="44">
        <v>263779.37</v>
      </c>
      <c r="S586" s="68"/>
      <c r="T586" s="136">
        <v>1023997.6495532069</v>
      </c>
      <c r="U586" s="24">
        <f t="shared" si="94"/>
        <v>8</v>
      </c>
      <c r="V586" s="1" t="s">
        <v>708</v>
      </c>
    </row>
    <row r="587" spans="1:22" x14ac:dyDescent="0.25">
      <c r="A587" s="135">
        <f t="shared" si="95"/>
        <v>569</v>
      </c>
      <c r="B587" s="134">
        <f t="shared" si="96"/>
        <v>107</v>
      </c>
      <c r="C587" s="77"/>
      <c r="D587" s="77" t="s">
        <v>612</v>
      </c>
      <c r="E587" s="129">
        <f t="shared" si="93"/>
        <v>37259456.808583044</v>
      </c>
      <c r="F587" s="44">
        <v>8722797.8350393455</v>
      </c>
      <c r="G587" s="44">
        <v>3056816.9285062752</v>
      </c>
      <c r="H587" s="44">
        <v>3323301.5293241297</v>
      </c>
      <c r="I587" s="44">
        <v>2018997.0669382755</v>
      </c>
      <c r="J587" s="44">
        <v>1457619.2451896544</v>
      </c>
      <c r="K587" s="44"/>
      <c r="L587" s="44">
        <v>319686.07166936301</v>
      </c>
      <c r="M587" s="44"/>
      <c r="N587" s="44">
        <v>16290910.735983547</v>
      </c>
      <c r="O587" s="44"/>
      <c r="P587" s="44"/>
      <c r="Q587" s="44"/>
      <c r="R587" s="44">
        <v>1275790.5377363348</v>
      </c>
      <c r="S587" s="68">
        <v>24000</v>
      </c>
      <c r="T587" s="136">
        <v>769536.85819611955</v>
      </c>
      <c r="U587" s="24">
        <f t="shared" si="94"/>
        <v>7</v>
      </c>
    </row>
    <row r="588" spans="1:22" x14ac:dyDescent="0.25">
      <c r="A588" s="135">
        <f t="shared" si="95"/>
        <v>570</v>
      </c>
      <c r="B588" s="134">
        <f t="shared" si="96"/>
        <v>108</v>
      </c>
      <c r="C588" s="77" t="s">
        <v>72</v>
      </c>
      <c r="D588" s="77" t="s">
        <v>185</v>
      </c>
      <c r="E588" s="129">
        <f t="shared" si="93"/>
        <v>20404912.125809953</v>
      </c>
      <c r="F588" s="44">
        <v>8202360.1409184821</v>
      </c>
      <c r="G588" s="44">
        <v>2922825.417348688</v>
      </c>
      <c r="H588" s="44">
        <v>3053714.1501469188</v>
      </c>
      <c r="I588" s="44">
        <v>1911828.5974678639</v>
      </c>
      <c r="J588" s="44">
        <v>1169716.4320007851</v>
      </c>
      <c r="K588" s="44"/>
      <c r="L588" s="44">
        <v>314730.64776761638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2241354.1289639203</v>
      </c>
      <c r="S588" s="68">
        <v>204049.12125809959</v>
      </c>
      <c r="T588" s="136">
        <v>384333.48993758194</v>
      </c>
      <c r="U588" s="24">
        <f t="shared" si="94"/>
        <v>6</v>
      </c>
    </row>
    <row r="589" spans="1:22" x14ac:dyDescent="0.25">
      <c r="A589" s="135">
        <f t="shared" si="95"/>
        <v>571</v>
      </c>
      <c r="B589" s="134">
        <f t="shared" si="96"/>
        <v>109</v>
      </c>
      <c r="C589" s="77"/>
      <c r="D589" s="77" t="s">
        <v>611</v>
      </c>
      <c r="E589" s="129">
        <f t="shared" si="93"/>
        <v>24475604.160000004</v>
      </c>
      <c r="F589" s="44"/>
      <c r="G589" s="44">
        <v>2569498.1666174689</v>
      </c>
      <c r="H589" s="44">
        <v>2781035.5982677904</v>
      </c>
      <c r="I589" s="44">
        <v>1702285.7458574688</v>
      </c>
      <c r="J589" s="44">
        <v>1236504.5566667134</v>
      </c>
      <c r="K589" s="44"/>
      <c r="L589" s="44"/>
      <c r="M589" s="44"/>
      <c r="N589" s="44"/>
      <c r="O589" s="44"/>
      <c r="P589" s="44">
        <v>6988483.2999323765</v>
      </c>
      <c r="Q589" s="44">
        <v>7647211.0565302186</v>
      </c>
      <c r="R589" s="44">
        <v>1005086.0352408147</v>
      </c>
      <c r="S589" s="68">
        <v>44175.978967199997</v>
      </c>
      <c r="T589" s="136">
        <v>501323.72191994853</v>
      </c>
      <c r="U589" s="24">
        <f t="shared" si="94"/>
        <v>6</v>
      </c>
    </row>
    <row r="590" spans="1:22" x14ac:dyDescent="0.25">
      <c r="A590" s="135">
        <f t="shared" si="95"/>
        <v>572</v>
      </c>
      <c r="B590" s="134">
        <f t="shared" si="96"/>
        <v>110</v>
      </c>
      <c r="C590" s="77" t="s">
        <v>72</v>
      </c>
      <c r="D590" s="77" t="s">
        <v>187</v>
      </c>
      <c r="E590" s="129">
        <f t="shared" si="93"/>
        <v>5807176.6843999997</v>
      </c>
      <c r="F590" s="44">
        <v>5682903.1033538394</v>
      </c>
      <c r="G590" s="44">
        <v>0</v>
      </c>
      <c r="H590" s="44">
        <v>0</v>
      </c>
      <c r="I590" s="44">
        <v>0</v>
      </c>
      <c r="J590" s="44">
        <v>0</v>
      </c>
      <c r="K590" s="44"/>
      <c r="L590" s="44"/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/>
      <c r="S590" s="68"/>
      <c r="T590" s="136">
        <v>124273.58104615999</v>
      </c>
      <c r="U590" s="24">
        <f t="shared" si="94"/>
        <v>1</v>
      </c>
    </row>
    <row r="591" spans="1:22" x14ac:dyDescent="0.25">
      <c r="A591" s="135">
        <f t="shared" si="95"/>
        <v>573</v>
      </c>
      <c r="B591" s="134">
        <f t="shared" si="96"/>
        <v>111</v>
      </c>
      <c r="C591" s="77" t="s">
        <v>72</v>
      </c>
      <c r="D591" s="77" t="s">
        <v>326</v>
      </c>
      <c r="E591" s="129">
        <f t="shared" si="93"/>
        <v>18827318.329567</v>
      </c>
      <c r="F591" s="44">
        <v>9020010.4696379993</v>
      </c>
      <c r="G591" s="44">
        <v>3231794.773788</v>
      </c>
      <c r="H591" s="44">
        <v>3412556.6672820002</v>
      </c>
      <c r="I591" s="44">
        <v>2178146.6737379995</v>
      </c>
      <c r="J591" s="44"/>
      <c r="K591" s="44"/>
      <c r="L591" s="44">
        <v>324068.03834999999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239862.84749999997</v>
      </c>
      <c r="S591" s="44">
        <v>23311.547500000001</v>
      </c>
      <c r="T591" s="136">
        <v>397567.31177100004</v>
      </c>
      <c r="U591" s="24">
        <f t="shared" si="94"/>
        <v>5</v>
      </c>
    </row>
    <row r="592" spans="1:22" x14ac:dyDescent="0.25">
      <c r="A592" s="135">
        <f t="shared" si="95"/>
        <v>574</v>
      </c>
      <c r="B592" s="134">
        <f t="shared" si="96"/>
        <v>112</v>
      </c>
      <c r="C592" s="77"/>
      <c r="D592" s="77" t="s">
        <v>330</v>
      </c>
      <c r="E592" s="129">
        <f t="shared" ref="E592:E656" si="97">SUBTOTAL(9,F592:T592)</f>
        <v>20234536.945299998</v>
      </c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>
        <v>19801517.854670577</v>
      </c>
      <c r="Q592" s="44">
        <v>0</v>
      </c>
      <c r="R592" s="44"/>
      <c r="S592" s="44"/>
      <c r="T592" s="136">
        <v>433019.09062942001</v>
      </c>
      <c r="U592" s="24">
        <f t="shared" ref="U592:U656" si="98">COUNTIF(F592:Q592,"&gt;0")</f>
        <v>1</v>
      </c>
    </row>
    <row r="593" spans="1:21" x14ac:dyDescent="0.25">
      <c r="A593" s="135">
        <f t="shared" si="95"/>
        <v>575</v>
      </c>
      <c r="B593" s="134">
        <f t="shared" si="96"/>
        <v>113</v>
      </c>
      <c r="C593" s="77" t="s">
        <v>72</v>
      </c>
      <c r="D593" s="77" t="s">
        <v>188</v>
      </c>
      <c r="E593" s="129">
        <f t="shared" si="97"/>
        <v>4542546.6355299996</v>
      </c>
      <c r="F593" s="44">
        <v>0</v>
      </c>
      <c r="G593" s="44"/>
      <c r="H593" s="44">
        <v>4438837.1277801599</v>
      </c>
      <c r="I593" s="44"/>
      <c r="J593" s="44"/>
      <c r="K593" s="44"/>
      <c r="L593" s="44"/>
      <c r="M593" s="44">
        <v>0</v>
      </c>
      <c r="N593" s="44">
        <v>0</v>
      </c>
      <c r="O593" s="44">
        <v>0</v>
      </c>
      <c r="P593" s="44"/>
      <c r="Q593" s="44">
        <v>0</v>
      </c>
      <c r="R593" s="44"/>
      <c r="S593" s="68"/>
      <c r="T593" s="136">
        <v>103709.50774984001</v>
      </c>
      <c r="U593" s="24">
        <f t="shared" si="98"/>
        <v>1</v>
      </c>
    </row>
    <row r="594" spans="1:21" x14ac:dyDescent="0.25">
      <c r="A594" s="135">
        <f t="shared" si="95"/>
        <v>576</v>
      </c>
      <c r="B594" s="134">
        <f t="shared" si="96"/>
        <v>114</v>
      </c>
      <c r="C594" s="77"/>
      <c r="D594" s="77" t="s">
        <v>333</v>
      </c>
      <c r="E594" s="129">
        <f t="shared" si="97"/>
        <v>25343583.591800001</v>
      </c>
      <c r="F594" s="44"/>
      <c r="G594" s="44"/>
      <c r="H594" s="44"/>
      <c r="I594" s="44"/>
      <c r="J594" s="44"/>
      <c r="K594" s="44"/>
      <c r="L594" s="44"/>
      <c r="M594" s="44">
        <v>0</v>
      </c>
      <c r="N594" s="44"/>
      <c r="O594" s="44">
        <v>0</v>
      </c>
      <c r="P594" s="44">
        <v>24801230.902935479</v>
      </c>
      <c r="Q594" s="44"/>
      <c r="R594" s="44"/>
      <c r="S594" s="68"/>
      <c r="T594" s="136">
        <v>542352.68886452005</v>
      </c>
      <c r="U594" s="24">
        <f t="shared" si="98"/>
        <v>1</v>
      </c>
    </row>
    <row r="595" spans="1:21" x14ac:dyDescent="0.25">
      <c r="A595" s="135">
        <f t="shared" si="95"/>
        <v>577</v>
      </c>
      <c r="B595" s="134">
        <f t="shared" si="96"/>
        <v>115</v>
      </c>
      <c r="C595" s="77" t="s">
        <v>72</v>
      </c>
      <c r="D595" s="77" t="s">
        <v>334</v>
      </c>
      <c r="E595" s="129">
        <f t="shared" si="97"/>
        <v>36759861.869206004</v>
      </c>
      <c r="F595" s="44"/>
      <c r="G595" s="44"/>
      <c r="H595" s="44"/>
      <c r="I595" s="44"/>
      <c r="J595" s="44"/>
      <c r="K595" s="44"/>
      <c r="L595" s="44"/>
      <c r="M595" s="44"/>
      <c r="N595" s="44"/>
      <c r="O595" s="44">
        <v>0</v>
      </c>
      <c r="P595" s="44">
        <v>35601534.275782861</v>
      </c>
      <c r="Q595" s="44"/>
      <c r="R595" s="44"/>
      <c r="S595" s="68"/>
      <c r="T595" s="136">
        <v>1158327.59342314</v>
      </c>
      <c r="U595" s="24">
        <f t="shared" si="98"/>
        <v>1</v>
      </c>
    </row>
    <row r="596" spans="1:21" x14ac:dyDescent="0.25">
      <c r="A596" s="135">
        <f t="shared" si="95"/>
        <v>578</v>
      </c>
      <c r="B596" s="134">
        <f t="shared" si="96"/>
        <v>116</v>
      </c>
      <c r="C596" s="77" t="s">
        <v>72</v>
      </c>
      <c r="D596" s="77" t="s">
        <v>80</v>
      </c>
      <c r="E596" s="129">
        <f t="shared" si="97"/>
        <v>15639587.934363784</v>
      </c>
      <c r="F596" s="44">
        <v>3688256.7153808386</v>
      </c>
      <c r="G596" s="44"/>
      <c r="H596" s="44">
        <v>1373125.6438191601</v>
      </c>
      <c r="I596" s="44"/>
      <c r="J596" s="44">
        <v>0</v>
      </c>
      <c r="K596" s="44"/>
      <c r="L596" s="44"/>
      <c r="M596" s="44">
        <v>0</v>
      </c>
      <c r="N596" s="44">
        <v>6742685.0844485993</v>
      </c>
      <c r="O596" s="44">
        <v>0</v>
      </c>
      <c r="P596" s="44">
        <v>3500833.3089198</v>
      </c>
      <c r="Q596" s="44">
        <v>0</v>
      </c>
      <c r="R596" s="44"/>
      <c r="S596" s="68"/>
      <c r="T596" s="136">
        <v>334687.18179538497</v>
      </c>
      <c r="U596" s="24">
        <f t="shared" si="98"/>
        <v>4</v>
      </c>
    </row>
    <row r="597" spans="1:21" x14ac:dyDescent="0.25">
      <c r="A597" s="135">
        <f t="shared" si="95"/>
        <v>579</v>
      </c>
      <c r="B597" s="134">
        <f t="shared" si="96"/>
        <v>117</v>
      </c>
      <c r="C597" s="77"/>
      <c r="D597" s="77" t="s">
        <v>615</v>
      </c>
      <c r="E597" s="129">
        <f t="shared" si="97"/>
        <v>10774080</v>
      </c>
      <c r="F597" s="44"/>
      <c r="G597" s="44"/>
      <c r="H597" s="44"/>
      <c r="I597" s="44"/>
      <c r="J597" s="44"/>
      <c r="K597" s="44"/>
      <c r="L597" s="44"/>
      <c r="M597" s="44">
        <f>3*3591360</f>
        <v>10774080</v>
      </c>
      <c r="N597" s="44"/>
      <c r="O597" s="44"/>
      <c r="P597" s="44"/>
      <c r="Q597" s="44"/>
      <c r="R597" s="44"/>
      <c r="S597" s="68"/>
      <c r="T597" s="136"/>
      <c r="U597" s="24">
        <f t="shared" si="98"/>
        <v>1</v>
      </c>
    </row>
    <row r="598" spans="1:21" x14ac:dyDescent="0.25">
      <c r="A598" s="135">
        <f t="shared" si="95"/>
        <v>580</v>
      </c>
      <c r="B598" s="134">
        <f t="shared" si="96"/>
        <v>118</v>
      </c>
      <c r="C598" s="77" t="s">
        <v>72</v>
      </c>
      <c r="D598" s="77" t="s">
        <v>336</v>
      </c>
      <c r="E598" s="129">
        <f t="shared" si="97"/>
        <v>4577622.6536000008</v>
      </c>
      <c r="F598" s="44">
        <v>0</v>
      </c>
      <c r="G598" s="44">
        <v>0</v>
      </c>
      <c r="H598" s="44">
        <v>4479661.5288129607</v>
      </c>
      <c r="I598" s="44">
        <v>0</v>
      </c>
      <c r="J598" s="44">
        <v>0</v>
      </c>
      <c r="K598" s="44"/>
      <c r="L598" s="44"/>
      <c r="M598" s="44">
        <v>0</v>
      </c>
      <c r="N598" s="44"/>
      <c r="O598" s="44"/>
      <c r="P598" s="44"/>
      <c r="Q598" s="44">
        <v>0</v>
      </c>
      <c r="R598" s="44"/>
      <c r="S598" s="68"/>
      <c r="T598" s="136">
        <v>97961.124787040011</v>
      </c>
      <c r="U598" s="24">
        <f t="shared" si="98"/>
        <v>1</v>
      </c>
    </row>
    <row r="599" spans="1:21" x14ac:dyDescent="0.25">
      <c r="A599" s="135">
        <f t="shared" si="95"/>
        <v>581</v>
      </c>
      <c r="B599" s="134">
        <f t="shared" si="96"/>
        <v>119</v>
      </c>
      <c r="C599" s="77" t="s">
        <v>72</v>
      </c>
      <c r="D599" s="77" t="s">
        <v>189</v>
      </c>
      <c r="E599" s="129">
        <f t="shared" si="97"/>
        <v>3562517.4807000002</v>
      </c>
      <c r="F599" s="44">
        <v>0</v>
      </c>
      <c r="G599" s="44">
        <v>0</v>
      </c>
      <c r="H599" s="44">
        <v>3486279.6066130204</v>
      </c>
      <c r="I599" s="44">
        <v>0</v>
      </c>
      <c r="J599" s="44">
        <v>0</v>
      </c>
      <c r="K599" s="44"/>
      <c r="L599" s="44"/>
      <c r="M599" s="44">
        <v>0</v>
      </c>
      <c r="N599" s="44">
        <v>0</v>
      </c>
      <c r="O599" s="44">
        <v>0</v>
      </c>
      <c r="P599" s="44"/>
      <c r="Q599" s="44">
        <v>0</v>
      </c>
      <c r="R599" s="44"/>
      <c r="S599" s="68"/>
      <c r="T599" s="136">
        <v>76237.874086980009</v>
      </c>
      <c r="U599" s="24">
        <f t="shared" si="98"/>
        <v>1</v>
      </c>
    </row>
    <row r="600" spans="1:21" x14ac:dyDescent="0.25">
      <c r="A600" s="135">
        <f t="shared" si="95"/>
        <v>582</v>
      </c>
      <c r="B600" s="134">
        <f t="shared" si="96"/>
        <v>120</v>
      </c>
      <c r="C600" s="77" t="s">
        <v>72</v>
      </c>
      <c r="D600" s="77" t="s">
        <v>337</v>
      </c>
      <c r="E600" s="129">
        <f t="shared" si="97"/>
        <v>2323481.64</v>
      </c>
      <c r="F600" s="44">
        <v>0</v>
      </c>
      <c r="G600" s="44">
        <v>0</v>
      </c>
      <c r="H600" s="44">
        <v>0</v>
      </c>
      <c r="I600" s="44">
        <v>0</v>
      </c>
      <c r="J600" s="44">
        <v>2156118.2507340005</v>
      </c>
      <c r="K600" s="44"/>
      <c r="L600" s="44"/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114379.29999999999</v>
      </c>
      <c r="S600" s="44">
        <v>5834.15</v>
      </c>
      <c r="T600" s="136">
        <v>47149.939266000009</v>
      </c>
      <c r="U600" s="24">
        <f t="shared" si="98"/>
        <v>1</v>
      </c>
    </row>
    <row r="601" spans="1:21" x14ac:dyDescent="0.25">
      <c r="A601" s="135">
        <f t="shared" si="95"/>
        <v>583</v>
      </c>
      <c r="B601" s="134">
        <f t="shared" si="96"/>
        <v>121</v>
      </c>
      <c r="C601" s="77" t="s">
        <v>72</v>
      </c>
      <c r="D601" s="77" t="s">
        <v>338</v>
      </c>
      <c r="E601" s="129">
        <f t="shared" si="97"/>
        <v>1630698.28</v>
      </c>
      <c r="F601" s="44">
        <v>0</v>
      </c>
      <c r="G601" s="44">
        <v>0</v>
      </c>
      <c r="H601" s="44">
        <v>0</v>
      </c>
      <c r="I601" s="44">
        <v>0</v>
      </c>
      <c r="J601" s="44">
        <v>1460685.5846520001</v>
      </c>
      <c r="K601" s="44"/>
      <c r="L601" s="44"/>
      <c r="M601" s="44">
        <v>0</v>
      </c>
      <c r="N601" s="44">
        <v>0</v>
      </c>
      <c r="O601" s="44">
        <v>0</v>
      </c>
      <c r="P601" s="44">
        <v>0</v>
      </c>
      <c r="Q601" s="44">
        <v>0</v>
      </c>
      <c r="R601" s="44">
        <v>131131.96</v>
      </c>
      <c r="S601" s="44">
        <v>6938.5</v>
      </c>
      <c r="T601" s="136">
        <v>31942.235348000006</v>
      </c>
      <c r="U601" s="24">
        <f t="shared" si="98"/>
        <v>1</v>
      </c>
    </row>
    <row r="602" spans="1:21" x14ac:dyDescent="0.25">
      <c r="A602" s="135">
        <f t="shared" si="95"/>
        <v>584</v>
      </c>
      <c r="B602" s="134">
        <f t="shared" si="96"/>
        <v>122</v>
      </c>
      <c r="C602" s="77" t="s">
        <v>72</v>
      </c>
      <c r="D602" s="77" t="s">
        <v>339</v>
      </c>
      <c r="E602" s="129">
        <f t="shared" si="97"/>
        <v>13363743.800941201</v>
      </c>
      <c r="F602" s="44"/>
      <c r="G602" s="44"/>
      <c r="H602" s="44">
        <v>7093798.1322179995</v>
      </c>
      <c r="I602" s="44">
        <v>5581283.0731980009</v>
      </c>
      <c r="J602" s="44"/>
      <c r="K602" s="44"/>
      <c r="L602" s="44"/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128556.376</v>
      </c>
      <c r="S602" s="68">
        <v>23378.916000000001</v>
      </c>
      <c r="T602" s="136">
        <v>536727.3035252</v>
      </c>
      <c r="U602" s="24">
        <f t="shared" si="98"/>
        <v>2</v>
      </c>
    </row>
    <row r="603" spans="1:21" x14ac:dyDescent="0.25">
      <c r="A603" s="135">
        <f t="shared" si="95"/>
        <v>585</v>
      </c>
      <c r="B603" s="134">
        <f t="shared" si="96"/>
        <v>123</v>
      </c>
      <c r="C603" s="77" t="s">
        <v>72</v>
      </c>
      <c r="D603" s="77" t="s">
        <v>340</v>
      </c>
      <c r="E603" s="129">
        <f t="shared" si="97"/>
        <v>2653548.6528289546</v>
      </c>
      <c r="F603" s="44">
        <v>0</v>
      </c>
      <c r="G603" s="44">
        <v>1379299.4009521424</v>
      </c>
      <c r="H603" s="44">
        <v>0</v>
      </c>
      <c r="I603" s="44">
        <v>923467.08456419234</v>
      </c>
      <c r="J603" s="44"/>
      <c r="K603" s="44"/>
      <c r="L603" s="44"/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279113.33420000004</v>
      </c>
      <c r="S603" s="44">
        <v>24896.3825</v>
      </c>
      <c r="T603" s="136">
        <v>46772.450612620007</v>
      </c>
      <c r="U603" s="24">
        <f t="shared" si="98"/>
        <v>2</v>
      </c>
    </row>
    <row r="604" spans="1:21" x14ac:dyDescent="0.25">
      <c r="A604" s="135">
        <f t="shared" si="95"/>
        <v>586</v>
      </c>
      <c r="B604" s="134">
        <f t="shared" si="96"/>
        <v>124</v>
      </c>
      <c r="C604" s="77" t="s">
        <v>72</v>
      </c>
      <c r="D604" s="77" t="s">
        <v>469</v>
      </c>
      <c r="E604" s="129">
        <f t="shared" si="97"/>
        <v>10469460.771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/>
      <c r="L604" s="44"/>
      <c r="M604" s="44">
        <v>0</v>
      </c>
      <c r="N604" s="44">
        <v>10245414.310500599</v>
      </c>
      <c r="O604" s="44">
        <v>0</v>
      </c>
      <c r="P604" s="44">
        <v>0</v>
      </c>
      <c r="Q604" s="44">
        <v>0</v>
      </c>
      <c r="R604" s="44"/>
      <c r="S604" s="68"/>
      <c r="T604" s="136">
        <v>224046.46049940001</v>
      </c>
      <c r="U604" s="24">
        <f t="shared" si="98"/>
        <v>1</v>
      </c>
    </row>
    <row r="605" spans="1:21" x14ac:dyDescent="0.25">
      <c r="A605" s="135">
        <f t="shared" si="95"/>
        <v>587</v>
      </c>
      <c r="B605" s="134">
        <f t="shared" si="96"/>
        <v>125</v>
      </c>
      <c r="C605" s="77" t="s">
        <v>72</v>
      </c>
      <c r="D605" s="77" t="s">
        <v>191</v>
      </c>
      <c r="E605" s="129">
        <f t="shared" si="97"/>
        <v>5232438.4238859992</v>
      </c>
      <c r="F605" s="44">
        <v>0</v>
      </c>
      <c r="G605" s="44">
        <v>0</v>
      </c>
      <c r="H605" s="44">
        <v>5108867.6053762194</v>
      </c>
      <c r="I605" s="44">
        <v>0</v>
      </c>
      <c r="J605" s="44"/>
      <c r="K605" s="44"/>
      <c r="L605" s="44"/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/>
      <c r="S605" s="68"/>
      <c r="T605" s="136">
        <v>123570.81850978</v>
      </c>
      <c r="U605" s="24">
        <f t="shared" si="98"/>
        <v>1</v>
      </c>
    </row>
    <row r="606" spans="1:21" x14ac:dyDescent="0.25">
      <c r="A606" s="135">
        <f t="shared" si="95"/>
        <v>588</v>
      </c>
      <c r="B606" s="134">
        <f t="shared" si="96"/>
        <v>126</v>
      </c>
      <c r="C606" s="77" t="s">
        <v>72</v>
      </c>
      <c r="D606" s="77" t="s">
        <v>193</v>
      </c>
      <c r="E606" s="129">
        <f t="shared" si="97"/>
        <v>33447816.559111003</v>
      </c>
      <c r="F606" s="44">
        <v>12649079.980151162</v>
      </c>
      <c r="G606" s="44">
        <v>6869704.5973592401</v>
      </c>
      <c r="H606" s="44">
        <v>8171118.1097511007</v>
      </c>
      <c r="I606" s="44">
        <v>3937651.5042933603</v>
      </c>
      <c r="J606" s="44">
        <v>0</v>
      </c>
      <c r="K606" s="44"/>
      <c r="L606" s="44">
        <v>952026.39550956013</v>
      </c>
      <c r="M606" s="44">
        <v>0</v>
      </c>
      <c r="N606" s="44"/>
      <c r="O606" s="44">
        <v>0</v>
      </c>
      <c r="P606" s="44">
        <v>0</v>
      </c>
      <c r="Q606" s="44">
        <v>0</v>
      </c>
      <c r="R606" s="44"/>
      <c r="S606" s="68"/>
      <c r="T606" s="136">
        <v>868235.97204658017</v>
      </c>
      <c r="U606" s="24">
        <f t="shared" si="98"/>
        <v>5</v>
      </c>
    </row>
    <row r="607" spans="1:21" x14ac:dyDescent="0.25">
      <c r="A607" s="135">
        <f t="shared" si="95"/>
        <v>589</v>
      </c>
      <c r="B607" s="134">
        <f t="shared" si="96"/>
        <v>127</v>
      </c>
      <c r="C607" s="77" t="s">
        <v>72</v>
      </c>
      <c r="D607" s="77" t="s">
        <v>83</v>
      </c>
      <c r="E607" s="129">
        <f t="shared" si="97"/>
        <v>18039857.71118984</v>
      </c>
      <c r="F607" s="44">
        <v>0</v>
      </c>
      <c r="G607" s="44">
        <v>0</v>
      </c>
      <c r="H607" s="44">
        <v>0</v>
      </c>
      <c r="I607" s="44">
        <v>0</v>
      </c>
      <c r="J607" s="44">
        <v>1790350.8166139401</v>
      </c>
      <c r="K607" s="44"/>
      <c r="L607" s="44"/>
      <c r="M607" s="44">
        <v>0</v>
      </c>
      <c r="N607" s="44">
        <v>0</v>
      </c>
      <c r="O607" s="44">
        <v>0</v>
      </c>
      <c r="P607" s="44">
        <v>0</v>
      </c>
      <c r="Q607" s="44">
        <v>13564306.146929998</v>
      </c>
      <c r="R607" s="44">
        <v>2208962.0269999998</v>
      </c>
      <c r="S607" s="44">
        <v>167867.1545</v>
      </c>
      <c r="T607" s="136">
        <v>308371.56614590005</v>
      </c>
      <c r="U607" s="24">
        <f t="shared" si="98"/>
        <v>2</v>
      </c>
    </row>
    <row r="608" spans="1:21" x14ac:dyDescent="0.25">
      <c r="A608" s="135">
        <f t="shared" si="95"/>
        <v>590</v>
      </c>
      <c r="B608" s="134">
        <f t="shared" si="96"/>
        <v>128</v>
      </c>
      <c r="C608" s="77"/>
      <c r="D608" s="77" t="s">
        <v>645</v>
      </c>
      <c r="E608" s="129">
        <f t="shared" si="97"/>
        <v>3591360</v>
      </c>
      <c r="F608" s="44"/>
      <c r="G608" s="44"/>
      <c r="H608" s="44"/>
      <c r="I608" s="44"/>
      <c r="J608" s="44"/>
      <c r="K608" s="44"/>
      <c r="L608" s="44"/>
      <c r="M608" s="44">
        <v>3388344.6460698778</v>
      </c>
      <c r="N608" s="44"/>
      <c r="O608" s="44"/>
      <c r="P608" s="44"/>
      <c r="Q608" s="44"/>
      <c r="R608" s="44">
        <v>104919.11907839999</v>
      </c>
      <c r="S608" s="68">
        <v>24000</v>
      </c>
      <c r="T608" s="136">
        <v>74096.234851722242</v>
      </c>
      <c r="U608" s="24">
        <f t="shared" si="98"/>
        <v>1</v>
      </c>
    </row>
    <row r="609" spans="1:21" x14ac:dyDescent="0.25">
      <c r="A609" s="135">
        <f t="shared" si="95"/>
        <v>591</v>
      </c>
      <c r="B609" s="134">
        <f t="shared" si="96"/>
        <v>129</v>
      </c>
      <c r="C609" s="77"/>
      <c r="D609" s="77" t="s">
        <v>646</v>
      </c>
      <c r="E609" s="129">
        <f t="shared" si="97"/>
        <v>1761672.902208</v>
      </c>
      <c r="F609" s="44"/>
      <c r="G609" s="44"/>
      <c r="H609" s="44"/>
      <c r="I609" s="44"/>
      <c r="J609" s="44">
        <v>1348414.7232127488</v>
      </c>
      <c r="K609" s="44"/>
      <c r="L609" s="44"/>
      <c r="M609" s="44"/>
      <c r="N609" s="44"/>
      <c r="O609" s="44"/>
      <c r="P609" s="44"/>
      <c r="Q609" s="44"/>
      <c r="R609" s="44">
        <v>383771.07999999996</v>
      </c>
      <c r="S609" s="68"/>
      <c r="T609" s="136">
        <v>29487.098995251199</v>
      </c>
      <c r="U609" s="24">
        <f t="shared" si="98"/>
        <v>1</v>
      </c>
    </row>
    <row r="610" spans="1:21" x14ac:dyDescent="0.25">
      <c r="A610" s="135">
        <f t="shared" si="95"/>
        <v>592</v>
      </c>
      <c r="B610" s="134">
        <f t="shared" si="96"/>
        <v>130</v>
      </c>
      <c r="C610" s="77"/>
      <c r="D610" s="77" t="s">
        <v>647</v>
      </c>
      <c r="E610" s="129">
        <f t="shared" si="97"/>
        <v>1715973.7068479999</v>
      </c>
      <c r="F610" s="44"/>
      <c r="G610" s="44"/>
      <c r="H610" s="44"/>
      <c r="I610" s="44"/>
      <c r="J610" s="44">
        <v>1304412.8692794528</v>
      </c>
      <c r="K610" s="44"/>
      <c r="L610" s="44"/>
      <c r="M610" s="44"/>
      <c r="N610" s="44"/>
      <c r="O610" s="44"/>
      <c r="P610" s="44"/>
      <c r="Q610" s="44"/>
      <c r="R610" s="44">
        <v>383035.97</v>
      </c>
      <c r="S610" s="68"/>
      <c r="T610" s="136">
        <v>28524.867568547194</v>
      </c>
      <c r="U610" s="24">
        <f t="shared" si="98"/>
        <v>1</v>
      </c>
    </row>
    <row r="611" spans="1:21" x14ac:dyDescent="0.25">
      <c r="A611" s="135">
        <f t="shared" ref="A611:A674" si="99">+A610+1</f>
        <v>593</v>
      </c>
      <c r="B611" s="134">
        <f t="shared" ref="B611:B674" si="100">+B610+1</f>
        <v>131</v>
      </c>
      <c r="C611" s="77"/>
      <c r="D611" s="77" t="s">
        <v>648</v>
      </c>
      <c r="E611" s="129">
        <f t="shared" si="97"/>
        <v>1736233.9121119999</v>
      </c>
      <c r="F611" s="44"/>
      <c r="G611" s="44"/>
      <c r="H611" s="44"/>
      <c r="I611" s="44"/>
      <c r="J611" s="44">
        <v>1323565.7498368032</v>
      </c>
      <c r="K611" s="44"/>
      <c r="L611" s="44"/>
      <c r="M611" s="44"/>
      <c r="N611" s="44"/>
      <c r="O611" s="44"/>
      <c r="P611" s="44"/>
      <c r="Q611" s="44"/>
      <c r="R611" s="44">
        <v>383724.45999999996</v>
      </c>
      <c r="S611" s="68"/>
      <c r="T611" s="136">
        <v>28943.702275196803</v>
      </c>
      <c r="U611" s="24">
        <f t="shared" si="98"/>
        <v>1</v>
      </c>
    </row>
    <row r="612" spans="1:21" x14ac:dyDescent="0.25">
      <c r="A612" s="135">
        <f t="shared" si="99"/>
        <v>594</v>
      </c>
      <c r="B612" s="134">
        <f t="shared" si="100"/>
        <v>132</v>
      </c>
      <c r="C612" s="77" t="s">
        <v>72</v>
      </c>
      <c r="D612" s="77" t="s">
        <v>195</v>
      </c>
      <c r="E612" s="129">
        <f t="shared" si="97"/>
        <v>11659299.253600001</v>
      </c>
      <c r="F612" s="44"/>
      <c r="G612" s="44">
        <v>0</v>
      </c>
      <c r="H612" s="44">
        <v>3214445.52658614</v>
      </c>
      <c r="I612" s="44">
        <v>0</v>
      </c>
      <c r="J612" s="44">
        <v>0</v>
      </c>
      <c r="K612" s="44"/>
      <c r="L612" s="44"/>
      <c r="M612" s="44">
        <v>0</v>
      </c>
      <c r="N612" s="44">
        <v>0</v>
      </c>
      <c r="O612" s="44">
        <v>0</v>
      </c>
      <c r="P612" s="44">
        <v>8195344.7229868202</v>
      </c>
      <c r="Q612" s="44">
        <v>0</v>
      </c>
      <c r="R612" s="44"/>
      <c r="S612" s="68"/>
      <c r="T612" s="136">
        <v>249509.00402704001</v>
      </c>
      <c r="U612" s="24">
        <f t="shared" si="98"/>
        <v>2</v>
      </c>
    </row>
    <row r="613" spans="1:21" x14ac:dyDescent="0.25">
      <c r="A613" s="135">
        <f t="shared" si="99"/>
        <v>595</v>
      </c>
      <c r="B613" s="134">
        <f t="shared" si="100"/>
        <v>133</v>
      </c>
      <c r="C613" s="77" t="s">
        <v>72</v>
      </c>
      <c r="D613" s="77" t="s">
        <v>349</v>
      </c>
      <c r="E613" s="129">
        <f t="shared" si="97"/>
        <v>2721879.4471506448</v>
      </c>
      <c r="F613" s="44">
        <v>0</v>
      </c>
      <c r="G613" s="44">
        <v>2393856.5125572649</v>
      </c>
      <c r="H613" s="44">
        <v>0</v>
      </c>
      <c r="I613" s="44">
        <v>0</v>
      </c>
      <c r="J613" s="44"/>
      <c r="K613" s="44"/>
      <c r="L613" s="44"/>
      <c r="M613" s="44">
        <v>0</v>
      </c>
      <c r="N613" s="44">
        <v>0</v>
      </c>
      <c r="O613" s="44">
        <v>0</v>
      </c>
      <c r="P613" s="44">
        <v>0</v>
      </c>
      <c r="Q613" s="44">
        <v>0</v>
      </c>
      <c r="R613" s="44">
        <v>254190.70299999998</v>
      </c>
      <c r="S613" s="44">
        <v>25419.070299999999</v>
      </c>
      <c r="T613" s="136">
        <v>48413.161293379999</v>
      </c>
      <c r="U613" s="24">
        <f t="shared" si="98"/>
        <v>1</v>
      </c>
    </row>
    <row r="614" spans="1:21" x14ac:dyDescent="0.25">
      <c r="A614" s="135">
        <f t="shared" si="99"/>
        <v>596</v>
      </c>
      <c r="B614" s="134">
        <f t="shared" si="100"/>
        <v>134</v>
      </c>
      <c r="C614" s="77" t="s">
        <v>72</v>
      </c>
      <c r="D614" s="77" t="s">
        <v>350</v>
      </c>
      <c r="E614" s="129">
        <f t="shared" si="97"/>
        <v>26446557.673895352</v>
      </c>
      <c r="F614" s="44">
        <v>4525107.225966936</v>
      </c>
      <c r="G614" s="44">
        <v>2796445.9111580672</v>
      </c>
      <c r="H614" s="44">
        <v>1312542.3519563093</v>
      </c>
      <c r="I614" s="44">
        <v>1144056.1189434747</v>
      </c>
      <c r="J614" s="44"/>
      <c r="K614" s="44"/>
      <c r="L614" s="44">
        <v>433409.41392000002</v>
      </c>
      <c r="M614" s="44">
        <v>0</v>
      </c>
      <c r="N614" s="44">
        <v>13331310.272431584</v>
      </c>
      <c r="O614" s="44">
        <v>0</v>
      </c>
      <c r="P614" s="44">
        <v>0</v>
      </c>
      <c r="Q614" s="44">
        <v>0</v>
      </c>
      <c r="R614" s="44">
        <v>2193617.8228000002</v>
      </c>
      <c r="S614" s="44">
        <v>242740.96649999998</v>
      </c>
      <c r="T614" s="136">
        <v>467327.59021898004</v>
      </c>
      <c r="U614" s="24">
        <f t="shared" si="98"/>
        <v>6</v>
      </c>
    </row>
    <row r="615" spans="1:21" x14ac:dyDescent="0.25">
      <c r="A615" s="135">
        <f t="shared" si="99"/>
        <v>597</v>
      </c>
      <c r="B615" s="134">
        <f t="shared" si="100"/>
        <v>135</v>
      </c>
      <c r="C615" s="77" t="s">
        <v>72</v>
      </c>
      <c r="D615" s="77" t="s">
        <v>351</v>
      </c>
      <c r="E615" s="129">
        <f t="shared" si="97"/>
        <v>9689035.8902000003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/>
      <c r="L615" s="44"/>
      <c r="M615" s="44">
        <v>0</v>
      </c>
      <c r="N615" s="44">
        <v>0</v>
      </c>
      <c r="O615" s="44">
        <v>0</v>
      </c>
      <c r="P615" s="44">
        <v>0</v>
      </c>
      <c r="Q615" s="44">
        <v>9481690.5221497193</v>
      </c>
      <c r="R615" s="44"/>
      <c r="S615" s="68"/>
      <c r="T615" s="136">
        <v>207345.36805028003</v>
      </c>
      <c r="U615" s="24">
        <f t="shared" si="98"/>
        <v>1</v>
      </c>
    </row>
    <row r="616" spans="1:21" x14ac:dyDescent="0.25">
      <c r="A616" s="135">
        <f t="shared" si="99"/>
        <v>598</v>
      </c>
      <c r="B616" s="134">
        <f t="shared" si="100"/>
        <v>136</v>
      </c>
      <c r="C616" s="77" t="s">
        <v>72</v>
      </c>
      <c r="D616" s="77" t="s">
        <v>352</v>
      </c>
      <c r="E616" s="129">
        <f t="shared" si="97"/>
        <v>25809972.036199998</v>
      </c>
      <c r="F616" s="44"/>
      <c r="G616" s="44"/>
      <c r="H616" s="44"/>
      <c r="I616" s="44"/>
      <c r="J616" s="44"/>
      <c r="K616" s="44"/>
      <c r="L616" s="44"/>
      <c r="M616" s="44"/>
      <c r="N616" s="44"/>
      <c r="O616" s="44">
        <v>0</v>
      </c>
      <c r="P616" s="44">
        <v>25257638.634625319</v>
      </c>
      <c r="Q616" s="44"/>
      <c r="R616" s="44"/>
      <c r="S616" s="68"/>
      <c r="T616" s="136">
        <v>552333.40157468</v>
      </c>
      <c r="U616" s="24">
        <f t="shared" si="98"/>
        <v>1</v>
      </c>
    </row>
    <row r="617" spans="1:21" x14ac:dyDescent="0.25">
      <c r="A617" s="135">
        <f t="shared" si="99"/>
        <v>599</v>
      </c>
      <c r="B617" s="134">
        <f t="shared" si="100"/>
        <v>137</v>
      </c>
      <c r="C617" s="77"/>
      <c r="D617" s="77" t="s">
        <v>663</v>
      </c>
      <c r="E617" s="129">
        <f t="shared" si="97"/>
        <v>10774080</v>
      </c>
      <c r="F617" s="44"/>
      <c r="G617" s="44"/>
      <c r="H617" s="44"/>
      <c r="I617" s="44"/>
      <c r="J617" s="44"/>
      <c r="K617" s="44"/>
      <c r="L617" s="44"/>
      <c r="M617" s="44">
        <v>10384981.714635869</v>
      </c>
      <c r="N617" s="44"/>
      <c r="O617" s="44"/>
      <c r="P617" s="44"/>
      <c r="Q617" s="44"/>
      <c r="R617" s="44">
        <v>137999.768408064</v>
      </c>
      <c r="S617" s="68">
        <v>24000</v>
      </c>
      <c r="T617" s="136">
        <v>227098.51695606747</v>
      </c>
      <c r="U617" s="24">
        <f t="shared" si="98"/>
        <v>1</v>
      </c>
    </row>
    <row r="618" spans="1:21" x14ac:dyDescent="0.25">
      <c r="A618" s="135">
        <f t="shared" si="99"/>
        <v>600</v>
      </c>
      <c r="B618" s="134">
        <f t="shared" si="100"/>
        <v>138</v>
      </c>
      <c r="C618" s="77"/>
      <c r="D618" s="77" t="s">
        <v>664</v>
      </c>
      <c r="E618" s="129">
        <f t="shared" si="97"/>
        <v>14412979.637864092</v>
      </c>
      <c r="F618" s="44"/>
      <c r="G618" s="44"/>
      <c r="H618" s="44"/>
      <c r="I618" s="44"/>
      <c r="J618" s="44"/>
      <c r="K618" s="44"/>
      <c r="L618" s="44"/>
      <c r="M618" s="44">
        <v>13862649.6</v>
      </c>
      <c r="N618" s="44"/>
      <c r="O618" s="44"/>
      <c r="P618" s="44"/>
      <c r="Q618" s="44"/>
      <c r="R618" s="44">
        <v>224221.56331912189</v>
      </c>
      <c r="S618" s="68">
        <v>24000</v>
      </c>
      <c r="T618" s="136">
        <v>302108.47454497078</v>
      </c>
      <c r="U618" s="24">
        <f t="shared" si="98"/>
        <v>1</v>
      </c>
    </row>
    <row r="619" spans="1:21" x14ac:dyDescent="0.25">
      <c r="A619" s="135">
        <f t="shared" si="99"/>
        <v>601</v>
      </c>
      <c r="B619" s="134">
        <f t="shared" si="100"/>
        <v>139</v>
      </c>
      <c r="C619" s="77"/>
      <c r="D619" s="77" t="s">
        <v>353</v>
      </c>
      <c r="E619" s="129">
        <f t="shared" si="97"/>
        <v>50111322.820000008</v>
      </c>
      <c r="F619" s="44">
        <v>7207971.2584861796</v>
      </c>
      <c r="G619" s="44">
        <v>4168566.8282411997</v>
      </c>
      <c r="H619" s="44">
        <v>4406483.7908326201</v>
      </c>
      <c r="I619" s="44">
        <v>3359981.3480309998</v>
      </c>
      <c r="J619" s="44">
        <v>1342243.77142212</v>
      </c>
      <c r="K619" s="44"/>
      <c r="L619" s="44">
        <v>358162.19323499996</v>
      </c>
      <c r="M619" s="44">
        <v>0</v>
      </c>
      <c r="N619" s="44">
        <v>12831286.273936201</v>
      </c>
      <c r="O619" s="44">
        <v>0</v>
      </c>
      <c r="P619" s="44"/>
      <c r="Q619" s="44">
        <v>9797576.0184224993</v>
      </c>
      <c r="R619" s="44">
        <v>5187287.5781000005</v>
      </c>
      <c r="S619" s="68">
        <v>501113.22820000001</v>
      </c>
      <c r="T619" s="136">
        <v>950650.53109317983</v>
      </c>
      <c r="U619" s="24">
        <f t="shared" si="98"/>
        <v>8</v>
      </c>
    </row>
    <row r="620" spans="1:21" x14ac:dyDescent="0.25">
      <c r="A620" s="135">
        <f t="shared" si="99"/>
        <v>602</v>
      </c>
      <c r="B620" s="134">
        <f t="shared" si="100"/>
        <v>140</v>
      </c>
      <c r="C620" s="77" t="s">
        <v>72</v>
      </c>
      <c r="D620" s="77" t="s">
        <v>357</v>
      </c>
      <c r="E620" s="129">
        <f t="shared" si="97"/>
        <v>4386293.6030662553</v>
      </c>
      <c r="F620" s="44">
        <v>3936147.9321097154</v>
      </c>
      <c r="G620" s="44">
        <v>0</v>
      </c>
      <c r="H620" s="44">
        <v>0</v>
      </c>
      <c r="I620" s="44">
        <v>0</v>
      </c>
      <c r="J620" s="44"/>
      <c r="K620" s="44"/>
      <c r="L620" s="44"/>
      <c r="M620" s="44">
        <v>0</v>
      </c>
      <c r="N620" s="44">
        <v>0</v>
      </c>
      <c r="O620" s="44">
        <v>0</v>
      </c>
      <c r="P620" s="44">
        <v>0</v>
      </c>
      <c r="Q620" s="44">
        <v>0</v>
      </c>
      <c r="R620" s="44">
        <v>328951.6568</v>
      </c>
      <c r="S620" s="44">
        <v>41118.9571</v>
      </c>
      <c r="T620" s="136">
        <v>80075.057056539998</v>
      </c>
      <c r="U620" s="24">
        <f t="shared" si="98"/>
        <v>1</v>
      </c>
    </row>
    <row r="621" spans="1:21" x14ac:dyDescent="0.25">
      <c r="A621" s="135">
        <f t="shared" si="99"/>
        <v>603</v>
      </c>
      <c r="B621" s="134">
        <f t="shared" si="100"/>
        <v>141</v>
      </c>
      <c r="C621" s="77" t="s">
        <v>72</v>
      </c>
      <c r="D621" s="77" t="s">
        <v>358</v>
      </c>
      <c r="E621" s="129">
        <f t="shared" si="97"/>
        <v>4325520.6152716996</v>
      </c>
      <c r="F621" s="44">
        <v>3881391.7568713003</v>
      </c>
      <c r="G621" s="44">
        <v>0</v>
      </c>
      <c r="H621" s="44">
        <v>0</v>
      </c>
      <c r="I621" s="44">
        <v>0</v>
      </c>
      <c r="J621" s="44"/>
      <c r="K621" s="44"/>
      <c r="L621" s="44"/>
      <c r="M621" s="44">
        <v>0</v>
      </c>
      <c r="N621" s="44">
        <v>0</v>
      </c>
      <c r="O621" s="44">
        <v>0</v>
      </c>
      <c r="P621" s="44">
        <v>0</v>
      </c>
      <c r="Q621" s="44">
        <v>0</v>
      </c>
      <c r="R621" s="44">
        <v>324554.76800000004</v>
      </c>
      <c r="S621" s="44">
        <v>40569.346000000005</v>
      </c>
      <c r="T621" s="136">
        <v>79004.744400400014</v>
      </c>
      <c r="U621" s="24">
        <f t="shared" si="98"/>
        <v>1</v>
      </c>
    </row>
    <row r="622" spans="1:21" x14ac:dyDescent="0.25">
      <c r="A622" s="135">
        <f t="shared" si="99"/>
        <v>604</v>
      </c>
      <c r="B622" s="134">
        <f t="shared" si="100"/>
        <v>142</v>
      </c>
      <c r="C622" s="77" t="s">
        <v>72</v>
      </c>
      <c r="D622" s="77" t="s">
        <v>475</v>
      </c>
      <c r="E622" s="129">
        <f t="shared" si="97"/>
        <v>38805142.746190399</v>
      </c>
      <c r="F622" s="44">
        <v>5849711.7173237624</v>
      </c>
      <c r="G622" s="44">
        <v>2084483.7093000133</v>
      </c>
      <c r="H622" s="44">
        <v>2177830.1779701547</v>
      </c>
      <c r="I622" s="44">
        <v>1363466.8505143321</v>
      </c>
      <c r="J622" s="44"/>
      <c r="K622" s="44"/>
      <c r="L622" s="44">
        <v>224457.78122599761</v>
      </c>
      <c r="M622" s="44">
        <v>0</v>
      </c>
      <c r="N622" s="44">
        <v>10694143.905129086</v>
      </c>
      <c r="O622" s="44">
        <v>0</v>
      </c>
      <c r="P622" s="44">
        <v>5552452.1344507812</v>
      </c>
      <c r="Q622" s="44">
        <v>5988963.4812416844</v>
      </c>
      <c r="R622" s="44">
        <v>3718496.5709544048</v>
      </c>
      <c r="S622" s="68">
        <v>411105.06146944402</v>
      </c>
      <c r="T622" s="136">
        <v>740031.35661073995</v>
      </c>
      <c r="U622" s="24">
        <f t="shared" si="98"/>
        <v>8</v>
      </c>
    </row>
    <row r="623" spans="1:21" x14ac:dyDescent="0.25">
      <c r="A623" s="135">
        <f t="shared" si="99"/>
        <v>605</v>
      </c>
      <c r="B623" s="134">
        <f t="shared" si="100"/>
        <v>143</v>
      </c>
      <c r="C623" s="77" t="s">
        <v>72</v>
      </c>
      <c r="D623" s="77" t="s">
        <v>360</v>
      </c>
      <c r="E623" s="129">
        <f t="shared" si="97"/>
        <v>6411133.2599999998</v>
      </c>
      <c r="F623" s="44">
        <v>5709280.8574947594</v>
      </c>
      <c r="G623" s="44">
        <v>0</v>
      </c>
      <c r="H623" s="44">
        <v>0</v>
      </c>
      <c r="I623" s="44">
        <v>0</v>
      </c>
      <c r="J623" s="44"/>
      <c r="K623" s="44"/>
      <c r="L623" s="44"/>
      <c r="M623" s="44">
        <v>0</v>
      </c>
      <c r="N623" s="44">
        <v>0</v>
      </c>
      <c r="O623" s="44">
        <v>0</v>
      </c>
      <c r="P623" s="44">
        <v>0</v>
      </c>
      <c r="Q623" s="44">
        <v>0</v>
      </c>
      <c r="R623" s="44">
        <v>512890.66080000001</v>
      </c>
      <c r="S623" s="68">
        <v>64111.332600000002</v>
      </c>
      <c r="T623" s="136">
        <v>124850.40910523999</v>
      </c>
      <c r="U623" s="24">
        <f t="shared" si="98"/>
        <v>1</v>
      </c>
    </row>
    <row r="624" spans="1:21" x14ac:dyDescent="0.25">
      <c r="A624" s="135">
        <f t="shared" si="99"/>
        <v>606</v>
      </c>
      <c r="B624" s="134">
        <f t="shared" si="100"/>
        <v>144</v>
      </c>
      <c r="C624" s="77" t="s">
        <v>72</v>
      </c>
      <c r="D624" s="77" t="s">
        <v>361</v>
      </c>
      <c r="E624" s="129">
        <f t="shared" si="97"/>
        <v>19780526.76326644</v>
      </c>
      <c r="F624" s="44">
        <v>3280088.99</v>
      </c>
      <c r="G624" s="44">
        <v>1167152.8400000001</v>
      </c>
      <c r="H624" s="44">
        <v>1247962.1000000001</v>
      </c>
      <c r="I624" s="44">
        <v>783013.39</v>
      </c>
      <c r="J624" s="44"/>
      <c r="K624" s="44"/>
      <c r="L624" s="44">
        <v>117081.436122</v>
      </c>
      <c r="M624" s="44">
        <v>0</v>
      </c>
      <c r="N624" s="44">
        <v>6081223.3600000003</v>
      </c>
      <c r="O624" s="44">
        <v>0</v>
      </c>
      <c r="P624" s="44">
        <v>3161067.71</v>
      </c>
      <c r="Q624" s="44">
        <v>3389504.91</v>
      </c>
      <c r="R624" s="44">
        <v>390060.34770000004</v>
      </c>
      <c r="S624" s="44">
        <v>37971.527699999999</v>
      </c>
      <c r="T624" s="136">
        <v>125400.15174444001</v>
      </c>
      <c r="U624" s="24">
        <f t="shared" si="98"/>
        <v>8</v>
      </c>
    </row>
    <row r="625" spans="1:21" x14ac:dyDescent="0.25">
      <c r="A625" s="135">
        <f t="shared" si="99"/>
        <v>607</v>
      </c>
      <c r="B625" s="134">
        <f t="shared" si="100"/>
        <v>145</v>
      </c>
      <c r="C625" s="77" t="s">
        <v>72</v>
      </c>
      <c r="D625" s="77" t="s">
        <v>199</v>
      </c>
      <c r="E625" s="129">
        <f t="shared" si="97"/>
        <v>8007344.662175999</v>
      </c>
      <c r="F625" s="44">
        <v>0</v>
      </c>
      <c r="G625" s="44">
        <v>0</v>
      </c>
      <c r="H625" s="44">
        <v>0</v>
      </c>
      <c r="I625" s="44">
        <v>0</v>
      </c>
      <c r="J625" s="44"/>
      <c r="K625" s="44"/>
      <c r="L625" s="44"/>
      <c r="M625" s="44">
        <v>0</v>
      </c>
      <c r="N625" s="44">
        <v>0</v>
      </c>
      <c r="O625" s="44">
        <v>0</v>
      </c>
      <c r="P625" s="44">
        <v>0</v>
      </c>
      <c r="Q625" s="44">
        <v>7829891.4404087989</v>
      </c>
      <c r="R625" s="44"/>
      <c r="S625" s="68"/>
      <c r="T625" s="136">
        <v>177453.22176719998</v>
      </c>
      <c r="U625" s="24">
        <f t="shared" si="98"/>
        <v>1</v>
      </c>
    </row>
    <row r="626" spans="1:21" x14ac:dyDescent="0.25">
      <c r="A626" s="135">
        <f t="shared" si="99"/>
        <v>608</v>
      </c>
      <c r="B626" s="134">
        <f t="shared" si="100"/>
        <v>146</v>
      </c>
      <c r="C626" s="77" t="s">
        <v>72</v>
      </c>
      <c r="D626" s="77" t="s">
        <v>365</v>
      </c>
      <c r="E626" s="129">
        <f t="shared" si="97"/>
        <v>5881515.5899999999</v>
      </c>
      <c r="F626" s="44">
        <v>0</v>
      </c>
      <c r="G626" s="44">
        <v>0</v>
      </c>
      <c r="H626" s="44">
        <v>0</v>
      </c>
      <c r="I626" s="44">
        <v>0</v>
      </c>
      <c r="J626" s="44">
        <v>0</v>
      </c>
      <c r="K626" s="44"/>
      <c r="L626" s="44"/>
      <c r="M626" s="44">
        <v>0</v>
      </c>
      <c r="N626" s="44">
        <v>0</v>
      </c>
      <c r="O626" s="44">
        <v>0</v>
      </c>
      <c r="P626" s="44">
        <v>5547799.158590666</v>
      </c>
      <c r="Q626" s="44">
        <v>0</v>
      </c>
      <c r="R626" s="44">
        <v>176500.30000340639</v>
      </c>
      <c r="S626" s="44">
        <v>35897</v>
      </c>
      <c r="T626" s="136">
        <v>121319.13140592711</v>
      </c>
      <c r="U626" s="24">
        <f t="shared" si="98"/>
        <v>1</v>
      </c>
    </row>
    <row r="627" spans="1:21" x14ac:dyDescent="0.25">
      <c r="A627" s="135">
        <f t="shared" si="99"/>
        <v>609</v>
      </c>
      <c r="B627" s="134">
        <f t="shared" si="100"/>
        <v>147</v>
      </c>
      <c r="C627" s="77" t="s">
        <v>72</v>
      </c>
      <c r="D627" s="77" t="s">
        <v>366</v>
      </c>
      <c r="E627" s="129">
        <f t="shared" si="97"/>
        <v>37045747.3191</v>
      </c>
      <c r="F627" s="44"/>
      <c r="G627" s="44"/>
      <c r="H627" s="44"/>
      <c r="I627" s="44"/>
      <c r="J627" s="44"/>
      <c r="K627" s="44"/>
      <c r="L627" s="44"/>
      <c r="M627" s="44"/>
      <c r="N627" s="44"/>
      <c r="O627" s="44">
        <v>0</v>
      </c>
      <c r="P627" s="44">
        <v>36252968.326471262</v>
      </c>
      <c r="Q627" s="44"/>
      <c r="R627" s="44"/>
      <c r="S627" s="68"/>
      <c r="T627" s="136">
        <v>792778.99262874003</v>
      </c>
      <c r="U627" s="24">
        <f t="shared" si="98"/>
        <v>1</v>
      </c>
    </row>
    <row r="628" spans="1:21" x14ac:dyDescent="0.25">
      <c r="A628" s="135">
        <f t="shared" si="99"/>
        <v>610</v>
      </c>
      <c r="B628" s="134">
        <f t="shared" si="100"/>
        <v>148</v>
      </c>
      <c r="C628" s="77" t="s">
        <v>72</v>
      </c>
      <c r="D628" s="77" t="s">
        <v>205</v>
      </c>
      <c r="E628" s="129">
        <f t="shared" si="97"/>
        <v>1573497.0647</v>
      </c>
      <c r="F628" s="44">
        <v>0</v>
      </c>
      <c r="G628" s="44">
        <v>0</v>
      </c>
      <c r="H628" s="44">
        <v>1539824.2275154199</v>
      </c>
      <c r="I628" s="44">
        <v>0</v>
      </c>
      <c r="J628" s="44">
        <v>0</v>
      </c>
      <c r="K628" s="44"/>
      <c r="L628" s="44"/>
      <c r="M628" s="44">
        <v>0</v>
      </c>
      <c r="N628" s="44">
        <v>0</v>
      </c>
      <c r="O628" s="44">
        <v>0</v>
      </c>
      <c r="P628" s="44"/>
      <c r="Q628" s="44">
        <v>0</v>
      </c>
      <c r="R628" s="44"/>
      <c r="S628" s="68"/>
      <c r="T628" s="136">
        <v>33672.837184579999</v>
      </c>
      <c r="U628" s="24">
        <f t="shared" si="98"/>
        <v>1</v>
      </c>
    </row>
    <row r="629" spans="1:21" x14ac:dyDescent="0.25">
      <c r="A629" s="135">
        <f t="shared" si="99"/>
        <v>611</v>
      </c>
      <c r="B629" s="134">
        <f t="shared" si="100"/>
        <v>149</v>
      </c>
      <c r="C629" s="77" t="s">
        <v>72</v>
      </c>
      <c r="D629" s="77" t="s">
        <v>369</v>
      </c>
      <c r="E629" s="129">
        <f t="shared" si="97"/>
        <v>1136857.68</v>
      </c>
      <c r="F629" s="44">
        <v>0</v>
      </c>
      <c r="G629" s="44">
        <v>0</v>
      </c>
      <c r="H629" s="44">
        <v>0</v>
      </c>
      <c r="I629" s="44">
        <v>0</v>
      </c>
      <c r="J629" s="44">
        <v>974016.82475999987</v>
      </c>
      <c r="K629" s="44"/>
      <c r="L629" s="44"/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113216.27</v>
      </c>
      <c r="S629" s="44">
        <v>28324.81</v>
      </c>
      <c r="T629" s="136">
        <v>21299.775239999999</v>
      </c>
      <c r="U629" s="24">
        <f t="shared" si="98"/>
        <v>1</v>
      </c>
    </row>
    <row r="630" spans="1:21" x14ac:dyDescent="0.25">
      <c r="A630" s="135">
        <f t="shared" si="99"/>
        <v>612</v>
      </c>
      <c r="B630" s="134">
        <f t="shared" si="100"/>
        <v>150</v>
      </c>
      <c r="C630" s="77" t="s">
        <v>72</v>
      </c>
      <c r="D630" s="77" t="s">
        <v>370</v>
      </c>
      <c r="E630" s="129">
        <f t="shared" si="97"/>
        <v>2536945.4940698305</v>
      </c>
      <c r="F630" s="44">
        <v>0</v>
      </c>
      <c r="G630" s="44">
        <v>2230881.5159207908</v>
      </c>
      <c r="H630" s="44">
        <v>0</v>
      </c>
      <c r="I630" s="44">
        <v>0</v>
      </c>
      <c r="J630" s="44"/>
      <c r="K630" s="44"/>
      <c r="L630" s="44"/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237174.32400000002</v>
      </c>
      <c r="S630" s="44">
        <v>23717.432400000002</v>
      </c>
      <c r="T630" s="136">
        <v>45172.221749040007</v>
      </c>
      <c r="U630" s="24">
        <f t="shared" si="98"/>
        <v>1</v>
      </c>
    </row>
    <row r="631" spans="1:21" x14ac:dyDescent="0.25">
      <c r="A631" s="135">
        <f t="shared" si="99"/>
        <v>613</v>
      </c>
      <c r="B631" s="134">
        <f t="shared" si="100"/>
        <v>151</v>
      </c>
      <c r="C631" s="77" t="s">
        <v>72</v>
      </c>
      <c r="D631" s="77" t="s">
        <v>207</v>
      </c>
      <c r="E631" s="129">
        <f t="shared" si="97"/>
        <v>2783871.0411000005</v>
      </c>
      <c r="F631" s="44">
        <v>0</v>
      </c>
      <c r="G631" s="44">
        <v>0</v>
      </c>
      <c r="H631" s="44">
        <v>2724296.2008204604</v>
      </c>
      <c r="I631" s="44">
        <v>0</v>
      </c>
      <c r="J631" s="44"/>
      <c r="K631" s="44"/>
      <c r="L631" s="44"/>
      <c r="M631" s="44"/>
      <c r="N631" s="44"/>
      <c r="O631" s="44"/>
      <c r="P631" s="44"/>
      <c r="Q631" s="44">
        <v>0</v>
      </c>
      <c r="R631" s="44"/>
      <c r="S631" s="68"/>
      <c r="T631" s="136">
        <v>59574.840279540011</v>
      </c>
      <c r="U631" s="24">
        <f t="shared" si="98"/>
        <v>1</v>
      </c>
    </row>
    <row r="632" spans="1:21" x14ac:dyDescent="0.25">
      <c r="A632" s="135">
        <f t="shared" si="99"/>
        <v>614</v>
      </c>
      <c r="B632" s="134">
        <f t="shared" si="100"/>
        <v>152</v>
      </c>
      <c r="C632" s="77"/>
      <c r="D632" s="77" t="s">
        <v>665</v>
      </c>
      <c r="E632" s="129">
        <f t="shared" si="97"/>
        <v>1970236.371824</v>
      </c>
      <c r="F632" s="44"/>
      <c r="G632" s="44"/>
      <c r="H632" s="44"/>
      <c r="I632" s="44"/>
      <c r="J632" s="44">
        <v>1671863.4150329665</v>
      </c>
      <c r="K632" s="44"/>
      <c r="L632" s="44"/>
      <c r="M632" s="44"/>
      <c r="N632" s="44"/>
      <c r="O632" s="44"/>
      <c r="P632" s="44"/>
      <c r="Q632" s="44"/>
      <c r="R632" s="44">
        <v>261812.69</v>
      </c>
      <c r="S632" s="68"/>
      <c r="T632" s="136">
        <v>36560.266791033602</v>
      </c>
      <c r="U632" s="24">
        <f t="shared" si="98"/>
        <v>1</v>
      </c>
    </row>
    <row r="633" spans="1:21" x14ac:dyDescent="0.25">
      <c r="A633" s="135">
        <f t="shared" si="99"/>
        <v>615</v>
      </c>
      <c r="B633" s="134">
        <f t="shared" si="100"/>
        <v>153</v>
      </c>
      <c r="C633" s="77"/>
      <c r="D633" s="77" t="s">
        <v>666</v>
      </c>
      <c r="E633" s="129">
        <f t="shared" si="97"/>
        <v>7182720</v>
      </c>
      <c r="F633" s="44"/>
      <c r="G633" s="44"/>
      <c r="H633" s="44"/>
      <c r="I633" s="44"/>
      <c r="J633" s="44"/>
      <c r="K633" s="44"/>
      <c r="L633" s="44"/>
      <c r="M633" s="44">
        <v>6868490.3575085625</v>
      </c>
      <c r="N633" s="44"/>
      <c r="O633" s="44"/>
      <c r="P633" s="44"/>
      <c r="Q633" s="44"/>
      <c r="R633" s="44">
        <v>140029.66941696001</v>
      </c>
      <c r="S633" s="68">
        <v>24000</v>
      </c>
      <c r="T633" s="136">
        <v>150199.97307447705</v>
      </c>
      <c r="U633" s="24">
        <f t="shared" si="98"/>
        <v>1</v>
      </c>
    </row>
    <row r="634" spans="1:21" x14ac:dyDescent="0.25">
      <c r="A634" s="135">
        <f t="shared" si="99"/>
        <v>616</v>
      </c>
      <c r="B634" s="134">
        <f t="shared" si="100"/>
        <v>154</v>
      </c>
      <c r="C634" s="77" t="s">
        <v>72</v>
      </c>
      <c r="D634" s="77" t="s">
        <v>209</v>
      </c>
      <c r="E634" s="129">
        <f t="shared" si="97"/>
        <v>9199974.4340940006</v>
      </c>
      <c r="F634" s="44">
        <v>0</v>
      </c>
      <c r="G634" s="44"/>
      <c r="H634" s="44">
        <v>2399769.9437850602</v>
      </c>
      <c r="I634" s="44">
        <v>0</v>
      </c>
      <c r="J634" s="44"/>
      <c r="K634" s="44"/>
      <c r="L634" s="44"/>
      <c r="M634" s="44"/>
      <c r="N634" s="44"/>
      <c r="O634" s="44"/>
      <c r="P634" s="44"/>
      <c r="Q634" s="44">
        <v>6599302.6705422606</v>
      </c>
      <c r="R634" s="44"/>
      <c r="S634" s="68"/>
      <c r="T634" s="136">
        <v>200901.81976668001</v>
      </c>
      <c r="U634" s="24">
        <f t="shared" si="98"/>
        <v>2</v>
      </c>
    </row>
    <row r="635" spans="1:21" x14ac:dyDescent="0.25">
      <c r="A635" s="135">
        <f t="shared" si="99"/>
        <v>617</v>
      </c>
      <c r="B635" s="134">
        <f t="shared" si="100"/>
        <v>155</v>
      </c>
      <c r="C635" s="77"/>
      <c r="D635" s="77" t="s">
        <v>667</v>
      </c>
      <c r="E635" s="129">
        <f t="shared" si="97"/>
        <v>24802068.950186882</v>
      </c>
      <c r="F635" s="44">
        <v>5544687.313339171</v>
      </c>
      <c r="G635" s="44">
        <v>1930791.9211917371</v>
      </c>
      <c r="H635" s="44">
        <v>2111313.0814775922</v>
      </c>
      <c r="I635" s="44">
        <v>1270475.5430157371</v>
      </c>
      <c r="J635" s="44">
        <v>907758.96658269316</v>
      </c>
      <c r="K635" s="44"/>
      <c r="L635" s="44">
        <v>204311.91246288078</v>
      </c>
      <c r="M635" s="44"/>
      <c r="N635" s="44"/>
      <c r="O635" s="44"/>
      <c r="P635" s="44">
        <v>5286205.5917699561</v>
      </c>
      <c r="Q635" s="44">
        <v>5808491.8929864354</v>
      </c>
      <c r="R635" s="44">
        <v>1188992.0979114345</v>
      </c>
      <c r="S635" s="68">
        <v>44676.8698248</v>
      </c>
      <c r="T635" s="136">
        <v>504363.75962444372</v>
      </c>
      <c r="U635" s="24">
        <f t="shared" si="98"/>
        <v>8</v>
      </c>
    </row>
    <row r="636" spans="1:21" x14ac:dyDescent="0.25">
      <c r="A636" s="135">
        <f t="shared" si="99"/>
        <v>618</v>
      </c>
      <c r="B636" s="134">
        <f t="shared" si="100"/>
        <v>156</v>
      </c>
      <c r="C636" s="77"/>
      <c r="D636" s="77" t="s">
        <v>668</v>
      </c>
      <c r="E636" s="129">
        <f t="shared" si="97"/>
        <v>74923651.909586757</v>
      </c>
      <c r="F636" s="44">
        <v>11822138.915253168</v>
      </c>
      <c r="G636" s="44">
        <v>4192746.7065505343</v>
      </c>
      <c r="H636" s="44">
        <v>4497893.3018872356</v>
      </c>
      <c r="I636" s="44">
        <v>2796018.8655805346</v>
      </c>
      <c r="J636" s="44">
        <v>2055716.9420669565</v>
      </c>
      <c r="K636" s="44"/>
      <c r="L636" s="44">
        <v>429590.66187959554</v>
      </c>
      <c r="M636" s="44"/>
      <c r="N636" s="44">
        <v>21981498.489577852</v>
      </c>
      <c r="O636" s="44"/>
      <c r="P636" s="44">
        <v>11331624.506706703</v>
      </c>
      <c r="Q636" s="44">
        <v>12368954.783286048</v>
      </c>
      <c r="R636" s="44">
        <v>1836823.8115989452</v>
      </c>
      <c r="S636" s="68">
        <v>47605.562949359999</v>
      </c>
      <c r="T636" s="136">
        <v>1563039.3622498228</v>
      </c>
      <c r="U636" s="24">
        <f t="shared" si="98"/>
        <v>9</v>
      </c>
    </row>
    <row r="637" spans="1:21" x14ac:dyDescent="0.25">
      <c r="A637" s="135">
        <f t="shared" si="99"/>
        <v>619</v>
      </c>
      <c r="B637" s="134">
        <f t="shared" si="100"/>
        <v>157</v>
      </c>
      <c r="C637" s="77" t="s">
        <v>72</v>
      </c>
      <c r="D637" s="77" t="s">
        <v>478</v>
      </c>
      <c r="E637" s="129">
        <f t="shared" si="97"/>
        <v>28692544.751838498</v>
      </c>
      <c r="F637" s="44"/>
      <c r="G637" s="44"/>
      <c r="H637" s="44"/>
      <c r="I637" s="44"/>
      <c r="J637" s="44"/>
      <c r="K637" s="44"/>
      <c r="L637" s="44"/>
      <c r="M637" s="44"/>
      <c r="N637" s="44">
        <v>12083403.596964777</v>
      </c>
      <c r="O637" s="44">
        <v>0</v>
      </c>
      <c r="P637" s="44">
        <v>6273762.6020927802</v>
      </c>
      <c r="Q637" s="44">
        <v>6766980.4627014613</v>
      </c>
      <c r="R637" s="44">
        <v>2732058.4400660531</v>
      </c>
      <c r="S637" s="68">
        <v>286925.44751838496</v>
      </c>
      <c r="T637" s="136">
        <v>549414.20249503676</v>
      </c>
      <c r="U637" s="24">
        <f t="shared" si="98"/>
        <v>3</v>
      </c>
    </row>
    <row r="638" spans="1:21" x14ac:dyDescent="0.25">
      <c r="A638" s="135">
        <f t="shared" si="99"/>
        <v>620</v>
      </c>
      <c r="B638" s="134">
        <f t="shared" si="100"/>
        <v>158</v>
      </c>
      <c r="C638" s="77"/>
      <c r="D638" s="77" t="s">
        <v>669</v>
      </c>
      <c r="E638" s="129">
        <f t="shared" si="97"/>
        <v>2039953.34</v>
      </c>
      <c r="F638" s="44"/>
      <c r="G638" s="44"/>
      <c r="H638" s="44"/>
      <c r="I638" s="44"/>
      <c r="J638" s="44">
        <v>1732566.2449115328</v>
      </c>
      <c r="K638" s="44"/>
      <c r="L638" s="44"/>
      <c r="M638" s="44"/>
      <c r="N638" s="44"/>
      <c r="O638" s="44"/>
      <c r="P638" s="44"/>
      <c r="Q638" s="44"/>
      <c r="R638" s="44">
        <v>245499.38035199995</v>
      </c>
      <c r="S638" s="68">
        <v>24000</v>
      </c>
      <c r="T638" s="136">
        <v>37887.714736467206</v>
      </c>
      <c r="U638" s="24">
        <f t="shared" si="98"/>
        <v>1</v>
      </c>
    </row>
    <row r="639" spans="1:21" x14ac:dyDescent="0.25">
      <c r="A639" s="135">
        <f t="shared" si="99"/>
        <v>621</v>
      </c>
      <c r="B639" s="134">
        <f t="shared" si="100"/>
        <v>159</v>
      </c>
      <c r="C639" s="77"/>
      <c r="D639" s="77" t="s">
        <v>670</v>
      </c>
      <c r="E639" s="129">
        <f t="shared" si="97"/>
        <v>33755644.016001284</v>
      </c>
      <c r="F639" s="44">
        <v>6215154.0490028635</v>
      </c>
      <c r="G639" s="44">
        <v>2143637.4761874913</v>
      </c>
      <c r="H639" s="44">
        <v>2373820.8287424021</v>
      </c>
      <c r="I639" s="44">
        <v>1401136.3128114911</v>
      </c>
      <c r="J639" s="44">
        <v>986806.02311840642</v>
      </c>
      <c r="K639" s="44"/>
      <c r="L639" s="44">
        <v>230299.60996685261</v>
      </c>
      <c r="M639" s="44"/>
      <c r="N639" s="44">
        <v>11655792.165892318</v>
      </c>
      <c r="O639" s="44"/>
      <c r="P639" s="44"/>
      <c r="Q639" s="44">
        <v>6517670.0745251151</v>
      </c>
      <c r="R639" s="44">
        <v>1498477.79318372</v>
      </c>
      <c r="S639" s="68">
        <v>43476.727368</v>
      </c>
      <c r="T639" s="136">
        <v>689372.95520262048</v>
      </c>
      <c r="U639" s="24">
        <f t="shared" si="98"/>
        <v>8</v>
      </c>
    </row>
    <row r="640" spans="1:21" x14ac:dyDescent="0.25">
      <c r="A640" s="135">
        <f t="shared" si="99"/>
        <v>622</v>
      </c>
      <c r="B640" s="134">
        <f t="shared" si="100"/>
        <v>160</v>
      </c>
      <c r="C640" s="77"/>
      <c r="D640" s="77" t="s">
        <v>671</v>
      </c>
      <c r="E640" s="129">
        <f t="shared" si="97"/>
        <v>58958023.002210207</v>
      </c>
      <c r="F640" s="44">
        <v>6142121.8651877278</v>
      </c>
      <c r="G640" s="44">
        <v>3578025.9848233829</v>
      </c>
      <c r="H640" s="44"/>
      <c r="I640" s="44">
        <v>2974577.8532713829</v>
      </c>
      <c r="J640" s="44">
        <v>1375191.617017613</v>
      </c>
      <c r="K640" s="44"/>
      <c r="L640" s="44">
        <v>292554.20428490959</v>
      </c>
      <c r="M640" s="44"/>
      <c r="N640" s="44">
        <v>11168994.283332974</v>
      </c>
      <c r="O640" s="44"/>
      <c r="P640" s="44">
        <v>22105655.477428261</v>
      </c>
      <c r="Q640" s="44">
        <v>8603954.118300084</v>
      </c>
      <c r="R640" s="44">
        <v>1441429.1382704319</v>
      </c>
      <c r="S640" s="68">
        <v>45640.048646160001</v>
      </c>
      <c r="T640" s="136">
        <v>1229878.4116472832</v>
      </c>
      <c r="U640" s="24">
        <f t="shared" si="98"/>
        <v>8</v>
      </c>
    </row>
    <row r="641" spans="1:21" x14ac:dyDescent="0.25">
      <c r="A641" s="135">
        <f t="shared" si="99"/>
        <v>623</v>
      </c>
      <c r="B641" s="134">
        <f t="shared" si="100"/>
        <v>161</v>
      </c>
      <c r="C641" s="77"/>
      <c r="D641" s="77" t="s">
        <v>739</v>
      </c>
      <c r="E641" s="129">
        <f t="shared" si="97"/>
        <v>8914451.7878207974</v>
      </c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>
        <v>7764077.4424096756</v>
      </c>
      <c r="R641" s="44">
        <v>891445.17878207995</v>
      </c>
      <c r="S641" s="68">
        <v>89144.517878207989</v>
      </c>
      <c r="T641" s="136">
        <v>169784.64875083495</v>
      </c>
      <c r="U641" s="24">
        <f t="shared" si="98"/>
        <v>1</v>
      </c>
    </row>
    <row r="642" spans="1:21" x14ac:dyDescent="0.25">
      <c r="A642" s="135">
        <f t="shared" si="99"/>
        <v>624</v>
      </c>
      <c r="B642" s="134">
        <f t="shared" si="100"/>
        <v>162</v>
      </c>
      <c r="C642" s="77" t="s">
        <v>72</v>
      </c>
      <c r="D642" s="77" t="s">
        <v>84</v>
      </c>
      <c r="E642" s="129">
        <f t="shared" si="97"/>
        <v>2304169.0619060001</v>
      </c>
      <c r="F642" s="44"/>
      <c r="G642" s="44">
        <v>0</v>
      </c>
      <c r="H642" s="44">
        <v>2244217.7771235602</v>
      </c>
      <c r="I642" s="44">
        <v>0</v>
      </c>
      <c r="J642" s="44"/>
      <c r="K642" s="44"/>
      <c r="L642" s="44"/>
      <c r="M642" s="44"/>
      <c r="N642" s="44"/>
      <c r="O642" s="44"/>
      <c r="P642" s="44"/>
      <c r="Q642" s="44">
        <v>0</v>
      </c>
      <c r="R642" s="44"/>
      <c r="S642" s="68"/>
      <c r="T642" s="136">
        <v>59951.284782440009</v>
      </c>
      <c r="U642" s="24">
        <f t="shared" si="98"/>
        <v>1</v>
      </c>
    </row>
    <row r="643" spans="1:21" x14ac:dyDescent="0.25">
      <c r="A643" s="135">
        <f t="shared" si="99"/>
        <v>625</v>
      </c>
      <c r="B643" s="134">
        <f t="shared" si="100"/>
        <v>163</v>
      </c>
      <c r="C643" s="77" t="s">
        <v>72</v>
      </c>
      <c r="D643" s="77" t="s">
        <v>616</v>
      </c>
      <c r="E643" s="129">
        <f t="shared" si="97"/>
        <v>80216609.443918288</v>
      </c>
      <c r="F643" s="44">
        <v>8299975.9537642226</v>
      </c>
      <c r="G643" s="44">
        <v>4800122.6970841354</v>
      </c>
      <c r="H643" s="44">
        <v>0</v>
      </c>
      <c r="I643" s="44">
        <v>0</v>
      </c>
      <c r="J643" s="44">
        <v>1545604.2900846084</v>
      </c>
      <c r="K643" s="44"/>
      <c r="L643" s="44">
        <v>412435.57775988925</v>
      </c>
      <c r="M643" s="44">
        <v>0</v>
      </c>
      <c r="N643" s="44">
        <v>14775207.726083936</v>
      </c>
      <c r="O643" s="44">
        <v>0</v>
      </c>
      <c r="P643" s="44">
        <v>28686193.672410153</v>
      </c>
      <c r="Q643" s="44">
        <v>11281898.466324883</v>
      </c>
      <c r="R643" s="44">
        <v>8086588.8803274343</v>
      </c>
      <c r="S643" s="68">
        <v>802166.0944391829</v>
      </c>
      <c r="T643" s="136">
        <v>1526416.085639846</v>
      </c>
      <c r="U643" s="24">
        <f t="shared" si="98"/>
        <v>7</v>
      </c>
    </row>
    <row r="644" spans="1:21" x14ac:dyDescent="0.25">
      <c r="A644" s="135">
        <f t="shared" si="99"/>
        <v>626</v>
      </c>
      <c r="B644" s="134">
        <f t="shared" si="100"/>
        <v>164</v>
      </c>
      <c r="C644" s="77"/>
      <c r="D644" s="77" t="s">
        <v>641</v>
      </c>
      <c r="E644" s="129">
        <f t="shared" si="97"/>
        <v>18114073.308878101</v>
      </c>
      <c r="F644" s="44">
        <v>8730630.6099999994</v>
      </c>
      <c r="G644" s="44">
        <v>3308761.06</v>
      </c>
      <c r="H644" s="44"/>
      <c r="I644" s="44">
        <v>4393629.08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151">
        <v>1681052.5588781</v>
      </c>
      <c r="U644" s="24">
        <f t="shared" si="98"/>
        <v>3</v>
      </c>
    </row>
    <row r="645" spans="1:21" x14ac:dyDescent="0.25">
      <c r="A645" s="135">
        <f t="shared" si="99"/>
        <v>627</v>
      </c>
      <c r="B645" s="134">
        <f t="shared" si="100"/>
        <v>165</v>
      </c>
      <c r="C645" s="77" t="s">
        <v>72</v>
      </c>
      <c r="D645" s="77" t="s">
        <v>211</v>
      </c>
      <c r="E645" s="129">
        <f t="shared" si="97"/>
        <v>5965802.7400000002</v>
      </c>
      <c r="F645" s="44">
        <v>5838134.5613640007</v>
      </c>
      <c r="G645" s="44">
        <v>0</v>
      </c>
      <c r="H645" s="44">
        <v>0</v>
      </c>
      <c r="I645" s="44">
        <v>0</v>
      </c>
      <c r="J645" s="44">
        <v>0</v>
      </c>
      <c r="K645" s="44"/>
      <c r="L645" s="44"/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/>
      <c r="S645" s="44"/>
      <c r="T645" s="136">
        <v>127668.17863600001</v>
      </c>
      <c r="U645" s="24">
        <f t="shared" si="98"/>
        <v>1</v>
      </c>
    </row>
    <row r="646" spans="1:21" x14ac:dyDescent="0.25">
      <c r="A646" s="135">
        <f t="shared" si="99"/>
        <v>628</v>
      </c>
      <c r="B646" s="134">
        <f t="shared" si="100"/>
        <v>166</v>
      </c>
      <c r="C646" s="77" t="s">
        <v>72</v>
      </c>
      <c r="D646" s="77" t="s">
        <v>374</v>
      </c>
      <c r="E646" s="129">
        <f t="shared" si="97"/>
        <v>17172310.390230007</v>
      </c>
      <c r="F646" s="44">
        <v>0</v>
      </c>
      <c r="G646" s="44">
        <v>2080965.3426794703</v>
      </c>
      <c r="H646" s="44">
        <v>0</v>
      </c>
      <c r="I646" s="44">
        <v>1397905.6390375202</v>
      </c>
      <c r="J646" s="44"/>
      <c r="K646" s="44"/>
      <c r="L646" s="44"/>
      <c r="M646" s="44">
        <v>0</v>
      </c>
      <c r="N646" s="44">
        <v>0</v>
      </c>
      <c r="O646" s="44">
        <v>0</v>
      </c>
      <c r="P646" s="44">
        <v>5479231.0429634154</v>
      </c>
      <c r="Q646" s="44">
        <v>5909986.0434617801</v>
      </c>
      <c r="R646" s="44">
        <v>1796136.5285136958</v>
      </c>
      <c r="S646" s="44">
        <v>191715.22968136959</v>
      </c>
      <c r="T646" s="136">
        <v>316370.56389275653</v>
      </c>
      <c r="U646" s="24">
        <f t="shared" si="98"/>
        <v>4</v>
      </c>
    </row>
    <row r="647" spans="1:21" x14ac:dyDescent="0.25">
      <c r="A647" s="135">
        <f t="shared" si="99"/>
        <v>629</v>
      </c>
      <c r="B647" s="134">
        <f t="shared" si="100"/>
        <v>167</v>
      </c>
      <c r="C647" s="77" t="s">
        <v>72</v>
      </c>
      <c r="D647" s="77" t="s">
        <v>213</v>
      </c>
      <c r="E647" s="129">
        <f t="shared" si="97"/>
        <v>15454795.540899998</v>
      </c>
      <c r="F647" s="44"/>
      <c r="G647" s="44"/>
      <c r="H647" s="44"/>
      <c r="I647" s="44"/>
      <c r="J647" s="44"/>
      <c r="K647" s="44"/>
      <c r="L647" s="44"/>
      <c r="M647" s="44">
        <v>0</v>
      </c>
      <c r="N647" s="44">
        <v>0</v>
      </c>
      <c r="O647" s="44">
        <v>0</v>
      </c>
      <c r="P647" s="44">
        <v>15124062.916324738</v>
      </c>
      <c r="Q647" s="44">
        <v>0</v>
      </c>
      <c r="R647" s="44"/>
      <c r="S647" s="68"/>
      <c r="T647" s="136">
        <v>330732.62457525998</v>
      </c>
      <c r="U647" s="24">
        <f t="shared" si="98"/>
        <v>1</v>
      </c>
    </row>
    <row r="648" spans="1:21" x14ac:dyDescent="0.25">
      <c r="A648" s="135">
        <f t="shared" si="99"/>
        <v>630</v>
      </c>
      <c r="B648" s="134">
        <f t="shared" si="100"/>
        <v>168</v>
      </c>
      <c r="C648" s="77" t="s">
        <v>72</v>
      </c>
      <c r="D648" s="77" t="s">
        <v>214</v>
      </c>
      <c r="E648" s="129">
        <f t="shared" si="97"/>
        <v>15497815.610646002</v>
      </c>
      <c r="F648" s="44"/>
      <c r="G648" s="44"/>
      <c r="H648" s="44"/>
      <c r="I648" s="44"/>
      <c r="J648" s="44"/>
      <c r="K648" s="44"/>
      <c r="L648" s="44"/>
      <c r="M648" s="44">
        <v>0</v>
      </c>
      <c r="N648" s="44">
        <v>0</v>
      </c>
      <c r="O648" s="44">
        <v>0</v>
      </c>
      <c r="P648" s="44">
        <v>15131212.272876842</v>
      </c>
      <c r="Q648" s="44">
        <v>0</v>
      </c>
      <c r="R648" s="44"/>
      <c r="S648" s="68"/>
      <c r="T648" s="136">
        <v>366603.33776916005</v>
      </c>
      <c r="U648" s="24">
        <f t="shared" si="98"/>
        <v>1</v>
      </c>
    </row>
    <row r="649" spans="1:21" x14ac:dyDescent="0.25">
      <c r="A649" s="135">
        <f t="shared" si="99"/>
        <v>631</v>
      </c>
      <c r="B649" s="134">
        <f t="shared" si="100"/>
        <v>169</v>
      </c>
      <c r="C649" s="77" t="s">
        <v>72</v>
      </c>
      <c r="D649" s="77" t="s">
        <v>375</v>
      </c>
      <c r="E649" s="129">
        <f t="shared" si="97"/>
        <v>26407589.646799996</v>
      </c>
      <c r="F649" s="44">
        <v>4454647.7270950191</v>
      </c>
      <c r="G649" s="44">
        <v>1587374.11791714</v>
      </c>
      <c r="H649" s="44">
        <v>1658452.76095254</v>
      </c>
      <c r="I649" s="44">
        <v>1038296.2829962799</v>
      </c>
      <c r="J649" s="44"/>
      <c r="K649" s="44"/>
      <c r="L649" s="44">
        <v>170937.02604636003</v>
      </c>
      <c r="M649" s="44">
        <v>0</v>
      </c>
      <c r="N649" s="44">
        <v>8143773.8420052007</v>
      </c>
      <c r="O649" s="44">
        <v>0</v>
      </c>
      <c r="P649" s="44">
        <v>4228285.0782631198</v>
      </c>
      <c r="Q649" s="44">
        <v>4560700.3930828199</v>
      </c>
      <c r="R649" s="44"/>
      <c r="S649" s="68"/>
      <c r="T649" s="136">
        <v>565122.41844152007</v>
      </c>
      <c r="U649" s="24">
        <f t="shared" si="98"/>
        <v>8</v>
      </c>
    </row>
    <row r="650" spans="1:21" x14ac:dyDescent="0.25">
      <c r="A650" s="135">
        <f t="shared" si="99"/>
        <v>632</v>
      </c>
      <c r="B650" s="134">
        <f t="shared" si="100"/>
        <v>170</v>
      </c>
      <c r="C650" s="77" t="s">
        <v>72</v>
      </c>
      <c r="D650" s="77" t="s">
        <v>85</v>
      </c>
      <c r="E650" s="129">
        <f t="shared" si="97"/>
        <v>43094120.582404003</v>
      </c>
      <c r="F650" s="44">
        <v>14487752.111381641</v>
      </c>
      <c r="G650" s="44">
        <v>5162581.6814224795</v>
      </c>
      <c r="H650" s="44">
        <v>5393749.1598622799</v>
      </c>
      <c r="I650" s="44">
        <v>3376828.00437696</v>
      </c>
      <c r="J650" s="44"/>
      <c r="K650" s="44"/>
      <c r="L650" s="44"/>
      <c r="M650" s="44">
        <v>0</v>
      </c>
      <c r="N650" s="44">
        <v>0</v>
      </c>
      <c r="O650" s="44">
        <v>0</v>
      </c>
      <c r="P650" s="44">
        <v>13751557.888197359</v>
      </c>
      <c r="Q650" s="44"/>
      <c r="R650" s="44"/>
      <c r="S650" s="68"/>
      <c r="T650" s="136">
        <v>921651.73716328025</v>
      </c>
      <c r="U650" s="24">
        <f t="shared" si="98"/>
        <v>5</v>
      </c>
    </row>
    <row r="651" spans="1:21" x14ac:dyDescent="0.25">
      <c r="A651" s="135">
        <f t="shared" si="99"/>
        <v>633</v>
      </c>
      <c r="B651" s="134">
        <f t="shared" si="100"/>
        <v>171</v>
      </c>
      <c r="C651" s="77" t="s">
        <v>72</v>
      </c>
      <c r="D651" s="77" t="s">
        <v>376</v>
      </c>
      <c r="E651" s="129">
        <f t="shared" si="97"/>
        <v>13967958.4</v>
      </c>
      <c r="F651" s="44">
        <v>6278778.3834300004</v>
      </c>
      <c r="G651" s="44"/>
      <c r="H651" s="44">
        <v>3922818.876228</v>
      </c>
      <c r="I651" s="44">
        <v>3084097.6605179999</v>
      </c>
      <c r="J651" s="44"/>
      <c r="K651" s="44"/>
      <c r="L651" s="44">
        <v>285559.1703006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78950.87950000001</v>
      </c>
      <c r="S651" s="68">
        <v>20977.589500000002</v>
      </c>
      <c r="T651" s="136">
        <v>296775.84052339999</v>
      </c>
      <c r="U651" s="24">
        <f t="shared" si="98"/>
        <v>4</v>
      </c>
    </row>
    <row r="652" spans="1:21" x14ac:dyDescent="0.25">
      <c r="A652" s="135">
        <f t="shared" si="99"/>
        <v>634</v>
      </c>
      <c r="B652" s="134">
        <f t="shared" si="100"/>
        <v>172</v>
      </c>
      <c r="C652" s="77" t="s">
        <v>72</v>
      </c>
      <c r="D652" s="77" t="s">
        <v>378</v>
      </c>
      <c r="E652" s="129">
        <f t="shared" si="97"/>
        <v>62722849.571893282</v>
      </c>
      <c r="F652" s="44">
        <v>10370296.47949386</v>
      </c>
      <c r="G652" s="44">
        <v>5997425.9547111001</v>
      </c>
      <c r="H652" s="44">
        <v>6339723.2965151407</v>
      </c>
      <c r="I652" s="44">
        <v>4834092.9101480395</v>
      </c>
      <c r="J652" s="44"/>
      <c r="K652" s="44"/>
      <c r="L652" s="44">
        <v>515297.3006874001</v>
      </c>
      <c r="M652" s="44">
        <v>0</v>
      </c>
      <c r="N652" s="44">
        <v>18460706.644925997</v>
      </c>
      <c r="O652" s="44">
        <v>0</v>
      </c>
      <c r="P652" s="44"/>
      <c r="Q652" s="44">
        <v>14096028.4779699</v>
      </c>
      <c r="R652" s="44"/>
      <c r="S652" s="68"/>
      <c r="T652" s="136">
        <v>2109278.5074418397</v>
      </c>
      <c r="U652" s="24">
        <f t="shared" si="98"/>
        <v>7</v>
      </c>
    </row>
    <row r="653" spans="1:21" x14ac:dyDescent="0.25">
      <c r="A653" s="135">
        <f t="shared" si="99"/>
        <v>635</v>
      </c>
      <c r="B653" s="134">
        <f t="shared" si="100"/>
        <v>173</v>
      </c>
      <c r="C653" s="77" t="s">
        <v>72</v>
      </c>
      <c r="D653" s="77" t="s">
        <v>216</v>
      </c>
      <c r="E653" s="129">
        <f t="shared" si="97"/>
        <v>15471833.963887997</v>
      </c>
      <c r="F653" s="44"/>
      <c r="G653" s="44"/>
      <c r="H653" s="44"/>
      <c r="I653" s="44"/>
      <c r="J653" s="44"/>
      <c r="K653" s="44"/>
      <c r="L653" s="44"/>
      <c r="M653" s="44">
        <v>0</v>
      </c>
      <c r="N653" s="44">
        <v>0</v>
      </c>
      <c r="O653" s="44">
        <v>0</v>
      </c>
      <c r="P653" s="44">
        <v>15105792.339437097</v>
      </c>
      <c r="Q653" s="44">
        <v>0</v>
      </c>
      <c r="R653" s="44"/>
      <c r="S653" s="68"/>
      <c r="T653" s="136">
        <v>366041.62445090001</v>
      </c>
      <c r="U653" s="24">
        <f t="shared" si="98"/>
        <v>1</v>
      </c>
    </row>
    <row r="654" spans="1:21" x14ac:dyDescent="0.25">
      <c r="A654" s="135">
        <f t="shared" si="99"/>
        <v>636</v>
      </c>
      <c r="B654" s="134">
        <f t="shared" si="100"/>
        <v>174</v>
      </c>
      <c r="C654" s="77" t="s">
        <v>72</v>
      </c>
      <c r="D654" s="77" t="s">
        <v>217</v>
      </c>
      <c r="E654" s="129">
        <f t="shared" si="97"/>
        <v>8700505.9915000014</v>
      </c>
      <c r="F654" s="44">
        <v>4256960.5015337411</v>
      </c>
      <c r="G654" s="44">
        <v>1516930.0345470598</v>
      </c>
      <c r="H654" s="44">
        <v>1584854.3608997399</v>
      </c>
      <c r="I654" s="44">
        <v>992219.03665164008</v>
      </c>
      <c r="J654" s="44">
        <v>0</v>
      </c>
      <c r="K654" s="44"/>
      <c r="L654" s="44">
        <v>163351.22964971996</v>
      </c>
      <c r="M654" s="44">
        <v>0</v>
      </c>
      <c r="N654" s="44"/>
      <c r="O654" s="44"/>
      <c r="P654" s="44"/>
      <c r="Q654" s="44">
        <v>0</v>
      </c>
      <c r="R654" s="44"/>
      <c r="S654" s="68"/>
      <c r="T654" s="136">
        <v>186190.82821810001</v>
      </c>
      <c r="U654" s="24">
        <f t="shared" si="98"/>
        <v>5</v>
      </c>
    </row>
    <row r="655" spans="1:21" x14ac:dyDescent="0.25">
      <c r="A655" s="135">
        <f t="shared" si="99"/>
        <v>637</v>
      </c>
      <c r="B655" s="134">
        <f t="shared" si="100"/>
        <v>175</v>
      </c>
      <c r="C655" s="77" t="s">
        <v>45</v>
      </c>
      <c r="D655" s="77" t="s">
        <v>381</v>
      </c>
      <c r="E655" s="129">
        <f t="shared" si="97"/>
        <v>2524095.1532999999</v>
      </c>
      <c r="F655" s="44"/>
      <c r="G655" s="44"/>
      <c r="H655" s="44">
        <v>2470079.5170193799</v>
      </c>
      <c r="I655" s="44">
        <v>0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68"/>
      <c r="T655" s="136">
        <v>54015.636280620005</v>
      </c>
      <c r="U655" s="24">
        <f t="shared" si="98"/>
        <v>1</v>
      </c>
    </row>
    <row r="656" spans="1:21" x14ac:dyDescent="0.25">
      <c r="A656" s="135">
        <f t="shared" si="99"/>
        <v>638</v>
      </c>
      <c r="B656" s="134">
        <f t="shared" si="100"/>
        <v>176</v>
      </c>
      <c r="C656" s="77" t="s">
        <v>45</v>
      </c>
      <c r="D656" s="77" t="s">
        <v>86</v>
      </c>
      <c r="E656" s="129">
        <f t="shared" si="97"/>
        <v>420332.95579999994</v>
      </c>
      <c r="F656" s="44">
        <v>0</v>
      </c>
      <c r="G656" s="44"/>
      <c r="H656" s="44">
        <v>411337.83054587996</v>
      </c>
      <c r="I656" s="44"/>
      <c r="J656" s="44">
        <v>0</v>
      </c>
      <c r="K656" s="44"/>
      <c r="L656" s="44"/>
      <c r="M656" s="44">
        <v>0</v>
      </c>
      <c r="N656" s="44"/>
      <c r="O656" s="44">
        <v>0</v>
      </c>
      <c r="P656" s="44">
        <v>0</v>
      </c>
      <c r="Q656" s="44">
        <v>0</v>
      </c>
      <c r="R656" s="44"/>
      <c r="S656" s="68"/>
      <c r="T656" s="136">
        <v>8995.1252541199992</v>
      </c>
      <c r="U656" s="24">
        <f t="shared" si="98"/>
        <v>1</v>
      </c>
    </row>
    <row r="657" spans="1:21" x14ac:dyDescent="0.25">
      <c r="A657" s="135">
        <f t="shared" si="99"/>
        <v>639</v>
      </c>
      <c r="B657" s="134">
        <f t="shared" si="100"/>
        <v>177</v>
      </c>
      <c r="C657" s="77" t="s">
        <v>87</v>
      </c>
      <c r="D657" s="77" t="s">
        <v>219</v>
      </c>
      <c r="E657" s="129">
        <f t="shared" ref="E657:E719" si="101">SUBTOTAL(9,F657:T657)</f>
        <v>522546.69680000003</v>
      </c>
      <c r="F657" s="44"/>
      <c r="G657" s="44"/>
      <c r="H657" s="44">
        <v>511364.19748848001</v>
      </c>
      <c r="I657" s="44"/>
      <c r="J657" s="44"/>
      <c r="K657" s="44"/>
      <c r="L657" s="44"/>
      <c r="M657" s="44">
        <v>0</v>
      </c>
      <c r="N657" s="44">
        <v>0</v>
      </c>
      <c r="O657" s="44">
        <v>0</v>
      </c>
      <c r="P657" s="44">
        <v>0</v>
      </c>
      <c r="Q657" s="44">
        <v>0</v>
      </c>
      <c r="R657" s="44"/>
      <c r="S657" s="68"/>
      <c r="T657" s="136">
        <v>11182.499311520001</v>
      </c>
      <c r="U657" s="24">
        <f t="shared" ref="U657:U719" si="102">COUNTIF(F657:Q657,"&gt;0")</f>
        <v>1</v>
      </c>
    </row>
    <row r="658" spans="1:21" x14ac:dyDescent="0.25">
      <c r="A658" s="135">
        <f t="shared" si="99"/>
        <v>640</v>
      </c>
      <c r="B658" s="134">
        <f t="shared" si="100"/>
        <v>178</v>
      </c>
      <c r="C658" s="77" t="s">
        <v>220</v>
      </c>
      <c r="D658" s="77" t="s">
        <v>221</v>
      </c>
      <c r="E658" s="129">
        <f t="shared" si="101"/>
        <v>3497618.6289000004</v>
      </c>
      <c r="F658" s="44">
        <v>2090429.3526916802</v>
      </c>
      <c r="G658" s="44">
        <v>0</v>
      </c>
      <c r="H658" s="44">
        <v>599365.27642445988</v>
      </c>
      <c r="I658" s="44">
        <v>510794.96876771998</v>
      </c>
      <c r="J658" s="44">
        <v>0</v>
      </c>
      <c r="K658" s="44"/>
      <c r="L658" s="44">
        <v>222179.99235767999</v>
      </c>
      <c r="M658" s="44">
        <v>0</v>
      </c>
      <c r="N658" s="44">
        <v>0</v>
      </c>
      <c r="O658" s="44">
        <v>0</v>
      </c>
      <c r="P658" s="44">
        <v>0</v>
      </c>
      <c r="Q658" s="44">
        <v>0</v>
      </c>
      <c r="R658" s="44"/>
      <c r="S658" s="68"/>
      <c r="T658" s="136">
        <v>74849.038658460006</v>
      </c>
      <c r="U658" s="24">
        <f t="shared" si="102"/>
        <v>4</v>
      </c>
    </row>
    <row r="659" spans="1:21" x14ac:dyDescent="0.25">
      <c r="A659" s="135">
        <f t="shared" si="99"/>
        <v>641</v>
      </c>
      <c r="B659" s="134">
        <f t="shared" si="100"/>
        <v>179</v>
      </c>
      <c r="C659" s="77" t="s">
        <v>220</v>
      </c>
      <c r="D659" s="77" t="s">
        <v>222</v>
      </c>
      <c r="E659" s="129">
        <f t="shared" si="101"/>
        <v>722841.11670000001</v>
      </c>
      <c r="F659" s="44"/>
      <c r="G659" s="44"/>
      <c r="H659" s="44">
        <v>707372.31680261996</v>
      </c>
      <c r="I659" s="44"/>
      <c r="J659" s="44">
        <v>0</v>
      </c>
      <c r="K659" s="44"/>
      <c r="L659" s="44"/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/>
      <c r="S659" s="68"/>
      <c r="T659" s="136">
        <v>15468.79989738</v>
      </c>
      <c r="U659" s="24">
        <f t="shared" si="102"/>
        <v>1</v>
      </c>
    </row>
    <row r="660" spans="1:21" x14ac:dyDescent="0.25">
      <c r="A660" s="135">
        <f t="shared" si="99"/>
        <v>642</v>
      </c>
      <c r="B660" s="134">
        <f t="shared" si="100"/>
        <v>180</v>
      </c>
      <c r="C660" s="77" t="s">
        <v>88</v>
      </c>
      <c r="D660" s="77" t="s">
        <v>223</v>
      </c>
      <c r="E660" s="129">
        <f t="shared" si="101"/>
        <v>3973408.8198000011</v>
      </c>
      <c r="F660" s="44">
        <v>1731370.4004597</v>
      </c>
      <c r="G660" s="44">
        <v>1053514.3282679403</v>
      </c>
      <c r="H660" s="44">
        <v>496416.34494900005</v>
      </c>
      <c r="I660" s="44">
        <v>423059.16646896006</v>
      </c>
      <c r="J660" s="44">
        <v>0</v>
      </c>
      <c r="K660" s="44"/>
      <c r="L660" s="44">
        <v>184017.63091067999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/>
      <c r="S660" s="68"/>
      <c r="T660" s="136">
        <v>85030.948743720015</v>
      </c>
      <c r="U660" s="24">
        <f t="shared" si="102"/>
        <v>5</v>
      </c>
    </row>
    <row r="661" spans="1:21" x14ac:dyDescent="0.25">
      <c r="A661" s="135">
        <f t="shared" si="99"/>
        <v>643</v>
      </c>
      <c r="B661" s="134">
        <f t="shared" si="100"/>
        <v>181</v>
      </c>
      <c r="C661" s="77" t="s">
        <v>89</v>
      </c>
      <c r="D661" s="77" t="s">
        <v>90</v>
      </c>
      <c r="E661" s="129">
        <f t="shared" si="101"/>
        <v>546650.25530000008</v>
      </c>
      <c r="F661" s="44">
        <v>0</v>
      </c>
      <c r="G661" s="44">
        <v>0</v>
      </c>
      <c r="H661" s="44">
        <v>534951.93983658007</v>
      </c>
      <c r="I661" s="44">
        <v>0</v>
      </c>
      <c r="J661" s="44">
        <v>0</v>
      </c>
      <c r="K661" s="44"/>
      <c r="L661" s="44"/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/>
      <c r="S661" s="68"/>
      <c r="T661" s="136">
        <v>11698.315463420002</v>
      </c>
      <c r="U661" s="24">
        <f t="shared" si="102"/>
        <v>1</v>
      </c>
    </row>
    <row r="662" spans="1:21" x14ac:dyDescent="0.25">
      <c r="A662" s="135">
        <f t="shared" si="99"/>
        <v>644</v>
      </c>
      <c r="B662" s="134">
        <f t="shared" si="100"/>
        <v>182</v>
      </c>
      <c r="C662" s="77" t="s">
        <v>89</v>
      </c>
      <c r="D662" s="77" t="s">
        <v>91</v>
      </c>
      <c r="E662" s="129">
        <f t="shared" si="101"/>
        <v>510906.35119999998</v>
      </c>
      <c r="F662" s="44">
        <v>0</v>
      </c>
      <c r="G662" s="44">
        <v>0</v>
      </c>
      <c r="H662" s="44">
        <v>499972.95528431999</v>
      </c>
      <c r="I662" s="44">
        <v>0</v>
      </c>
      <c r="J662" s="44">
        <v>0</v>
      </c>
      <c r="K662" s="44"/>
      <c r="L662" s="44"/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/>
      <c r="S662" s="68"/>
      <c r="T662" s="136">
        <v>10933.395915679999</v>
      </c>
      <c r="U662" s="24">
        <f t="shared" si="102"/>
        <v>1</v>
      </c>
    </row>
    <row r="663" spans="1:21" x14ac:dyDescent="0.25">
      <c r="A663" s="135">
        <f t="shared" si="99"/>
        <v>645</v>
      </c>
      <c r="B663" s="134">
        <f t="shared" si="100"/>
        <v>183</v>
      </c>
      <c r="C663" s="77" t="s">
        <v>89</v>
      </c>
      <c r="D663" s="77" t="s">
        <v>224</v>
      </c>
      <c r="E663" s="129">
        <f t="shared" si="101"/>
        <v>536929.96900000004</v>
      </c>
      <c r="F663" s="44">
        <v>0</v>
      </c>
      <c r="G663" s="44">
        <v>0</v>
      </c>
      <c r="H663" s="44">
        <v>525439.66766340006</v>
      </c>
      <c r="I663" s="44">
        <v>0</v>
      </c>
      <c r="J663" s="44">
        <v>0</v>
      </c>
      <c r="K663" s="44"/>
      <c r="L663" s="44"/>
      <c r="M663" s="44">
        <v>0</v>
      </c>
      <c r="N663" s="44">
        <v>0</v>
      </c>
      <c r="O663" s="44">
        <v>0</v>
      </c>
      <c r="P663" s="44">
        <v>0</v>
      </c>
      <c r="Q663" s="44">
        <v>0</v>
      </c>
      <c r="R663" s="44"/>
      <c r="S663" s="68"/>
      <c r="T663" s="136">
        <v>11490.301336600001</v>
      </c>
      <c r="U663" s="24">
        <f t="shared" si="102"/>
        <v>1</v>
      </c>
    </row>
    <row r="664" spans="1:21" x14ac:dyDescent="0.25">
      <c r="A664" s="135">
        <f t="shared" si="99"/>
        <v>646</v>
      </c>
      <c r="B664" s="134">
        <f t="shared" si="100"/>
        <v>184</v>
      </c>
      <c r="C664" s="77" t="s">
        <v>89</v>
      </c>
      <c r="D664" s="77" t="s">
        <v>225</v>
      </c>
      <c r="E664" s="129">
        <f t="shared" si="101"/>
        <v>1607331.617505694</v>
      </c>
      <c r="F664" s="44">
        <v>0</v>
      </c>
      <c r="G664" s="44">
        <v>0</v>
      </c>
      <c r="H664" s="44"/>
      <c r="I664" s="44">
        <v>0</v>
      </c>
      <c r="J664" s="44">
        <v>0</v>
      </c>
      <c r="K664" s="44"/>
      <c r="L664" s="44"/>
      <c r="M664" s="44">
        <v>0</v>
      </c>
      <c r="N664" s="44">
        <v>0</v>
      </c>
      <c r="O664" s="44">
        <v>0</v>
      </c>
      <c r="P664" s="44">
        <v>0</v>
      </c>
      <c r="Q664" s="44">
        <v>1572934.7208910722</v>
      </c>
      <c r="R664" s="44"/>
      <c r="S664" s="68"/>
      <c r="T664" s="136">
        <v>34396.896614621852</v>
      </c>
      <c r="U664" s="24">
        <f t="shared" si="102"/>
        <v>1</v>
      </c>
    </row>
    <row r="665" spans="1:21" x14ac:dyDescent="0.25">
      <c r="A665" s="135">
        <f t="shared" si="99"/>
        <v>647</v>
      </c>
      <c r="B665" s="134">
        <f t="shared" si="100"/>
        <v>185</v>
      </c>
      <c r="C665" s="77" t="s">
        <v>89</v>
      </c>
      <c r="D665" s="77" t="s">
        <v>226</v>
      </c>
      <c r="E665" s="129">
        <f t="shared" si="101"/>
        <v>1011727.4448999999</v>
      </c>
      <c r="F665" s="44">
        <v>0</v>
      </c>
      <c r="G665" s="44">
        <v>0</v>
      </c>
      <c r="H665" s="44">
        <v>990076.47757913987</v>
      </c>
      <c r="I665" s="44">
        <v>0</v>
      </c>
      <c r="J665" s="44">
        <v>0</v>
      </c>
      <c r="K665" s="44"/>
      <c r="L665" s="44"/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/>
      <c r="S665" s="68"/>
      <c r="T665" s="136">
        <v>21650.96732086</v>
      </c>
      <c r="U665" s="24">
        <f t="shared" si="102"/>
        <v>1</v>
      </c>
    </row>
    <row r="666" spans="1:21" x14ac:dyDescent="0.25">
      <c r="A666" s="135">
        <f t="shared" si="99"/>
        <v>648</v>
      </c>
      <c r="B666" s="134">
        <f t="shared" si="100"/>
        <v>186</v>
      </c>
      <c r="C666" s="77" t="s">
        <v>89</v>
      </c>
      <c r="D666" s="77" t="s">
        <v>233</v>
      </c>
      <c r="E666" s="129">
        <f t="shared" si="101"/>
        <v>3172147.2374999998</v>
      </c>
      <c r="F666" s="44">
        <v>1382229.2362897198</v>
      </c>
      <c r="G666" s="44">
        <v>841066.88252748002</v>
      </c>
      <c r="H666" s="44">
        <v>396311.02602629998</v>
      </c>
      <c r="I666" s="44">
        <v>337746.75668411993</v>
      </c>
      <c r="J666" s="44">
        <v>0</v>
      </c>
      <c r="K666" s="44"/>
      <c r="L666" s="44">
        <v>146909.38508988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/>
      <c r="S666" s="68"/>
      <c r="T666" s="136">
        <v>67883.950882499994</v>
      </c>
      <c r="U666" s="24">
        <f t="shared" si="102"/>
        <v>5</v>
      </c>
    </row>
    <row r="667" spans="1:21" x14ac:dyDescent="0.25">
      <c r="A667" s="135">
        <f t="shared" si="99"/>
        <v>649</v>
      </c>
      <c r="B667" s="134">
        <f t="shared" si="100"/>
        <v>187</v>
      </c>
      <c r="C667" s="77" t="s">
        <v>89</v>
      </c>
      <c r="D667" s="77" t="s">
        <v>92</v>
      </c>
      <c r="E667" s="129">
        <f t="shared" si="101"/>
        <v>546007.38159999996</v>
      </c>
      <c r="F667" s="44">
        <v>0</v>
      </c>
      <c r="G667" s="44">
        <v>0</v>
      </c>
      <c r="H667" s="44">
        <v>534322.82363375998</v>
      </c>
      <c r="I667" s="44">
        <v>0</v>
      </c>
      <c r="J667" s="44">
        <v>0</v>
      </c>
      <c r="K667" s="44"/>
      <c r="L667" s="44"/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/>
      <c r="S667" s="68"/>
      <c r="T667" s="136">
        <v>11684.55796624</v>
      </c>
      <c r="U667" s="24">
        <f t="shared" si="102"/>
        <v>1</v>
      </c>
    </row>
    <row r="668" spans="1:21" x14ac:dyDescent="0.25">
      <c r="A668" s="135">
        <f t="shared" si="99"/>
        <v>650</v>
      </c>
      <c r="B668" s="134">
        <f t="shared" si="100"/>
        <v>188</v>
      </c>
      <c r="C668" s="77" t="s">
        <v>89</v>
      </c>
      <c r="D668" s="77" t="s">
        <v>93</v>
      </c>
      <c r="E668" s="129">
        <f t="shared" si="101"/>
        <v>531478.38079999993</v>
      </c>
      <c r="F668" s="44">
        <v>0</v>
      </c>
      <c r="G668" s="44">
        <v>0</v>
      </c>
      <c r="H668" s="44">
        <v>520104.74345087993</v>
      </c>
      <c r="I668" s="44">
        <v>0</v>
      </c>
      <c r="J668" s="44">
        <v>0</v>
      </c>
      <c r="K668" s="44"/>
      <c r="L668" s="44"/>
      <c r="M668" s="44">
        <v>0</v>
      </c>
      <c r="N668" s="44">
        <v>0</v>
      </c>
      <c r="O668" s="44">
        <v>0</v>
      </c>
      <c r="P668" s="44">
        <v>0</v>
      </c>
      <c r="Q668" s="44">
        <v>0</v>
      </c>
      <c r="R668" s="44"/>
      <c r="S668" s="68"/>
      <c r="T668" s="136">
        <v>11373.637349119999</v>
      </c>
      <c r="U668" s="24">
        <f t="shared" si="102"/>
        <v>1</v>
      </c>
    </row>
    <row r="669" spans="1:21" x14ac:dyDescent="0.25">
      <c r="A669" s="135">
        <f t="shared" si="99"/>
        <v>651</v>
      </c>
      <c r="B669" s="134">
        <f t="shared" si="100"/>
        <v>189</v>
      </c>
      <c r="C669" s="77" t="s">
        <v>89</v>
      </c>
      <c r="D669" s="77" t="s">
        <v>94</v>
      </c>
      <c r="E669" s="129">
        <f t="shared" si="101"/>
        <v>526763.96180000005</v>
      </c>
      <c r="F669" s="44">
        <v>0</v>
      </c>
      <c r="G669" s="44">
        <v>0</v>
      </c>
      <c r="H669" s="44">
        <v>515491.21301748004</v>
      </c>
      <c r="I669" s="44">
        <v>0</v>
      </c>
      <c r="J669" s="44">
        <v>0</v>
      </c>
      <c r="K669" s="44"/>
      <c r="L669" s="44"/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/>
      <c r="S669" s="68"/>
      <c r="T669" s="136">
        <v>11272.748782520001</v>
      </c>
      <c r="U669" s="24">
        <f t="shared" si="102"/>
        <v>1</v>
      </c>
    </row>
    <row r="670" spans="1:21" x14ac:dyDescent="0.25">
      <c r="A670" s="135">
        <f t="shared" si="99"/>
        <v>652</v>
      </c>
      <c r="B670" s="134">
        <f t="shared" si="100"/>
        <v>190</v>
      </c>
      <c r="C670" s="77" t="s">
        <v>88</v>
      </c>
      <c r="D670" s="77" t="s">
        <v>383</v>
      </c>
      <c r="E670" s="129">
        <f t="shared" si="101"/>
        <v>2160923.4899999998</v>
      </c>
      <c r="F670" s="44">
        <v>1751498.5321852199</v>
      </c>
      <c r="G670" s="44"/>
      <c r="H670" s="44"/>
      <c r="I670" s="44"/>
      <c r="J670" s="44">
        <v>0</v>
      </c>
      <c r="K670" s="44"/>
      <c r="L670" s="44">
        <v>186156.94426056001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159286.17779999998</v>
      </c>
      <c r="S670" s="68">
        <v>21609.234899999999</v>
      </c>
      <c r="T670" s="136">
        <v>42372.60085422</v>
      </c>
      <c r="U670" s="24">
        <f t="shared" si="102"/>
        <v>2</v>
      </c>
    </row>
    <row r="671" spans="1:21" x14ac:dyDescent="0.25">
      <c r="A671" s="135">
        <f t="shared" si="99"/>
        <v>653</v>
      </c>
      <c r="B671" s="134">
        <f t="shared" si="100"/>
        <v>191</v>
      </c>
      <c r="C671" s="77" t="s">
        <v>88</v>
      </c>
      <c r="D671" s="77" t="s">
        <v>384</v>
      </c>
      <c r="E671" s="129">
        <f t="shared" si="101"/>
        <v>2736423.6600000006</v>
      </c>
      <c r="F671" s="44">
        <v>1161013.0461300001</v>
      </c>
      <c r="G671" s="44">
        <v>715280.41599000001</v>
      </c>
      <c r="H671" s="44">
        <v>333617.54987400002</v>
      </c>
      <c r="I671" s="44">
        <v>289368.19367399998</v>
      </c>
      <c r="J671" s="44">
        <v>0</v>
      </c>
      <c r="K671" s="44"/>
      <c r="L671" s="44">
        <v>113967.79944983998</v>
      </c>
      <c r="M671" s="44">
        <v>0</v>
      </c>
      <c r="N671" s="44">
        <v>0</v>
      </c>
      <c r="O671" s="44">
        <v>0</v>
      </c>
      <c r="P671" s="44">
        <v>0</v>
      </c>
      <c r="Q671" s="44">
        <v>0</v>
      </c>
      <c r="R671" s="44">
        <v>40841.8678</v>
      </c>
      <c r="S671" s="68">
        <v>25188.3678</v>
      </c>
      <c r="T671" s="136">
        <v>57146.419282159994</v>
      </c>
      <c r="U671" s="24">
        <f t="shared" si="102"/>
        <v>5</v>
      </c>
    </row>
    <row r="672" spans="1:21" x14ac:dyDescent="0.25">
      <c r="A672" s="135">
        <f t="shared" si="99"/>
        <v>654</v>
      </c>
      <c r="B672" s="134">
        <f t="shared" si="100"/>
        <v>192</v>
      </c>
      <c r="C672" s="77" t="s">
        <v>88</v>
      </c>
      <c r="D672" s="77" t="s">
        <v>385</v>
      </c>
      <c r="E672" s="129">
        <f t="shared" si="101"/>
        <v>3376959.49</v>
      </c>
      <c r="F672" s="44">
        <v>2328768.9691980002</v>
      </c>
      <c r="G672" s="44">
        <v>822740.57006399997</v>
      </c>
      <c r="H672" s="44"/>
      <c r="I672" s="44">
        <v>0</v>
      </c>
      <c r="J672" s="44">
        <v>0</v>
      </c>
      <c r="K672" s="44"/>
      <c r="L672" s="44">
        <v>85315.658345399992</v>
      </c>
      <c r="M672" s="44">
        <v>0</v>
      </c>
      <c r="N672" s="44">
        <v>0</v>
      </c>
      <c r="O672" s="44">
        <v>0</v>
      </c>
      <c r="P672" s="44">
        <v>0</v>
      </c>
      <c r="Q672" s="44">
        <v>0</v>
      </c>
      <c r="R672" s="44">
        <v>52461.875500000002</v>
      </c>
      <c r="S672" s="68">
        <v>16889.605499999998</v>
      </c>
      <c r="T672" s="136">
        <v>70782.811392599993</v>
      </c>
      <c r="U672" s="24">
        <f t="shared" si="102"/>
        <v>3</v>
      </c>
    </row>
    <row r="673" spans="1:21" x14ac:dyDescent="0.25">
      <c r="A673" s="135">
        <f t="shared" si="99"/>
        <v>655</v>
      </c>
      <c r="B673" s="134">
        <f t="shared" si="100"/>
        <v>193</v>
      </c>
      <c r="C673" s="77" t="s">
        <v>47</v>
      </c>
      <c r="D673" s="77" t="s">
        <v>49</v>
      </c>
      <c r="E673" s="129">
        <f t="shared" si="101"/>
        <v>1384114.0804000001</v>
      </c>
      <c r="F673" s="44"/>
      <c r="G673" s="44"/>
      <c r="H673" s="44">
        <v>1354494.0390794401</v>
      </c>
      <c r="I673" s="44">
        <v>0</v>
      </c>
      <c r="J673" s="44">
        <v>0</v>
      </c>
      <c r="K673" s="44"/>
      <c r="L673" s="44"/>
      <c r="M673" s="44">
        <v>0</v>
      </c>
      <c r="N673" s="44">
        <v>0</v>
      </c>
      <c r="O673" s="44">
        <v>0</v>
      </c>
      <c r="P673" s="44">
        <v>0</v>
      </c>
      <c r="Q673" s="44">
        <v>0</v>
      </c>
      <c r="R673" s="44"/>
      <c r="S673" s="68"/>
      <c r="T673" s="136">
        <v>29620.041320560002</v>
      </c>
      <c r="U673" s="24">
        <f t="shared" si="102"/>
        <v>1</v>
      </c>
    </row>
    <row r="674" spans="1:21" x14ac:dyDescent="0.25">
      <c r="A674" s="135">
        <f t="shared" si="99"/>
        <v>656</v>
      </c>
      <c r="B674" s="134">
        <f t="shared" si="100"/>
        <v>194</v>
      </c>
      <c r="C674" s="77" t="s">
        <v>47</v>
      </c>
      <c r="D674" s="77" t="s">
        <v>401</v>
      </c>
      <c r="E674" s="129">
        <f t="shared" si="101"/>
        <v>5341683.8354999991</v>
      </c>
      <c r="F674" s="44">
        <v>0</v>
      </c>
      <c r="G674" s="44">
        <v>0</v>
      </c>
      <c r="H674" s="44">
        <v>1189999.01255088</v>
      </c>
      <c r="I674" s="44">
        <v>0</v>
      </c>
      <c r="J674" s="44">
        <v>0</v>
      </c>
      <c r="K674" s="44"/>
      <c r="L674" s="44"/>
      <c r="M674" s="44">
        <v>0</v>
      </c>
      <c r="N674" s="44">
        <v>0</v>
      </c>
      <c r="O674" s="44">
        <v>764864.79162029992</v>
      </c>
      <c r="P674" s="44">
        <v>0</v>
      </c>
      <c r="Q674" s="44">
        <v>3272507.9972491194</v>
      </c>
      <c r="R674" s="44"/>
      <c r="S674" s="68"/>
      <c r="T674" s="136">
        <v>114312.03407969998</v>
      </c>
      <c r="U674" s="24">
        <f t="shared" si="102"/>
        <v>3</v>
      </c>
    </row>
    <row r="675" spans="1:21" x14ac:dyDescent="0.25">
      <c r="A675" s="135">
        <f t="shared" ref="A675:A738" si="103">+A674+1</f>
        <v>657</v>
      </c>
      <c r="B675" s="134">
        <f t="shared" ref="B675:B738" si="104">+B674+1</f>
        <v>195</v>
      </c>
      <c r="C675" s="77" t="s">
        <v>47</v>
      </c>
      <c r="D675" s="77" t="s">
        <v>402</v>
      </c>
      <c r="E675" s="129">
        <f t="shared" si="101"/>
        <v>6055299.0787000004</v>
      </c>
      <c r="F675" s="44">
        <v>0</v>
      </c>
      <c r="G675" s="44">
        <v>0</v>
      </c>
      <c r="H675" s="44">
        <v>1348975.3697015401</v>
      </c>
      <c r="I675" s="44">
        <v>0</v>
      </c>
      <c r="J675" s="44">
        <v>0</v>
      </c>
      <c r="K675" s="44"/>
      <c r="L675" s="44"/>
      <c r="M675" s="44">
        <v>0</v>
      </c>
      <c r="N675" s="44">
        <v>0</v>
      </c>
      <c r="O675" s="44">
        <v>867045.8987589</v>
      </c>
      <c r="P675" s="44">
        <v>0</v>
      </c>
      <c r="Q675" s="44">
        <v>3709694.4099553796</v>
      </c>
      <c r="R675" s="44"/>
      <c r="S675" s="68"/>
      <c r="T675" s="136">
        <v>129583.40028418</v>
      </c>
      <c r="U675" s="24">
        <f t="shared" si="102"/>
        <v>3</v>
      </c>
    </row>
    <row r="676" spans="1:21" x14ac:dyDescent="0.25">
      <c r="A676" s="135">
        <f t="shared" si="103"/>
        <v>658</v>
      </c>
      <c r="B676" s="134">
        <f t="shared" si="104"/>
        <v>196</v>
      </c>
      <c r="C676" s="77" t="s">
        <v>47</v>
      </c>
      <c r="D676" s="77" t="s">
        <v>403</v>
      </c>
      <c r="E676" s="129">
        <f t="shared" si="101"/>
        <v>8964551.3562646136</v>
      </c>
      <c r="F676" s="44">
        <v>1142632.8508740603</v>
      </c>
      <c r="G676" s="44">
        <v>1017995.5664428447</v>
      </c>
      <c r="H676" s="44">
        <v>1063558.0770065908</v>
      </c>
      <c r="I676" s="44">
        <v>665876.94500377658</v>
      </c>
      <c r="J676" s="44">
        <v>0</v>
      </c>
      <c r="K676" s="44"/>
      <c r="L676" s="44"/>
      <c r="M676" s="44">
        <v>0</v>
      </c>
      <c r="N676" s="44">
        <v>1175707.708623</v>
      </c>
      <c r="O676" s="44">
        <v>782154.09752215364</v>
      </c>
      <c r="P676" s="44">
        <v>0</v>
      </c>
      <c r="Q676" s="44">
        <v>2924784.7117681261</v>
      </c>
      <c r="R676" s="44"/>
      <c r="S676" s="68"/>
      <c r="T676" s="136">
        <v>191841.39902406279</v>
      </c>
      <c r="U676" s="24">
        <f t="shared" si="102"/>
        <v>7</v>
      </c>
    </row>
    <row r="677" spans="1:21" x14ac:dyDescent="0.25">
      <c r="A677" s="135">
        <f t="shared" si="103"/>
        <v>659</v>
      </c>
      <c r="B677" s="134">
        <f t="shared" si="104"/>
        <v>197</v>
      </c>
      <c r="C677" s="77" t="s">
        <v>47</v>
      </c>
      <c r="D677" s="77" t="s">
        <v>404</v>
      </c>
      <c r="E677" s="129">
        <f t="shared" si="101"/>
        <v>7055254.3934000004</v>
      </c>
      <c r="F677" s="44"/>
      <c r="G677" s="44"/>
      <c r="H677" s="44">
        <v>1168117.9829516402</v>
      </c>
      <c r="I677" s="44"/>
      <c r="J677" s="44"/>
      <c r="K677" s="44"/>
      <c r="L677" s="44"/>
      <c r="M677" s="44">
        <v>0</v>
      </c>
      <c r="N677" s="44">
        <v>5736153.9664296005</v>
      </c>
      <c r="O677" s="44">
        <v>0</v>
      </c>
      <c r="P677" s="44"/>
      <c r="Q677" s="44"/>
      <c r="R677" s="44"/>
      <c r="S677" s="68"/>
      <c r="T677" s="136">
        <v>150982.44401876003</v>
      </c>
      <c r="U677" s="24">
        <f t="shared" si="102"/>
        <v>2</v>
      </c>
    </row>
    <row r="678" spans="1:21" x14ac:dyDescent="0.25">
      <c r="A678" s="135">
        <f t="shared" si="103"/>
        <v>660</v>
      </c>
      <c r="B678" s="134">
        <f t="shared" si="104"/>
        <v>198</v>
      </c>
      <c r="C678" s="77" t="s">
        <v>47</v>
      </c>
      <c r="D678" s="77" t="s">
        <v>405</v>
      </c>
      <c r="E678" s="129">
        <f t="shared" si="101"/>
        <v>10250824.942299999</v>
      </c>
      <c r="F678" s="44">
        <v>3073518.7891098596</v>
      </c>
      <c r="G678" s="44"/>
      <c r="H678" s="44">
        <v>1158436.1099060399</v>
      </c>
      <c r="I678" s="44"/>
      <c r="J678" s="44">
        <v>0</v>
      </c>
      <c r="K678" s="44"/>
      <c r="L678" s="44">
        <v>110892.17747327998</v>
      </c>
      <c r="M678" s="44">
        <v>0</v>
      </c>
      <c r="N678" s="44">
        <v>5688610.2120455997</v>
      </c>
      <c r="O678" s="44">
        <v>0</v>
      </c>
      <c r="P678" s="44"/>
      <c r="Q678" s="44"/>
      <c r="R678" s="44"/>
      <c r="S678" s="68"/>
      <c r="T678" s="136">
        <v>219367.65376522005</v>
      </c>
      <c r="U678" s="24">
        <f t="shared" si="102"/>
        <v>4</v>
      </c>
    </row>
    <row r="679" spans="1:21" x14ac:dyDescent="0.25">
      <c r="A679" s="135">
        <f t="shared" si="103"/>
        <v>661</v>
      </c>
      <c r="B679" s="134">
        <f t="shared" si="104"/>
        <v>199</v>
      </c>
      <c r="C679" s="77" t="s">
        <v>47</v>
      </c>
      <c r="D679" s="77" t="s">
        <v>406</v>
      </c>
      <c r="E679" s="129">
        <f t="shared" si="101"/>
        <v>36148005.414999992</v>
      </c>
      <c r="F679" s="44">
        <v>3583619.264736</v>
      </c>
      <c r="G679" s="44">
        <v>2218742.4464100003</v>
      </c>
      <c r="H679" s="44">
        <v>1040167.9144080001</v>
      </c>
      <c r="I679" s="44">
        <v>906414.55938600004</v>
      </c>
      <c r="J679" s="44">
        <v>0</v>
      </c>
      <c r="K679" s="44"/>
      <c r="L679" s="44">
        <v>312478.89445500006</v>
      </c>
      <c r="M679" s="44">
        <v>0</v>
      </c>
      <c r="N679" s="44">
        <v>10499304.299651999</v>
      </c>
      <c r="O679" s="44">
        <v>0</v>
      </c>
      <c r="P679" s="44">
        <v>8671328.1752159987</v>
      </c>
      <c r="Q679" s="44">
        <v>8142382.5448560007</v>
      </c>
      <c r="R679" s="44"/>
      <c r="S679" s="68"/>
      <c r="T679" s="136">
        <v>773567.3158809999</v>
      </c>
      <c r="U679" s="24">
        <f t="shared" si="102"/>
        <v>8</v>
      </c>
    </row>
    <row r="680" spans="1:21" x14ac:dyDescent="0.25">
      <c r="A680" s="135">
        <f t="shared" si="103"/>
        <v>662</v>
      </c>
      <c r="B680" s="134">
        <f t="shared" si="104"/>
        <v>200</v>
      </c>
      <c r="C680" s="77" t="s">
        <v>47</v>
      </c>
      <c r="D680" s="77" t="s">
        <v>407</v>
      </c>
      <c r="E680" s="129">
        <f t="shared" si="101"/>
        <v>36523083.032605998</v>
      </c>
      <c r="F680" s="44">
        <v>3617984.0269859997</v>
      </c>
      <c r="G680" s="44">
        <v>2231790.3844320001</v>
      </c>
      <c r="H680" s="44">
        <v>1050168.4431</v>
      </c>
      <c r="I680" s="44">
        <v>912769.65628799994</v>
      </c>
      <c r="J680" s="44">
        <v>0</v>
      </c>
      <c r="K680" s="44"/>
      <c r="L680" s="44">
        <v>315453.97193603998</v>
      </c>
      <c r="M680" s="44">
        <v>0</v>
      </c>
      <c r="N680" s="44">
        <v>10614144.820062</v>
      </c>
      <c r="O680" s="44">
        <v>0</v>
      </c>
      <c r="P680" s="44">
        <v>8769141.9461520016</v>
      </c>
      <c r="Q680" s="44">
        <v>8229942.0850500017</v>
      </c>
      <c r="R680" s="44"/>
      <c r="S680" s="68"/>
      <c r="T680" s="136">
        <v>781687.69859996007</v>
      </c>
      <c r="U680" s="24">
        <f t="shared" si="102"/>
        <v>8</v>
      </c>
    </row>
    <row r="681" spans="1:21" x14ac:dyDescent="0.25">
      <c r="A681" s="135">
        <f t="shared" si="103"/>
        <v>663</v>
      </c>
      <c r="B681" s="134">
        <f t="shared" si="104"/>
        <v>201</v>
      </c>
      <c r="C681" s="77" t="s">
        <v>47</v>
      </c>
      <c r="D681" s="77" t="s">
        <v>408</v>
      </c>
      <c r="E681" s="129">
        <f t="shared" si="101"/>
        <v>19329020.200000003</v>
      </c>
      <c r="F681" s="44"/>
      <c r="G681" s="44"/>
      <c r="H681" s="44">
        <v>970374.21133800002</v>
      </c>
      <c r="I681" s="44">
        <v>0</v>
      </c>
      <c r="J681" s="44">
        <v>0</v>
      </c>
      <c r="K681" s="44"/>
      <c r="L681" s="44">
        <v>0</v>
      </c>
      <c r="M681" s="44">
        <v>0</v>
      </c>
      <c r="N681" s="44">
        <v>9849605.5063979998</v>
      </c>
      <c r="O681" s="44">
        <v>0</v>
      </c>
      <c r="P681" s="44">
        <v>8095399.4499840001</v>
      </c>
      <c r="Q681" s="44">
        <v>0</v>
      </c>
      <c r="R681" s="44"/>
      <c r="S681" s="68"/>
      <c r="T681" s="136">
        <v>413641.03227999998</v>
      </c>
      <c r="U681" s="24">
        <f t="shared" si="102"/>
        <v>3</v>
      </c>
    </row>
    <row r="682" spans="1:21" x14ac:dyDescent="0.25">
      <c r="A682" s="135">
        <f t="shared" si="103"/>
        <v>664</v>
      </c>
      <c r="B682" s="134">
        <f t="shared" si="104"/>
        <v>202</v>
      </c>
      <c r="C682" s="77" t="s">
        <v>47</v>
      </c>
      <c r="D682" s="77" t="s">
        <v>409</v>
      </c>
      <c r="E682" s="129">
        <f t="shared" si="101"/>
        <v>33239094.227299996</v>
      </c>
      <c r="F682" s="44">
        <v>3347005.1922762003</v>
      </c>
      <c r="G682" s="44">
        <v>2036602.79352348</v>
      </c>
      <c r="H682" s="44">
        <v>959676.47271510004</v>
      </c>
      <c r="I682" s="44">
        <v>817834.93398936011</v>
      </c>
      <c r="J682" s="44">
        <v>0</v>
      </c>
      <c r="K682" s="44"/>
      <c r="L682" s="44">
        <v>317258.01868739998</v>
      </c>
      <c r="M682" s="44">
        <v>0</v>
      </c>
      <c r="N682" s="44">
        <v>9682310.3290956002</v>
      </c>
      <c r="O682" s="44">
        <v>0</v>
      </c>
      <c r="P682" s="44">
        <v>7916887.847777158</v>
      </c>
      <c r="Q682" s="44">
        <v>7450202.0227714796</v>
      </c>
      <c r="R682" s="44"/>
      <c r="S682" s="68"/>
      <c r="T682" s="136">
        <v>711316.6164642201</v>
      </c>
      <c r="U682" s="24">
        <f t="shared" si="102"/>
        <v>8</v>
      </c>
    </row>
    <row r="683" spans="1:21" x14ac:dyDescent="0.25">
      <c r="A683" s="135">
        <f t="shared" si="103"/>
        <v>665</v>
      </c>
      <c r="B683" s="134">
        <f t="shared" si="104"/>
        <v>203</v>
      </c>
      <c r="C683" s="77" t="s">
        <v>47</v>
      </c>
      <c r="D683" s="77" t="s">
        <v>410</v>
      </c>
      <c r="E683" s="129">
        <f t="shared" si="101"/>
        <v>5128955.3972830009</v>
      </c>
      <c r="F683" s="44">
        <v>3459603.0948952204</v>
      </c>
      <c r="G683" s="44"/>
      <c r="H683" s="44">
        <v>1437441.799164</v>
      </c>
      <c r="I683" s="44"/>
      <c r="J683" s="44">
        <v>0</v>
      </c>
      <c r="K683" s="44"/>
      <c r="L683" s="44">
        <v>124822.049583</v>
      </c>
      <c r="M683" s="44">
        <v>0</v>
      </c>
      <c r="N683" s="44"/>
      <c r="O683" s="44"/>
      <c r="P683" s="44"/>
      <c r="Q683" s="44"/>
      <c r="R683" s="44"/>
      <c r="S683" s="68"/>
      <c r="T683" s="136">
        <v>107088.45364078002</v>
      </c>
      <c r="U683" s="24">
        <f t="shared" si="102"/>
        <v>3</v>
      </c>
    </row>
    <row r="684" spans="1:21" x14ac:dyDescent="0.25">
      <c r="A684" s="135">
        <f t="shared" si="103"/>
        <v>666</v>
      </c>
      <c r="B684" s="134">
        <f t="shared" si="104"/>
        <v>204</v>
      </c>
      <c r="C684" s="77" t="s">
        <v>47</v>
      </c>
      <c r="D684" s="77" t="s">
        <v>411</v>
      </c>
      <c r="E684" s="129">
        <f t="shared" si="101"/>
        <v>9473346.4440000001</v>
      </c>
      <c r="F684" s="44">
        <v>2602991.9676180002</v>
      </c>
      <c r="G684" s="44">
        <v>0</v>
      </c>
      <c r="H684" s="44">
        <v>753234.37967399997</v>
      </c>
      <c r="I684" s="44"/>
      <c r="J684" s="44">
        <v>0</v>
      </c>
      <c r="K684" s="44"/>
      <c r="L684" s="44">
        <v>227878.8628032</v>
      </c>
      <c r="M684" s="44">
        <v>0</v>
      </c>
      <c r="N684" s="44"/>
      <c r="O684" s="44">
        <v>0</v>
      </c>
      <c r="P684" s="44">
        <v>5686511.6200032001</v>
      </c>
      <c r="Q684" s="44"/>
      <c r="R684" s="44"/>
      <c r="S684" s="68"/>
      <c r="T684" s="136">
        <v>202729.61390160001</v>
      </c>
      <c r="U684" s="24">
        <f t="shared" si="102"/>
        <v>4</v>
      </c>
    </row>
    <row r="685" spans="1:21" x14ac:dyDescent="0.25">
      <c r="A685" s="135">
        <f t="shared" si="103"/>
        <v>667</v>
      </c>
      <c r="B685" s="134">
        <f t="shared" si="104"/>
        <v>205</v>
      </c>
      <c r="C685" s="77" t="s">
        <v>47</v>
      </c>
      <c r="D685" s="77" t="s">
        <v>412</v>
      </c>
      <c r="E685" s="129">
        <f t="shared" si="101"/>
        <v>18198573.6325</v>
      </c>
      <c r="F685" s="44">
        <v>3621078.2721119998</v>
      </c>
      <c r="G685" s="44">
        <v>1205189.5738415401</v>
      </c>
      <c r="H685" s="44">
        <v>1387071.4761120002</v>
      </c>
      <c r="I685" s="44">
        <v>876899.75830800005</v>
      </c>
      <c r="J685" s="44">
        <v>0</v>
      </c>
      <c r="K685" s="44"/>
      <c r="L685" s="44">
        <v>120530.94592896002</v>
      </c>
      <c r="M685" s="44">
        <v>0</v>
      </c>
      <c r="N685" s="44">
        <v>6781012.0992600005</v>
      </c>
      <c r="O685" s="44">
        <v>0</v>
      </c>
      <c r="P685" s="44">
        <v>0</v>
      </c>
      <c r="Q685" s="44">
        <v>3817342.0312019996</v>
      </c>
      <c r="R685" s="44"/>
      <c r="S685" s="68"/>
      <c r="T685" s="136">
        <v>389449.47573549999</v>
      </c>
      <c r="U685" s="24">
        <f t="shared" si="102"/>
        <v>7</v>
      </c>
    </row>
    <row r="686" spans="1:21" x14ac:dyDescent="0.25">
      <c r="A686" s="135">
        <f t="shared" si="103"/>
        <v>668</v>
      </c>
      <c r="B686" s="134">
        <f t="shared" si="104"/>
        <v>206</v>
      </c>
      <c r="C686" s="77" t="s">
        <v>47</v>
      </c>
      <c r="D686" s="77" t="s">
        <v>485</v>
      </c>
      <c r="E686" s="129">
        <f t="shared" si="101"/>
        <v>18481458.828001961</v>
      </c>
      <c r="F686" s="44">
        <v>3661472.2518719994</v>
      </c>
      <c r="G686" s="44">
        <v>1317876.0443460001</v>
      </c>
      <c r="H686" s="44">
        <v>1401977.6916540002</v>
      </c>
      <c r="I686" s="44">
        <v>886159.65735600004</v>
      </c>
      <c r="J686" s="44">
        <v>0</v>
      </c>
      <c r="K686" s="44"/>
      <c r="L686" s="44">
        <v>124380.97009799999</v>
      </c>
      <c r="M686" s="44">
        <v>0</v>
      </c>
      <c r="N686" s="44">
        <v>6856026.5788080012</v>
      </c>
      <c r="O686" s="44"/>
      <c r="P686" s="44"/>
      <c r="Q686" s="44">
        <v>3838143.5148840002</v>
      </c>
      <c r="R686" s="44"/>
      <c r="S686" s="44"/>
      <c r="T686" s="136">
        <v>395422.11898395995</v>
      </c>
      <c r="U686" s="24">
        <f t="shared" si="102"/>
        <v>7</v>
      </c>
    </row>
    <row r="687" spans="1:21" x14ac:dyDescent="0.25">
      <c r="A687" s="135">
        <f t="shared" si="103"/>
        <v>669</v>
      </c>
      <c r="B687" s="134">
        <f t="shared" si="104"/>
        <v>207</v>
      </c>
      <c r="C687" s="77" t="s">
        <v>47</v>
      </c>
      <c r="D687" s="77" t="s">
        <v>486</v>
      </c>
      <c r="E687" s="129">
        <f t="shared" si="101"/>
        <v>52108784.005023412</v>
      </c>
      <c r="F687" s="44">
        <v>10289258.887333037</v>
      </c>
      <c r="G687" s="44">
        <v>3743163.2397435009</v>
      </c>
      <c r="H687" s="44">
        <v>3946494.7367781834</v>
      </c>
      <c r="I687" s="44">
        <v>2525483.2241929346</v>
      </c>
      <c r="J687" s="44">
        <v>0</v>
      </c>
      <c r="K687" s="44"/>
      <c r="L687" s="44">
        <v>347129.27930819179</v>
      </c>
      <c r="M687" s="44">
        <v>0</v>
      </c>
      <c r="N687" s="44">
        <v>19311208.02055205</v>
      </c>
      <c r="O687" s="44">
        <v>0</v>
      </c>
      <c r="P687" s="44"/>
      <c r="Q687" s="44">
        <v>10831087.386440508</v>
      </c>
      <c r="R687" s="44"/>
      <c r="S687" s="44"/>
      <c r="T687" s="136">
        <v>1114959.2306750074</v>
      </c>
      <c r="U687" s="24">
        <f t="shared" si="102"/>
        <v>7</v>
      </c>
    </row>
    <row r="688" spans="1:21" x14ac:dyDescent="0.25">
      <c r="A688" s="135">
        <f t="shared" si="103"/>
        <v>670</v>
      </c>
      <c r="B688" s="134">
        <f t="shared" si="104"/>
        <v>208</v>
      </c>
      <c r="C688" s="77" t="s">
        <v>47</v>
      </c>
      <c r="D688" s="77" t="s">
        <v>487</v>
      </c>
      <c r="E688" s="129">
        <f t="shared" si="101"/>
        <v>53282617.340654321</v>
      </c>
      <c r="F688" s="44">
        <v>10537075.366258001</v>
      </c>
      <c r="G688" s="44">
        <v>3835013.4758320004</v>
      </c>
      <c r="H688" s="44">
        <v>4042843.3866100004</v>
      </c>
      <c r="I688" s="44">
        <v>2587058.6111860005</v>
      </c>
      <c r="J688" s="44">
        <v>0</v>
      </c>
      <c r="K688" s="44"/>
      <c r="L688" s="44">
        <v>355628.19171599997</v>
      </c>
      <c r="M688" s="44">
        <v>0</v>
      </c>
      <c r="N688" s="44">
        <v>19695633.831831999</v>
      </c>
      <c r="O688" s="44"/>
      <c r="P688" s="44"/>
      <c r="Q688" s="44">
        <v>11089164.4332</v>
      </c>
      <c r="R688" s="44"/>
      <c r="S688" s="44"/>
      <c r="T688" s="136">
        <v>1140200.0440203198</v>
      </c>
      <c r="U688" s="24">
        <f t="shared" si="102"/>
        <v>7</v>
      </c>
    </row>
    <row r="689" spans="1:21" x14ac:dyDescent="0.25">
      <c r="A689" s="135">
        <f t="shared" si="103"/>
        <v>671</v>
      </c>
      <c r="B689" s="134">
        <f t="shared" si="104"/>
        <v>209</v>
      </c>
      <c r="C689" s="77" t="s">
        <v>47</v>
      </c>
      <c r="D689" s="77" t="s">
        <v>488</v>
      </c>
      <c r="E689" s="129">
        <f t="shared" si="101"/>
        <v>19313313.5727886</v>
      </c>
      <c r="F689" s="44">
        <v>3823646.7931139995</v>
      </c>
      <c r="G689" s="44">
        <v>1377432.691104</v>
      </c>
      <c r="H689" s="44">
        <v>1464223.795434</v>
      </c>
      <c r="I689" s="44">
        <v>926339.45652600005</v>
      </c>
      <c r="J689" s="44">
        <v>0</v>
      </c>
      <c r="K689" s="44"/>
      <c r="L689" s="44">
        <v>129828.30785400001</v>
      </c>
      <c r="M689" s="44">
        <v>0</v>
      </c>
      <c r="N689" s="44">
        <v>7205871.6359640006</v>
      </c>
      <c r="O689" s="44"/>
      <c r="P689" s="44"/>
      <c r="Q689" s="44">
        <v>4008332.672693999</v>
      </c>
      <c r="R689" s="44"/>
      <c r="S689" s="44"/>
      <c r="T689" s="136">
        <v>377638.22009860002</v>
      </c>
      <c r="U689" s="24">
        <f t="shared" si="102"/>
        <v>7</v>
      </c>
    </row>
    <row r="690" spans="1:21" x14ac:dyDescent="0.25">
      <c r="A690" s="135">
        <f t="shared" si="103"/>
        <v>672</v>
      </c>
      <c r="B690" s="134">
        <f t="shared" si="104"/>
        <v>210</v>
      </c>
      <c r="C690" s="77" t="s">
        <v>47</v>
      </c>
      <c r="D690" s="77" t="s">
        <v>489</v>
      </c>
      <c r="E690" s="129">
        <f t="shared" si="101"/>
        <v>46230178.072141834</v>
      </c>
      <c r="F690" s="44">
        <v>9150018.9223740008</v>
      </c>
      <c r="G690" s="44">
        <v>3322771.2370799994</v>
      </c>
      <c r="H690" s="44">
        <v>3507760.1149860001</v>
      </c>
      <c r="I690" s="44">
        <v>2240831.5174499997</v>
      </c>
      <c r="J690" s="44">
        <v>0</v>
      </c>
      <c r="K690" s="44"/>
      <c r="L690" s="44">
        <v>308956.957092</v>
      </c>
      <c r="M690" s="44">
        <v>0</v>
      </c>
      <c r="N690" s="44">
        <v>17090431.012025997</v>
      </c>
      <c r="O690" s="44"/>
      <c r="P690" s="44"/>
      <c r="Q690" s="44">
        <v>9620247.9809520002</v>
      </c>
      <c r="R690" s="44"/>
      <c r="S690" s="44"/>
      <c r="T690" s="136">
        <v>989160.33018183988</v>
      </c>
      <c r="U690" s="24">
        <f t="shared" si="102"/>
        <v>7</v>
      </c>
    </row>
    <row r="691" spans="1:21" x14ac:dyDescent="0.25">
      <c r="A691" s="135">
        <f t="shared" si="103"/>
        <v>673</v>
      </c>
      <c r="B691" s="134">
        <f t="shared" si="104"/>
        <v>211</v>
      </c>
      <c r="C691" s="77" t="s">
        <v>47</v>
      </c>
      <c r="D691" s="77" t="s">
        <v>490</v>
      </c>
      <c r="E691" s="129">
        <f t="shared" si="101"/>
        <v>18372220.31548094</v>
      </c>
      <c r="F691" s="44">
        <v>3639720.4511280004</v>
      </c>
      <c r="G691" s="44">
        <v>1310198.586234</v>
      </c>
      <c r="H691" s="44">
        <v>1393886.8533300001</v>
      </c>
      <c r="I691" s="44">
        <v>881139.78326399997</v>
      </c>
      <c r="J691" s="44">
        <v>0</v>
      </c>
      <c r="K691" s="44"/>
      <c r="L691" s="44">
        <v>123633.848142</v>
      </c>
      <c r="M691" s="44">
        <v>0</v>
      </c>
      <c r="N691" s="44">
        <v>6816774.9733499996</v>
      </c>
      <c r="O691" s="44"/>
      <c r="P691" s="44"/>
      <c r="Q691" s="44">
        <v>3815904.5950200004</v>
      </c>
      <c r="R691" s="44"/>
      <c r="S691" s="44"/>
      <c r="T691" s="136">
        <v>390961.22501294001</v>
      </c>
      <c r="U691" s="24">
        <f t="shared" si="102"/>
        <v>7</v>
      </c>
    </row>
    <row r="692" spans="1:21" x14ac:dyDescent="0.25">
      <c r="A692" s="135">
        <f t="shared" si="103"/>
        <v>674</v>
      </c>
      <c r="B692" s="134">
        <f t="shared" si="104"/>
        <v>212</v>
      </c>
      <c r="C692" s="77" t="s">
        <v>50</v>
      </c>
      <c r="D692" s="77" t="s">
        <v>244</v>
      </c>
      <c r="E692" s="129">
        <f t="shared" si="101"/>
        <v>23076397.004355598</v>
      </c>
      <c r="F692" s="44">
        <v>10992944.493307142</v>
      </c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>
        <v>11581851.384142619</v>
      </c>
      <c r="R692" s="44"/>
      <c r="S692" s="68"/>
      <c r="T692" s="136">
        <v>501601.12690584006</v>
      </c>
      <c r="U692" s="24">
        <f t="shared" si="102"/>
        <v>2</v>
      </c>
    </row>
    <row r="693" spans="1:21" x14ac:dyDescent="0.25">
      <c r="A693" s="135">
        <f t="shared" si="103"/>
        <v>675</v>
      </c>
      <c r="B693" s="134">
        <f t="shared" si="104"/>
        <v>213</v>
      </c>
      <c r="C693" s="77" t="s">
        <v>50</v>
      </c>
      <c r="D693" s="77" t="s">
        <v>413</v>
      </c>
      <c r="E693" s="129">
        <f t="shared" si="101"/>
        <v>5271181.1505000005</v>
      </c>
      <c r="F693" s="44"/>
      <c r="G693" s="44"/>
      <c r="H693" s="44"/>
      <c r="I693" s="44"/>
      <c r="J693" s="44">
        <v>0</v>
      </c>
      <c r="K693" s="44"/>
      <c r="L693" s="44"/>
      <c r="M693" s="44">
        <v>0</v>
      </c>
      <c r="N693" s="44"/>
      <c r="O693" s="44">
        <v>0</v>
      </c>
      <c r="P693" s="44"/>
      <c r="Q693" s="44">
        <v>5158377.8738793004</v>
      </c>
      <c r="R693" s="44"/>
      <c r="S693" s="68"/>
      <c r="T693" s="136">
        <v>112803.27662070002</v>
      </c>
      <c r="U693" s="24">
        <f t="shared" si="102"/>
        <v>1</v>
      </c>
    </row>
    <row r="694" spans="1:21" x14ac:dyDescent="0.25">
      <c r="A694" s="135">
        <f t="shared" si="103"/>
        <v>676</v>
      </c>
      <c r="B694" s="134">
        <f t="shared" si="104"/>
        <v>214</v>
      </c>
      <c r="C694" s="77"/>
      <c r="D694" s="77" t="s">
        <v>698</v>
      </c>
      <c r="E694" s="129">
        <f t="shared" si="101"/>
        <v>7182720</v>
      </c>
      <c r="F694" s="44"/>
      <c r="G694" s="44"/>
      <c r="H694" s="44"/>
      <c r="I694" s="44"/>
      <c r="J694" s="44"/>
      <c r="K694" s="44"/>
      <c r="L694" s="44"/>
      <c r="M694" s="44">
        <f>7182720-R694-S694-T694</f>
        <v>6903600.9078471232</v>
      </c>
      <c r="N694" s="44"/>
      <c r="O694" s="44"/>
      <c r="P694" s="44"/>
      <c r="Q694" s="44"/>
      <c r="R694" s="44">
        <v>104919.11907839999</v>
      </c>
      <c r="S694" s="68">
        <v>24000</v>
      </c>
      <c r="T694" s="136">
        <v>150199.97307447705</v>
      </c>
      <c r="U694" s="24">
        <f t="shared" si="102"/>
        <v>1</v>
      </c>
    </row>
    <row r="695" spans="1:21" x14ac:dyDescent="0.25">
      <c r="A695" s="135">
        <f t="shared" si="103"/>
        <v>677</v>
      </c>
      <c r="B695" s="134">
        <f t="shared" si="104"/>
        <v>215</v>
      </c>
      <c r="C695" s="77"/>
      <c r="D695" s="77" t="s">
        <v>246</v>
      </c>
      <c r="E695" s="129">
        <f t="shared" si="101"/>
        <v>7182720</v>
      </c>
      <c r="F695" s="44"/>
      <c r="G695" s="44"/>
      <c r="H695" s="44"/>
      <c r="I695" s="44"/>
      <c r="J695" s="44"/>
      <c r="K695" s="44"/>
      <c r="L695" s="44"/>
      <c r="M695" s="44">
        <v>6868490.3575085625</v>
      </c>
      <c r="N695" s="44"/>
      <c r="O695" s="44"/>
      <c r="P695" s="44"/>
      <c r="Q695" s="44"/>
      <c r="R695" s="44">
        <v>140029.66941696001</v>
      </c>
      <c r="S695" s="68">
        <v>24000</v>
      </c>
      <c r="T695" s="136">
        <v>150199.97307447705</v>
      </c>
      <c r="U695" s="24">
        <f t="shared" si="102"/>
        <v>1</v>
      </c>
    </row>
    <row r="696" spans="1:21" x14ac:dyDescent="0.25">
      <c r="A696" s="135">
        <f t="shared" si="103"/>
        <v>678</v>
      </c>
      <c r="B696" s="134">
        <f t="shared" si="104"/>
        <v>216</v>
      </c>
      <c r="C696" s="77" t="s">
        <v>50</v>
      </c>
      <c r="D696" s="77" t="s">
        <v>245</v>
      </c>
      <c r="E696" s="129">
        <f t="shared" ref="E696" si="105">SUBTOTAL(9,F696:T696)</f>
        <v>141844165.87275687</v>
      </c>
      <c r="F696" s="44">
        <v>19995076.98376888</v>
      </c>
      <c r="G696" s="44">
        <v>14063497.518532902</v>
      </c>
      <c r="H696" s="44">
        <v>8382937.8851902802</v>
      </c>
      <c r="I696" s="44">
        <v>7936918.6642275155</v>
      </c>
      <c r="J696" s="44">
        <v>0</v>
      </c>
      <c r="K696" s="44"/>
      <c r="L696" s="44">
        <v>890798.91763439786</v>
      </c>
      <c r="M696" s="44">
        <v>0</v>
      </c>
      <c r="N696" s="44">
        <v>0</v>
      </c>
      <c r="O696" s="44">
        <v>0</v>
      </c>
      <c r="P696" s="44">
        <v>87539470.753725901</v>
      </c>
      <c r="Q696" s="44">
        <v>0</v>
      </c>
      <c r="R696" s="44"/>
      <c r="S696" s="68"/>
      <c r="T696" s="136">
        <v>3035465.1496769972</v>
      </c>
      <c r="U696" s="24">
        <f t="shared" ref="U696" si="106">COUNTIF(F696:Q696,"&gt;0")</f>
        <v>6</v>
      </c>
    </row>
    <row r="697" spans="1:21" x14ac:dyDescent="0.25">
      <c r="A697" s="135">
        <f t="shared" si="103"/>
        <v>679</v>
      </c>
      <c r="B697" s="134">
        <f t="shared" si="104"/>
        <v>217</v>
      </c>
      <c r="C697" s="77" t="s">
        <v>50</v>
      </c>
      <c r="D697" s="77" t="s">
        <v>492</v>
      </c>
      <c r="E697" s="129">
        <f t="shared" si="101"/>
        <v>2305199.3400000003</v>
      </c>
      <c r="F697" s="44">
        <v>0</v>
      </c>
      <c r="G697" s="44">
        <v>0</v>
      </c>
      <c r="H697" s="44">
        <v>0</v>
      </c>
      <c r="I697" s="44">
        <v>0</v>
      </c>
      <c r="J697" s="44">
        <v>0</v>
      </c>
      <c r="K697" s="44"/>
      <c r="L697" s="44"/>
      <c r="M697" s="44">
        <v>0</v>
      </c>
      <c r="N697" s="44">
        <v>2255868.0741240005</v>
      </c>
      <c r="O697" s="44">
        <v>0</v>
      </c>
      <c r="P697" s="44">
        <v>0</v>
      </c>
      <c r="Q697" s="44">
        <v>0</v>
      </c>
      <c r="R697" s="44"/>
      <c r="S697" s="68"/>
      <c r="T697" s="136">
        <v>49331.265876000012</v>
      </c>
      <c r="U697" s="24">
        <f t="shared" si="102"/>
        <v>1</v>
      </c>
    </row>
    <row r="698" spans="1:21" x14ac:dyDescent="0.25">
      <c r="A698" s="135">
        <f t="shared" si="103"/>
        <v>680</v>
      </c>
      <c r="B698" s="134">
        <f t="shared" si="104"/>
        <v>218</v>
      </c>
      <c r="C698" s="77" t="s">
        <v>50</v>
      </c>
      <c r="D698" s="77" t="s">
        <v>494</v>
      </c>
      <c r="E698" s="129">
        <f t="shared" si="101"/>
        <v>22037286.195506003</v>
      </c>
      <c r="F698" s="44">
        <v>7338416.0047800001</v>
      </c>
      <c r="G698" s="44"/>
      <c r="H698" s="44"/>
      <c r="I698" s="44"/>
      <c r="J698" s="44">
        <v>0</v>
      </c>
      <c r="K698" s="44"/>
      <c r="L698" s="44">
        <v>222240.79473288002</v>
      </c>
      <c r="M698" s="44">
        <v>0</v>
      </c>
      <c r="N698" s="44">
        <v>14005782.708666001</v>
      </c>
      <c r="O698" s="44">
        <v>0</v>
      </c>
      <c r="P698" s="44">
        <v>0</v>
      </c>
      <c r="Q698" s="44">
        <v>0</v>
      </c>
      <c r="R698" s="44"/>
      <c r="S698" s="68"/>
      <c r="T698" s="136">
        <v>470846.6873271201</v>
      </c>
      <c r="U698" s="24">
        <f t="shared" si="102"/>
        <v>3</v>
      </c>
    </row>
    <row r="699" spans="1:21" x14ac:dyDescent="0.25">
      <c r="A699" s="135">
        <f t="shared" si="103"/>
        <v>681</v>
      </c>
      <c r="B699" s="134">
        <f t="shared" si="104"/>
        <v>219</v>
      </c>
      <c r="C699" s="77" t="s">
        <v>50</v>
      </c>
      <c r="D699" s="77" t="s">
        <v>496</v>
      </c>
      <c r="E699" s="129">
        <f t="shared" si="101"/>
        <v>30938743.942612</v>
      </c>
      <c r="F699" s="44">
        <v>6541685.2820339995</v>
      </c>
      <c r="G699" s="44">
        <v>4051261.6039140001</v>
      </c>
      <c r="H699" s="44"/>
      <c r="I699" s="44"/>
      <c r="J699" s="44">
        <v>0</v>
      </c>
      <c r="K699" s="44"/>
      <c r="L699" s="44">
        <v>511593.88939176005</v>
      </c>
      <c r="M699" s="44">
        <v>0</v>
      </c>
      <c r="N699" s="44">
        <v>19172709.856734</v>
      </c>
      <c r="O699" s="44">
        <v>0</v>
      </c>
      <c r="P699" s="44">
        <v>0</v>
      </c>
      <c r="Q699" s="44">
        <v>0</v>
      </c>
      <c r="R699" s="44"/>
      <c r="S699" s="68"/>
      <c r="T699" s="136">
        <v>661493.31053824001</v>
      </c>
      <c r="U699" s="24">
        <f t="shared" si="102"/>
        <v>4</v>
      </c>
    </row>
    <row r="700" spans="1:21" x14ac:dyDescent="0.25">
      <c r="A700" s="135">
        <f t="shared" si="103"/>
        <v>682</v>
      </c>
      <c r="B700" s="134">
        <f t="shared" si="104"/>
        <v>220</v>
      </c>
      <c r="C700" s="77" t="s">
        <v>50</v>
      </c>
      <c r="D700" s="77" t="s">
        <v>497</v>
      </c>
      <c r="E700" s="129">
        <f t="shared" si="101"/>
        <v>11150428.548839999</v>
      </c>
      <c r="F700" s="44">
        <v>3724324.4375819997</v>
      </c>
      <c r="G700" s="44"/>
      <c r="H700" s="44"/>
      <c r="I700" s="44"/>
      <c r="J700" s="44">
        <v>0</v>
      </c>
      <c r="K700" s="44"/>
      <c r="L700" s="44">
        <v>113301.62983020001</v>
      </c>
      <c r="M700" s="44">
        <v>0</v>
      </c>
      <c r="N700" s="44">
        <v>7074795.119616</v>
      </c>
      <c r="O700" s="44">
        <v>0</v>
      </c>
      <c r="P700" s="44">
        <v>0</v>
      </c>
      <c r="Q700" s="44">
        <v>0</v>
      </c>
      <c r="R700" s="44"/>
      <c r="S700" s="68"/>
      <c r="T700" s="136">
        <v>238007.36181180002</v>
      </c>
      <c r="U700" s="24">
        <f t="shared" si="102"/>
        <v>3</v>
      </c>
    </row>
    <row r="701" spans="1:21" x14ac:dyDescent="0.25">
      <c r="A701" s="135">
        <f t="shared" si="103"/>
        <v>683</v>
      </c>
      <c r="B701" s="134">
        <f t="shared" si="104"/>
        <v>221</v>
      </c>
      <c r="C701" s="77" t="s">
        <v>50</v>
      </c>
      <c r="D701" s="77" t="s">
        <v>498</v>
      </c>
      <c r="E701" s="129">
        <f t="shared" si="101"/>
        <v>11026809.225987999</v>
      </c>
      <c r="F701" s="44">
        <v>6357413.6689979993</v>
      </c>
      <c r="G701" s="44">
        <v>3936738.962142</v>
      </c>
      <c r="H701" s="44"/>
      <c r="I701" s="44"/>
      <c r="J701" s="44">
        <v>0</v>
      </c>
      <c r="K701" s="44"/>
      <c r="L701" s="44">
        <v>497262.94218215998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/>
      <c r="S701" s="68"/>
      <c r="T701" s="136">
        <v>235393.65266584005</v>
      </c>
      <c r="U701" s="24">
        <f t="shared" si="102"/>
        <v>3</v>
      </c>
    </row>
    <row r="702" spans="1:21" x14ac:dyDescent="0.25">
      <c r="A702" s="135">
        <f t="shared" si="103"/>
        <v>684</v>
      </c>
      <c r="B702" s="134">
        <f t="shared" si="104"/>
        <v>222</v>
      </c>
      <c r="C702" s="77"/>
      <c r="D702" s="77" t="s">
        <v>673</v>
      </c>
      <c r="E702" s="129">
        <f t="shared" si="101"/>
        <v>21548160</v>
      </c>
      <c r="F702" s="44"/>
      <c r="G702" s="44"/>
      <c r="H702" s="44"/>
      <c r="I702" s="44"/>
      <c r="J702" s="44"/>
      <c r="K702" s="44"/>
      <c r="L702" s="44"/>
      <c r="M702" s="44">
        <v>20805246.184281066</v>
      </c>
      <c r="N702" s="44"/>
      <c r="O702" s="44"/>
      <c r="P702" s="44"/>
      <c r="Q702" s="44"/>
      <c r="R702" s="44">
        <v>263945.2194144</v>
      </c>
      <c r="S702" s="68">
        <v>24000</v>
      </c>
      <c r="T702" s="136">
        <v>454968.59630453185</v>
      </c>
      <c r="U702" s="24">
        <f t="shared" si="102"/>
        <v>1</v>
      </c>
    </row>
    <row r="703" spans="1:21" x14ac:dyDescent="0.25">
      <c r="A703" s="135">
        <f t="shared" si="103"/>
        <v>685</v>
      </c>
      <c r="B703" s="134">
        <f t="shared" si="104"/>
        <v>223</v>
      </c>
      <c r="C703" s="77" t="s">
        <v>50</v>
      </c>
      <c r="D703" s="77" t="s">
        <v>499</v>
      </c>
      <c r="E703" s="129">
        <f t="shared" si="101"/>
        <v>4064823.6560380002</v>
      </c>
      <c r="F703" s="44">
        <v>3860931.116196</v>
      </c>
      <c r="G703" s="44"/>
      <c r="H703" s="44"/>
      <c r="I703" s="44"/>
      <c r="J703" s="44">
        <v>0</v>
      </c>
      <c r="K703" s="44"/>
      <c r="L703" s="44">
        <v>117503.58224136</v>
      </c>
      <c r="M703" s="44">
        <v>0</v>
      </c>
      <c r="N703" s="44">
        <v>0</v>
      </c>
      <c r="O703" s="44">
        <v>0</v>
      </c>
      <c r="P703" s="44">
        <v>0</v>
      </c>
      <c r="Q703" s="44">
        <v>0</v>
      </c>
      <c r="R703" s="44"/>
      <c r="S703" s="68"/>
      <c r="T703" s="136">
        <v>86388.957600640002</v>
      </c>
      <c r="U703" s="24">
        <f t="shared" si="102"/>
        <v>2</v>
      </c>
    </row>
    <row r="704" spans="1:21" x14ac:dyDescent="0.25">
      <c r="A704" s="135">
        <f t="shared" si="103"/>
        <v>686</v>
      </c>
      <c r="B704" s="134">
        <f t="shared" si="104"/>
        <v>224</v>
      </c>
      <c r="C704" s="77" t="s">
        <v>50</v>
      </c>
      <c r="D704" s="77" t="s">
        <v>501</v>
      </c>
      <c r="E704" s="129">
        <f t="shared" si="101"/>
        <v>11763667.369848</v>
      </c>
      <c r="F704" s="44">
        <v>3907411.9739759997</v>
      </c>
      <c r="G704" s="44"/>
      <c r="H704" s="44"/>
      <c r="I704" s="44"/>
      <c r="J704" s="44">
        <v>0</v>
      </c>
      <c r="K704" s="44"/>
      <c r="L704" s="44">
        <v>118919.97069456</v>
      </c>
      <c r="M704" s="44">
        <v>0</v>
      </c>
      <c r="N704" s="44">
        <v>7486206.9364320002</v>
      </c>
      <c r="O704" s="44">
        <v>0</v>
      </c>
      <c r="P704" s="44">
        <v>0</v>
      </c>
      <c r="Q704" s="44">
        <v>0</v>
      </c>
      <c r="R704" s="44"/>
      <c r="S704" s="68"/>
      <c r="T704" s="136">
        <v>251128.48874544003</v>
      </c>
      <c r="U704" s="24">
        <f t="shared" si="102"/>
        <v>3</v>
      </c>
    </row>
    <row r="705" spans="1:21" x14ac:dyDescent="0.25">
      <c r="A705" s="135">
        <f t="shared" si="103"/>
        <v>687</v>
      </c>
      <c r="B705" s="134">
        <f t="shared" si="104"/>
        <v>225</v>
      </c>
      <c r="C705" s="77" t="s">
        <v>50</v>
      </c>
      <c r="D705" s="77" t="s">
        <v>502</v>
      </c>
      <c r="E705" s="129">
        <f t="shared" si="101"/>
        <v>3984511.2353214002</v>
      </c>
      <c r="F705" s="44">
        <v>3897320.435484</v>
      </c>
      <c r="G705" s="44"/>
      <c r="H705" s="44"/>
      <c r="I705" s="44"/>
      <c r="J705" s="44">
        <v>0</v>
      </c>
      <c r="K705" s="44"/>
      <c r="L705" s="44"/>
      <c r="M705" s="44">
        <v>0</v>
      </c>
      <c r="N705" s="44"/>
      <c r="O705" s="44">
        <v>0</v>
      </c>
      <c r="P705" s="44">
        <v>0</v>
      </c>
      <c r="Q705" s="44">
        <v>0</v>
      </c>
      <c r="R705" s="44"/>
      <c r="S705" s="68"/>
      <c r="T705" s="136">
        <v>87190.799837400002</v>
      </c>
      <c r="U705" s="24">
        <f t="shared" si="102"/>
        <v>1</v>
      </c>
    </row>
    <row r="706" spans="1:21" x14ac:dyDescent="0.25">
      <c r="A706" s="135">
        <f t="shared" si="103"/>
        <v>688</v>
      </c>
      <c r="B706" s="134">
        <f t="shared" si="104"/>
        <v>226</v>
      </c>
      <c r="C706" s="77" t="s">
        <v>50</v>
      </c>
      <c r="D706" s="77" t="s">
        <v>503</v>
      </c>
      <c r="E706" s="129">
        <f t="shared" si="101"/>
        <v>16319133.116</v>
      </c>
      <c r="F706" s="44">
        <v>4903713.1158539997</v>
      </c>
      <c r="G706" s="44">
        <v>3409820.697402</v>
      </c>
      <c r="H706" s="44">
        <v>0</v>
      </c>
      <c r="I706" s="44">
        <v>1911644.1932280001</v>
      </c>
      <c r="J706" s="44">
        <v>0</v>
      </c>
      <c r="K706" s="44"/>
      <c r="L706" s="44">
        <v>218511.8445216</v>
      </c>
      <c r="M706" s="44">
        <v>0</v>
      </c>
      <c r="N706" s="44"/>
      <c r="O706" s="44"/>
      <c r="P706" s="44"/>
      <c r="Q706" s="44">
        <v>5526213.8163120002</v>
      </c>
      <c r="R706" s="44"/>
      <c r="S706" s="68"/>
      <c r="T706" s="136">
        <v>349229.44868240005</v>
      </c>
      <c r="U706" s="24">
        <f t="shared" si="102"/>
        <v>5</v>
      </c>
    </row>
    <row r="707" spans="1:21" x14ac:dyDescent="0.25">
      <c r="A707" s="135">
        <f t="shared" si="103"/>
        <v>689</v>
      </c>
      <c r="B707" s="134">
        <f t="shared" si="104"/>
        <v>227</v>
      </c>
      <c r="C707" s="77" t="s">
        <v>50</v>
      </c>
      <c r="D707" s="77" t="s">
        <v>506</v>
      </c>
      <c r="E707" s="129">
        <f t="shared" si="101"/>
        <v>9116126.8326507602</v>
      </c>
      <c r="F707" s="44">
        <v>6199194.5115240002</v>
      </c>
      <c r="G707" s="44">
        <v>2285392.4459100002</v>
      </c>
      <c r="H707" s="44"/>
      <c r="I707" s="44"/>
      <c r="J707" s="44">
        <v>0</v>
      </c>
      <c r="K707" s="44"/>
      <c r="L707" s="44">
        <v>187860.32184275999</v>
      </c>
      <c r="M707" s="44">
        <v>0</v>
      </c>
      <c r="N707" s="44"/>
      <c r="O707" s="44">
        <v>0</v>
      </c>
      <c r="P707" s="44">
        <v>0</v>
      </c>
      <c r="Q707" s="44">
        <v>0</v>
      </c>
      <c r="R707" s="44"/>
      <c r="S707" s="68"/>
      <c r="T707" s="136">
        <v>443679.55337399995</v>
      </c>
      <c r="U707" s="24">
        <f t="shared" si="102"/>
        <v>3</v>
      </c>
    </row>
    <row r="708" spans="1:21" x14ac:dyDescent="0.25">
      <c r="A708" s="135">
        <f t="shared" si="103"/>
        <v>690</v>
      </c>
      <c r="B708" s="134">
        <f t="shared" si="104"/>
        <v>228</v>
      </c>
      <c r="C708" s="77" t="s">
        <v>50</v>
      </c>
      <c r="D708" s="77" t="s">
        <v>507</v>
      </c>
      <c r="E708" s="129">
        <f t="shared" si="101"/>
        <v>4191335.3761740001</v>
      </c>
      <c r="F708" s="44">
        <v>3982032.6019740002</v>
      </c>
      <c r="G708" s="44"/>
      <c r="H708" s="44"/>
      <c r="I708" s="44"/>
      <c r="J708" s="44">
        <v>0</v>
      </c>
      <c r="K708" s="44"/>
      <c r="L708" s="44">
        <v>121162.59054059999</v>
      </c>
      <c r="M708" s="44">
        <v>0</v>
      </c>
      <c r="N708" s="44"/>
      <c r="O708" s="44">
        <v>0</v>
      </c>
      <c r="P708" s="44">
        <v>0</v>
      </c>
      <c r="Q708" s="44">
        <v>0</v>
      </c>
      <c r="R708" s="44"/>
      <c r="S708" s="68"/>
      <c r="T708" s="136">
        <v>88140.183659400005</v>
      </c>
      <c r="U708" s="24">
        <f t="shared" si="102"/>
        <v>2</v>
      </c>
    </row>
    <row r="709" spans="1:21" x14ac:dyDescent="0.25">
      <c r="A709" s="135">
        <f t="shared" si="103"/>
        <v>691</v>
      </c>
      <c r="B709" s="134">
        <f t="shared" si="104"/>
        <v>229</v>
      </c>
      <c r="C709" s="77" t="s">
        <v>50</v>
      </c>
      <c r="D709" s="77" t="s">
        <v>508</v>
      </c>
      <c r="E709" s="129">
        <f t="shared" si="101"/>
        <v>3861710.0242000003</v>
      </c>
      <c r="F709" s="44">
        <v>3658298.7075726003</v>
      </c>
      <c r="G709" s="44"/>
      <c r="H709" s="44"/>
      <c r="I709" s="44"/>
      <c r="J709" s="44">
        <v>0</v>
      </c>
      <c r="K709" s="44"/>
      <c r="L709" s="44">
        <v>120770.72210951999</v>
      </c>
      <c r="M709" s="44">
        <v>0</v>
      </c>
      <c r="N709" s="44"/>
      <c r="O709" s="44">
        <v>0</v>
      </c>
      <c r="P709" s="44">
        <v>0</v>
      </c>
      <c r="Q709" s="44">
        <v>0</v>
      </c>
      <c r="R709" s="44"/>
      <c r="S709" s="68"/>
      <c r="T709" s="136">
        <v>82640.594517880003</v>
      </c>
      <c r="U709" s="24">
        <f t="shared" si="102"/>
        <v>2</v>
      </c>
    </row>
    <row r="710" spans="1:21" x14ac:dyDescent="0.25">
      <c r="A710" s="135">
        <f t="shared" si="103"/>
        <v>692</v>
      </c>
      <c r="B710" s="134">
        <f t="shared" si="104"/>
        <v>230</v>
      </c>
      <c r="C710" s="77" t="s">
        <v>50</v>
      </c>
      <c r="D710" s="77" t="s">
        <v>509</v>
      </c>
      <c r="E710" s="129">
        <f t="shared" si="101"/>
        <v>3861106.1622000006</v>
      </c>
      <c r="F710" s="44">
        <v>3657726.6514807204</v>
      </c>
      <c r="G710" s="44"/>
      <c r="H710" s="44"/>
      <c r="I710" s="44"/>
      <c r="J710" s="44">
        <v>0</v>
      </c>
      <c r="K710" s="44"/>
      <c r="L710" s="44">
        <v>120751.8388482</v>
      </c>
      <c r="M710" s="44">
        <v>0</v>
      </c>
      <c r="N710" s="44"/>
      <c r="O710" s="44">
        <v>0</v>
      </c>
      <c r="P710" s="44">
        <v>0</v>
      </c>
      <c r="Q710" s="44">
        <v>0</v>
      </c>
      <c r="R710" s="44"/>
      <c r="S710" s="68"/>
      <c r="T710" s="136">
        <v>82627.671871080005</v>
      </c>
      <c r="U710" s="24">
        <f t="shared" si="102"/>
        <v>2</v>
      </c>
    </row>
    <row r="711" spans="1:21" x14ac:dyDescent="0.25">
      <c r="A711" s="135">
        <f t="shared" si="103"/>
        <v>693</v>
      </c>
      <c r="B711" s="134">
        <f t="shared" si="104"/>
        <v>231</v>
      </c>
      <c r="C711" s="77" t="s">
        <v>50</v>
      </c>
      <c r="D711" s="77" t="s">
        <v>510</v>
      </c>
      <c r="E711" s="129">
        <f t="shared" si="101"/>
        <v>4238137.3835959993</v>
      </c>
      <c r="F711" s="44">
        <v>4026579.3155699996</v>
      </c>
      <c r="G711" s="44"/>
      <c r="H711" s="44"/>
      <c r="I711" s="44"/>
      <c r="J711" s="44">
        <v>0</v>
      </c>
      <c r="K711" s="44"/>
      <c r="L711" s="44">
        <v>122527.0476276</v>
      </c>
      <c r="M711" s="44">
        <v>0</v>
      </c>
      <c r="N711" s="44"/>
      <c r="O711" s="44">
        <v>0</v>
      </c>
      <c r="P711" s="44">
        <v>0</v>
      </c>
      <c r="Q711" s="44">
        <v>0</v>
      </c>
      <c r="R711" s="44"/>
      <c r="S711" s="68"/>
      <c r="T711" s="136">
        <v>89031.020398399996</v>
      </c>
      <c r="U711" s="24">
        <f t="shared" si="102"/>
        <v>2</v>
      </c>
    </row>
    <row r="712" spans="1:21" x14ac:dyDescent="0.25">
      <c r="A712" s="135">
        <f t="shared" si="103"/>
        <v>694</v>
      </c>
      <c r="B712" s="134">
        <f t="shared" si="104"/>
        <v>232</v>
      </c>
      <c r="C712" s="77" t="s">
        <v>50</v>
      </c>
      <c r="D712" s="77" t="s">
        <v>511</v>
      </c>
      <c r="E712" s="129">
        <f t="shared" si="101"/>
        <v>4089147.5498060002</v>
      </c>
      <c r="F712" s="44">
        <v>3885914.2848959998</v>
      </c>
      <c r="G712" s="44"/>
      <c r="H712" s="44"/>
      <c r="I712" s="44"/>
      <c r="J712" s="44">
        <v>0</v>
      </c>
      <c r="K712" s="44"/>
      <c r="L712" s="44">
        <v>118276.93283028001</v>
      </c>
      <c r="M712" s="44">
        <v>0</v>
      </c>
      <c r="N712" s="44"/>
      <c r="O712" s="44">
        <v>0</v>
      </c>
      <c r="P712" s="44">
        <v>0</v>
      </c>
      <c r="Q712" s="44">
        <v>0</v>
      </c>
      <c r="R712" s="44"/>
      <c r="S712" s="68"/>
      <c r="T712" s="136">
        <v>84956.332079719999</v>
      </c>
      <c r="U712" s="24">
        <f t="shared" si="102"/>
        <v>2</v>
      </c>
    </row>
    <row r="713" spans="1:21" x14ac:dyDescent="0.25">
      <c r="A713" s="135">
        <f t="shared" si="103"/>
        <v>695</v>
      </c>
      <c r="B713" s="134">
        <f t="shared" si="104"/>
        <v>233</v>
      </c>
      <c r="C713" s="77" t="s">
        <v>50</v>
      </c>
      <c r="D713" s="77" t="s">
        <v>512</v>
      </c>
      <c r="E713" s="129">
        <f t="shared" si="101"/>
        <v>4157310.9491940001</v>
      </c>
      <c r="F713" s="44">
        <v>3950676.9662219998</v>
      </c>
      <c r="G713" s="44"/>
      <c r="H713" s="44"/>
      <c r="I713" s="44"/>
      <c r="J713" s="44">
        <v>0</v>
      </c>
      <c r="K713" s="44"/>
      <c r="L713" s="44">
        <v>120223.04998956002</v>
      </c>
      <c r="M713" s="44">
        <v>0</v>
      </c>
      <c r="N713" s="44"/>
      <c r="O713" s="44">
        <v>0</v>
      </c>
      <c r="P713" s="44">
        <v>0</v>
      </c>
      <c r="Q713" s="44">
        <v>0</v>
      </c>
      <c r="R713" s="44"/>
      <c r="S713" s="68"/>
      <c r="T713" s="136">
        <v>86410.93298243999</v>
      </c>
      <c r="U713" s="24">
        <f t="shared" si="102"/>
        <v>2</v>
      </c>
    </row>
    <row r="714" spans="1:21" x14ac:dyDescent="0.25">
      <c r="A714" s="135">
        <f t="shared" si="103"/>
        <v>696</v>
      </c>
      <c r="B714" s="134">
        <f t="shared" si="104"/>
        <v>234</v>
      </c>
      <c r="C714" s="77" t="s">
        <v>50</v>
      </c>
      <c r="D714" s="77" t="s">
        <v>514</v>
      </c>
      <c r="E714" s="129">
        <f t="shared" si="101"/>
        <v>3931333.1229040008</v>
      </c>
      <c r="F714" s="44">
        <v>3735025.2035040008</v>
      </c>
      <c r="G714" s="44"/>
      <c r="H714" s="44"/>
      <c r="I714" s="44"/>
      <c r="J714" s="44">
        <v>0</v>
      </c>
      <c r="K714" s="44"/>
      <c r="L714" s="44">
        <v>113745.43921776001</v>
      </c>
      <c r="M714" s="44">
        <v>0</v>
      </c>
      <c r="N714" s="44"/>
      <c r="O714" s="44">
        <v>0</v>
      </c>
      <c r="P714" s="44">
        <v>0</v>
      </c>
      <c r="Q714" s="44">
        <v>0</v>
      </c>
      <c r="R714" s="44"/>
      <c r="S714" s="68"/>
      <c r="T714" s="136">
        <v>82562.480182240004</v>
      </c>
      <c r="U714" s="24">
        <f t="shared" si="102"/>
        <v>2</v>
      </c>
    </row>
    <row r="715" spans="1:21" x14ac:dyDescent="0.25">
      <c r="A715" s="135">
        <f t="shared" si="103"/>
        <v>697</v>
      </c>
      <c r="B715" s="134">
        <f t="shared" si="104"/>
        <v>235</v>
      </c>
      <c r="C715" s="77" t="s">
        <v>50</v>
      </c>
      <c r="D715" s="77" t="s">
        <v>419</v>
      </c>
      <c r="E715" s="129">
        <f t="shared" si="101"/>
        <v>21500334.586100001</v>
      </c>
      <c r="F715" s="44"/>
      <c r="G715" s="44"/>
      <c r="H715" s="44"/>
      <c r="I715" s="44">
        <v>5320168.0919898003</v>
      </c>
      <c r="J715" s="44">
        <v>0</v>
      </c>
      <c r="K715" s="44"/>
      <c r="L715" s="44"/>
      <c r="M715" s="44">
        <v>0</v>
      </c>
      <c r="N715" s="44"/>
      <c r="O715" s="44">
        <v>0</v>
      </c>
      <c r="P715" s="44"/>
      <c r="Q715" s="44">
        <v>15720059.33396766</v>
      </c>
      <c r="R715" s="44"/>
      <c r="S715" s="68"/>
      <c r="T715" s="136">
        <v>460107.16014254006</v>
      </c>
      <c r="U715" s="24">
        <f t="shared" si="102"/>
        <v>2</v>
      </c>
    </row>
    <row r="716" spans="1:21" x14ac:dyDescent="0.25">
      <c r="A716" s="135">
        <f t="shared" si="103"/>
        <v>698</v>
      </c>
      <c r="B716" s="134">
        <f t="shared" si="104"/>
        <v>236</v>
      </c>
      <c r="C716" s="77" t="s">
        <v>50</v>
      </c>
      <c r="D716" s="77" t="s">
        <v>247</v>
      </c>
      <c r="E716" s="129">
        <f t="shared" si="101"/>
        <v>51456537.748100005</v>
      </c>
      <c r="F716" s="44">
        <v>13823112.483911639</v>
      </c>
      <c r="G716" s="44">
        <v>9486870.9391226396</v>
      </c>
      <c r="H716" s="44">
        <v>5774829.8742573597</v>
      </c>
      <c r="I716" s="44">
        <v>5210257.3459977591</v>
      </c>
      <c r="J716" s="44">
        <v>0</v>
      </c>
      <c r="K716" s="44"/>
      <c r="L716" s="44">
        <v>665002.67436960002</v>
      </c>
      <c r="M716" s="44">
        <v>0</v>
      </c>
      <c r="N716" s="44">
        <v>0</v>
      </c>
      <c r="O716" s="44">
        <v>0</v>
      </c>
      <c r="P716" s="44">
        <v>0</v>
      </c>
      <c r="Q716" s="44">
        <v>15395294.52263166</v>
      </c>
      <c r="R716" s="44"/>
      <c r="S716" s="68"/>
      <c r="T716" s="136">
        <v>1101169.9078093402</v>
      </c>
      <c r="U716" s="24">
        <f t="shared" si="102"/>
        <v>6</v>
      </c>
    </row>
    <row r="717" spans="1:21" x14ac:dyDescent="0.25">
      <c r="A717" s="135">
        <f t="shared" si="103"/>
        <v>699</v>
      </c>
      <c r="B717" s="134">
        <f t="shared" si="104"/>
        <v>237</v>
      </c>
      <c r="C717" s="77" t="s">
        <v>50</v>
      </c>
      <c r="D717" s="77" t="s">
        <v>251</v>
      </c>
      <c r="E717" s="129">
        <f t="shared" si="101"/>
        <v>4344120.7939999998</v>
      </c>
      <c r="F717" s="44">
        <v>0</v>
      </c>
      <c r="G717" s="44">
        <v>0</v>
      </c>
      <c r="H717" s="44">
        <v>4251156.6090083998</v>
      </c>
      <c r="I717" s="44">
        <v>0</v>
      </c>
      <c r="J717" s="44">
        <v>0</v>
      </c>
      <c r="K717" s="44"/>
      <c r="L717" s="44"/>
      <c r="M717" s="44">
        <v>0</v>
      </c>
      <c r="N717" s="44">
        <v>0</v>
      </c>
      <c r="O717" s="44">
        <v>0</v>
      </c>
      <c r="P717" s="44">
        <v>0</v>
      </c>
      <c r="Q717" s="44">
        <v>0</v>
      </c>
      <c r="R717" s="44"/>
      <c r="S717" s="68"/>
      <c r="T717" s="136">
        <v>92964.184991599992</v>
      </c>
      <c r="U717" s="24">
        <f t="shared" si="102"/>
        <v>1</v>
      </c>
    </row>
    <row r="718" spans="1:21" x14ac:dyDescent="0.25">
      <c r="A718" s="135">
        <f t="shared" si="103"/>
        <v>700</v>
      </c>
      <c r="B718" s="134">
        <f t="shared" si="104"/>
        <v>238</v>
      </c>
      <c r="C718" s="77" t="s">
        <v>50</v>
      </c>
      <c r="D718" s="77" t="s">
        <v>515</v>
      </c>
      <c r="E718" s="129">
        <f t="shared" si="101"/>
        <v>3266851.3906</v>
      </c>
      <c r="F718" s="44"/>
      <c r="G718" s="44">
        <v>3196940.7708411599</v>
      </c>
      <c r="H718" s="44">
        <v>0</v>
      </c>
      <c r="I718" s="44">
        <v>0</v>
      </c>
      <c r="J718" s="44">
        <v>0</v>
      </c>
      <c r="K718" s="44"/>
      <c r="L718" s="44"/>
      <c r="M718" s="44">
        <v>0</v>
      </c>
      <c r="N718" s="44">
        <v>0</v>
      </c>
      <c r="O718" s="44">
        <v>0</v>
      </c>
      <c r="P718" s="44">
        <v>0</v>
      </c>
      <c r="Q718" s="44">
        <v>0</v>
      </c>
      <c r="R718" s="44"/>
      <c r="S718" s="68"/>
      <c r="T718" s="136">
        <v>69910.61975884001</v>
      </c>
      <c r="U718" s="24">
        <f t="shared" si="102"/>
        <v>1</v>
      </c>
    </row>
    <row r="719" spans="1:21" x14ac:dyDescent="0.25">
      <c r="A719" s="135">
        <f t="shared" si="103"/>
        <v>701</v>
      </c>
      <c r="B719" s="134">
        <f t="shared" si="104"/>
        <v>239</v>
      </c>
      <c r="C719" s="77" t="s">
        <v>50</v>
      </c>
      <c r="D719" s="77" t="s">
        <v>516</v>
      </c>
      <c r="E719" s="129">
        <f t="shared" si="101"/>
        <v>3137273.6384000001</v>
      </c>
      <c r="F719" s="44"/>
      <c r="G719" s="44">
        <v>3070135.98253824</v>
      </c>
      <c r="H719" s="44">
        <v>0</v>
      </c>
      <c r="I719" s="44">
        <v>0</v>
      </c>
      <c r="J719" s="44">
        <v>0</v>
      </c>
      <c r="K719" s="44"/>
      <c r="L719" s="44"/>
      <c r="M719" s="44">
        <v>0</v>
      </c>
      <c r="N719" s="44">
        <v>0</v>
      </c>
      <c r="O719" s="44">
        <v>0</v>
      </c>
      <c r="P719" s="44">
        <v>0</v>
      </c>
      <c r="Q719" s="44">
        <v>0</v>
      </c>
      <c r="R719" s="44"/>
      <c r="S719" s="68"/>
      <c r="T719" s="136">
        <v>67137.655861760009</v>
      </c>
      <c r="U719" s="24">
        <f t="shared" si="102"/>
        <v>1</v>
      </c>
    </row>
    <row r="720" spans="1:21" x14ac:dyDescent="0.25">
      <c r="A720" s="135">
        <f t="shared" si="103"/>
        <v>702</v>
      </c>
      <c r="B720" s="134">
        <f t="shared" si="104"/>
        <v>240</v>
      </c>
      <c r="C720" s="77" t="s">
        <v>50</v>
      </c>
      <c r="D720" s="77" t="s">
        <v>517</v>
      </c>
      <c r="E720" s="129">
        <f t="shared" ref="E720:E751" si="107">SUBTOTAL(9,F720:T720)</f>
        <v>3602238.3189560003</v>
      </c>
      <c r="F720" s="44"/>
      <c r="G720" s="44">
        <v>3526312.8793200003</v>
      </c>
      <c r="H720" s="44"/>
      <c r="I720" s="44">
        <v>0</v>
      </c>
      <c r="J720" s="44">
        <v>0</v>
      </c>
      <c r="K720" s="44"/>
      <c r="L720" s="44"/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/>
      <c r="S720" s="68"/>
      <c r="T720" s="136">
        <v>75925.43963600001</v>
      </c>
      <c r="U720" s="24">
        <f t="shared" ref="U720:U751" si="108">COUNTIF(F720:Q720,"&gt;0")</f>
        <v>1</v>
      </c>
    </row>
    <row r="721" spans="1:21" x14ac:dyDescent="0.25">
      <c r="A721" s="135">
        <f t="shared" si="103"/>
        <v>703</v>
      </c>
      <c r="B721" s="134">
        <f t="shared" si="104"/>
        <v>241</v>
      </c>
      <c r="C721" s="77"/>
      <c r="D721" s="77" t="s">
        <v>656</v>
      </c>
      <c r="E721" s="129">
        <f t="shared" si="107"/>
        <v>3591360</v>
      </c>
      <c r="F721" s="44"/>
      <c r="G721" s="44"/>
      <c r="H721" s="44"/>
      <c r="I721" s="44"/>
      <c r="J721" s="44"/>
      <c r="K721" s="44"/>
      <c r="L721" s="44"/>
      <c r="M721" s="44">
        <v>3388344.6460698778</v>
      </c>
      <c r="N721" s="44"/>
      <c r="O721" s="44"/>
      <c r="P721" s="44"/>
      <c r="Q721" s="44"/>
      <c r="R721" s="44">
        <v>104919.11907839999</v>
      </c>
      <c r="S721" s="68">
        <v>24000</v>
      </c>
      <c r="T721" s="136">
        <v>74096.234851722242</v>
      </c>
      <c r="U721" s="24">
        <f t="shared" si="108"/>
        <v>1</v>
      </c>
    </row>
    <row r="722" spans="1:21" x14ac:dyDescent="0.25">
      <c r="A722" s="135">
        <f t="shared" si="103"/>
        <v>704</v>
      </c>
      <c r="B722" s="134">
        <f t="shared" si="104"/>
        <v>242</v>
      </c>
      <c r="C722" s="77" t="s">
        <v>102</v>
      </c>
      <c r="D722" s="77" t="s">
        <v>427</v>
      </c>
      <c r="E722" s="129">
        <f t="shared" si="107"/>
        <v>6448840.0972000007</v>
      </c>
      <c r="F722" s="44">
        <v>3861288.8462639404</v>
      </c>
      <c r="G722" s="44">
        <v>2292533.9415640198</v>
      </c>
      <c r="H722" s="44">
        <v>0</v>
      </c>
      <c r="I722" s="44">
        <v>0</v>
      </c>
      <c r="J722" s="44">
        <v>0</v>
      </c>
      <c r="K722" s="44"/>
      <c r="L722" s="44">
        <v>157012.13129196005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/>
      <c r="S722" s="68"/>
      <c r="T722" s="136">
        <v>138005.17808008002</v>
      </c>
      <c r="U722" s="24">
        <f t="shared" si="108"/>
        <v>3</v>
      </c>
    </row>
    <row r="723" spans="1:21" x14ac:dyDescent="0.25">
      <c r="A723" s="135">
        <f t="shared" si="103"/>
        <v>705</v>
      </c>
      <c r="B723" s="134">
        <f t="shared" si="104"/>
        <v>243</v>
      </c>
      <c r="C723" s="77" t="s">
        <v>103</v>
      </c>
      <c r="D723" s="77" t="s">
        <v>430</v>
      </c>
      <c r="E723" s="129">
        <f t="shared" si="107"/>
        <v>7325775.6327</v>
      </c>
      <c r="F723" s="44">
        <v>6939898.4786422197</v>
      </c>
      <c r="G723" s="44"/>
      <c r="H723" s="44">
        <v>0</v>
      </c>
      <c r="I723" s="44">
        <v>0</v>
      </c>
      <c r="J723" s="44">
        <v>0</v>
      </c>
      <c r="K723" s="44"/>
      <c r="L723" s="44">
        <v>229105.55551800001</v>
      </c>
      <c r="M723" s="44">
        <v>0</v>
      </c>
      <c r="N723" s="44"/>
      <c r="O723" s="44">
        <v>0</v>
      </c>
      <c r="P723" s="44">
        <v>0</v>
      </c>
      <c r="Q723" s="44">
        <v>0</v>
      </c>
      <c r="R723" s="44"/>
      <c r="S723" s="68"/>
      <c r="T723" s="136">
        <v>156771.59853977998</v>
      </c>
      <c r="U723" s="24">
        <f t="shared" si="108"/>
        <v>2</v>
      </c>
    </row>
    <row r="724" spans="1:21" x14ac:dyDescent="0.25">
      <c r="A724" s="135">
        <f t="shared" si="103"/>
        <v>706</v>
      </c>
      <c r="B724" s="134">
        <f t="shared" si="104"/>
        <v>244</v>
      </c>
      <c r="C724" s="77" t="s">
        <v>103</v>
      </c>
      <c r="D724" s="77" t="s">
        <v>431</v>
      </c>
      <c r="E724" s="129">
        <f t="shared" si="107"/>
        <v>7269616.2805000003</v>
      </c>
      <c r="F724" s="44">
        <v>6886697.2620973801</v>
      </c>
      <c r="G724" s="44"/>
      <c r="H724" s="44">
        <v>0</v>
      </c>
      <c r="I724" s="44">
        <v>0</v>
      </c>
      <c r="J724" s="44">
        <v>0</v>
      </c>
      <c r="K724" s="44"/>
      <c r="L724" s="44">
        <v>227349.22999992</v>
      </c>
      <c r="M724" s="44">
        <v>0</v>
      </c>
      <c r="N724" s="44"/>
      <c r="O724" s="44">
        <v>0</v>
      </c>
      <c r="P724" s="44">
        <v>0</v>
      </c>
      <c r="Q724" s="44">
        <v>0</v>
      </c>
      <c r="R724" s="44"/>
      <c r="S724" s="68"/>
      <c r="T724" s="136">
        <v>155569.78840269998</v>
      </c>
      <c r="U724" s="24">
        <f t="shared" si="108"/>
        <v>2</v>
      </c>
    </row>
    <row r="725" spans="1:21" x14ac:dyDescent="0.25">
      <c r="A725" s="135">
        <f t="shared" si="103"/>
        <v>707</v>
      </c>
      <c r="B725" s="134">
        <f t="shared" si="104"/>
        <v>245</v>
      </c>
      <c r="C725" s="77"/>
      <c r="D725" s="77" t="s">
        <v>699</v>
      </c>
      <c r="E725" s="129">
        <f t="shared" si="107"/>
        <v>13493543.713220477</v>
      </c>
      <c r="F725" s="44">
        <v>5551531.9403609177</v>
      </c>
      <c r="G725" s="44">
        <v>2560521.6985019348</v>
      </c>
      <c r="H725" s="44">
        <v>2678283.0435968651</v>
      </c>
      <c r="I725" s="44">
        <v>1699212.2027279346</v>
      </c>
      <c r="J725" s="44"/>
      <c r="K725" s="44"/>
      <c r="L725" s="44">
        <v>207388.49321190882</v>
      </c>
      <c r="M725" s="44"/>
      <c r="N725" s="44"/>
      <c r="O725" s="44"/>
      <c r="P725" s="44"/>
      <c r="Q725" s="44"/>
      <c r="R725" s="44">
        <v>518950.03</v>
      </c>
      <c r="S725" s="68"/>
      <c r="T725" s="136">
        <v>277656.3048209183</v>
      </c>
      <c r="U725" s="24">
        <f t="shared" si="108"/>
        <v>5</v>
      </c>
    </row>
    <row r="726" spans="1:21" x14ac:dyDescent="0.25">
      <c r="A726" s="135">
        <f t="shared" si="103"/>
        <v>708</v>
      </c>
      <c r="B726" s="134">
        <f t="shared" si="104"/>
        <v>246</v>
      </c>
      <c r="C726" s="77"/>
      <c r="D726" s="77" t="s">
        <v>700</v>
      </c>
      <c r="E726" s="129">
        <f t="shared" si="107"/>
        <v>17483382.935169917</v>
      </c>
      <c r="F726" s="44">
        <v>7236891.7417667126</v>
      </c>
      <c r="G726" s="44">
        <v>3349337.1770725711</v>
      </c>
      <c r="H726" s="44">
        <v>3482256.4633805514</v>
      </c>
      <c r="I726" s="44">
        <v>2233125.1141765704</v>
      </c>
      <c r="J726" s="44"/>
      <c r="K726" s="44"/>
      <c r="L726" s="44">
        <v>268700.9284648766</v>
      </c>
      <c r="M726" s="44"/>
      <c r="N726" s="44"/>
      <c r="O726" s="44"/>
      <c r="P726" s="44"/>
      <c r="Q726" s="44"/>
      <c r="R726" s="44">
        <v>550712.36</v>
      </c>
      <c r="S726" s="68"/>
      <c r="T726" s="136">
        <v>362359.15030863637</v>
      </c>
      <c r="U726" s="24">
        <f t="shared" si="108"/>
        <v>5</v>
      </c>
    </row>
    <row r="727" spans="1:21" x14ac:dyDescent="0.25">
      <c r="A727" s="135">
        <f t="shared" si="103"/>
        <v>709</v>
      </c>
      <c r="B727" s="134">
        <f t="shared" si="104"/>
        <v>247</v>
      </c>
      <c r="C727" s="77"/>
      <c r="D727" s="77" t="s">
        <v>702</v>
      </c>
      <c r="E727" s="129">
        <f t="shared" si="107"/>
        <v>25951484.897758067</v>
      </c>
      <c r="F727" s="44">
        <v>7588162.5095821442</v>
      </c>
      <c r="G727" s="44">
        <v>3513749.8885165155</v>
      </c>
      <c r="H727" s="44">
        <v>3648800.90724076</v>
      </c>
      <c r="I727" s="44"/>
      <c r="J727" s="44"/>
      <c r="K727" s="44"/>
      <c r="L727" s="44">
        <v>281551.16212344577</v>
      </c>
      <c r="M727" s="44"/>
      <c r="N727" s="44"/>
      <c r="O727" s="44"/>
      <c r="P727" s="44"/>
      <c r="Q727" s="44">
        <v>9770786.1871471778</v>
      </c>
      <c r="R727" s="44">
        <v>606041.76</v>
      </c>
      <c r="S727" s="68"/>
      <c r="T727" s="136">
        <v>542392.48314802255</v>
      </c>
      <c r="U727" s="24">
        <f t="shared" si="108"/>
        <v>5</v>
      </c>
    </row>
    <row r="728" spans="1:21" x14ac:dyDescent="0.25">
      <c r="A728" s="135">
        <f t="shared" si="103"/>
        <v>710</v>
      </c>
      <c r="B728" s="134">
        <f t="shared" si="104"/>
        <v>248</v>
      </c>
      <c r="C728" s="77"/>
      <c r="D728" s="77" t="s">
        <v>701</v>
      </c>
      <c r="E728" s="129">
        <f t="shared" si="107"/>
        <v>33770714.155886941</v>
      </c>
      <c r="F728" s="44">
        <v>8973350.9449416008</v>
      </c>
      <c r="G728" s="44">
        <v>4153394.8612312796</v>
      </c>
      <c r="H728" s="44">
        <v>4321667.2967556482</v>
      </c>
      <c r="I728" s="44">
        <v>2763510.5168512799</v>
      </c>
      <c r="J728" s="44"/>
      <c r="K728" s="44"/>
      <c r="L728" s="44">
        <v>333724.67549366411</v>
      </c>
      <c r="M728" s="44"/>
      <c r="N728" s="44"/>
      <c r="O728" s="44"/>
      <c r="P728" s="44"/>
      <c r="Q728" s="44">
        <v>11566981.319995483</v>
      </c>
      <c r="R728" s="44">
        <v>955846.37</v>
      </c>
      <c r="S728" s="68"/>
      <c r="T728" s="136">
        <v>702238.17061798053</v>
      </c>
      <c r="U728" s="24">
        <f t="shared" si="108"/>
        <v>6</v>
      </c>
    </row>
    <row r="729" spans="1:21" x14ac:dyDescent="0.25">
      <c r="A729" s="135">
        <f t="shared" si="103"/>
        <v>711</v>
      </c>
      <c r="B729" s="134">
        <f t="shared" si="104"/>
        <v>249</v>
      </c>
      <c r="C729" s="77"/>
      <c r="D729" s="77" t="s">
        <v>703</v>
      </c>
      <c r="E729" s="129">
        <f t="shared" si="107"/>
        <v>11745078.045090696</v>
      </c>
      <c r="F729" s="44"/>
      <c r="G729" s="44"/>
      <c r="H729" s="44"/>
      <c r="I729" s="44"/>
      <c r="J729" s="44"/>
      <c r="K729" s="44"/>
      <c r="L729" s="44"/>
      <c r="M729" s="44"/>
      <c r="N729" s="44">
        <v>11243583.877789754</v>
      </c>
      <c r="O729" s="44"/>
      <c r="P729" s="44"/>
      <c r="Q729" s="44"/>
      <c r="R729" s="44">
        <v>255619.76</v>
      </c>
      <c r="S729" s="68"/>
      <c r="T729" s="136">
        <v>245874.40730094089</v>
      </c>
      <c r="U729" s="24">
        <f t="shared" si="108"/>
        <v>1</v>
      </c>
    </row>
    <row r="730" spans="1:21" x14ac:dyDescent="0.25">
      <c r="A730" s="135">
        <f t="shared" si="103"/>
        <v>712</v>
      </c>
      <c r="B730" s="134">
        <f t="shared" si="104"/>
        <v>250</v>
      </c>
      <c r="C730" s="77"/>
      <c r="D730" s="77" t="s">
        <v>704</v>
      </c>
      <c r="E730" s="129">
        <f t="shared" si="107"/>
        <v>33271124.889648609</v>
      </c>
      <c r="F730" s="44">
        <v>5279497.5508409571</v>
      </c>
      <c r="G730" s="44">
        <v>2417886.2464283649</v>
      </c>
      <c r="H730" s="44">
        <v>2558845.4595542033</v>
      </c>
      <c r="I730" s="44">
        <v>1591295.1398003653</v>
      </c>
      <c r="J730" s="44"/>
      <c r="K730" s="44"/>
      <c r="L730" s="44">
        <v>199139.50379714233</v>
      </c>
      <c r="M730" s="44"/>
      <c r="N730" s="44">
        <v>12823226.490161531</v>
      </c>
      <c r="O730" s="44"/>
      <c r="P730" s="44">
        <v>6517783.6975435661</v>
      </c>
      <c r="Q730" s="44"/>
      <c r="R730" s="44">
        <v>1197065.94</v>
      </c>
      <c r="S730" s="68"/>
      <c r="T730" s="136">
        <v>686384.86152248038</v>
      </c>
      <c r="U730" s="24">
        <f t="shared" si="108"/>
        <v>7</v>
      </c>
    </row>
    <row r="731" spans="1:21" x14ac:dyDescent="0.25">
      <c r="A731" s="135">
        <f t="shared" si="103"/>
        <v>713</v>
      </c>
      <c r="B731" s="134">
        <f t="shared" si="104"/>
        <v>251</v>
      </c>
      <c r="C731" s="77"/>
      <c r="D731" s="77" t="s">
        <v>705</v>
      </c>
      <c r="E731" s="129">
        <f t="shared" si="107"/>
        <v>8451712.6778820977</v>
      </c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>
        <v>7987989.2220094213</v>
      </c>
      <c r="R731" s="44">
        <v>289042.31</v>
      </c>
      <c r="S731" s="68"/>
      <c r="T731" s="136">
        <v>174681.14587267689</v>
      </c>
      <c r="U731" s="24">
        <f t="shared" si="108"/>
        <v>1</v>
      </c>
    </row>
    <row r="732" spans="1:21" x14ac:dyDescent="0.25">
      <c r="A732" s="135">
        <f t="shared" si="103"/>
        <v>714</v>
      </c>
      <c r="B732" s="134">
        <f t="shared" si="104"/>
        <v>252</v>
      </c>
      <c r="C732" s="77"/>
      <c r="D732" s="77" t="s">
        <v>706</v>
      </c>
      <c r="E732" s="129">
        <f t="shared" si="107"/>
        <v>7524757.6654845187</v>
      </c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>
        <v>7090316.1613531495</v>
      </c>
      <c r="R732" s="44">
        <v>279390.65000000002</v>
      </c>
      <c r="S732" s="68"/>
      <c r="T732" s="136">
        <v>155050.85413136869</v>
      </c>
      <c r="U732" s="24">
        <f t="shared" si="108"/>
        <v>1</v>
      </c>
    </row>
    <row r="733" spans="1:21" x14ac:dyDescent="0.25">
      <c r="A733" s="135">
        <f t="shared" si="103"/>
        <v>715</v>
      </c>
      <c r="B733" s="134">
        <f t="shared" si="104"/>
        <v>253</v>
      </c>
      <c r="C733" s="77"/>
      <c r="D733" s="77" t="s">
        <v>526</v>
      </c>
      <c r="E733" s="129">
        <f t="shared" si="107"/>
        <v>3595741.0432031201</v>
      </c>
      <c r="F733" s="44">
        <v>0</v>
      </c>
      <c r="G733" s="44">
        <v>0</v>
      </c>
      <c r="H733" s="81">
        <v>0</v>
      </c>
      <c r="I733" s="81">
        <v>0</v>
      </c>
      <c r="J733" s="44">
        <v>0</v>
      </c>
      <c r="K733" s="44"/>
      <c r="L733" s="44"/>
      <c r="M733" s="44">
        <v>0</v>
      </c>
      <c r="N733" s="44"/>
      <c r="O733" s="44">
        <v>0</v>
      </c>
      <c r="P733" s="44">
        <v>0</v>
      </c>
      <c r="Q733" s="44">
        <v>3525835.391022</v>
      </c>
      <c r="R733" s="44"/>
      <c r="S733" s="68"/>
      <c r="T733" s="136">
        <v>69905.652181120007</v>
      </c>
      <c r="U733" s="24">
        <f t="shared" si="108"/>
        <v>1</v>
      </c>
    </row>
    <row r="734" spans="1:21" x14ac:dyDescent="0.25">
      <c r="A734" s="135">
        <f t="shared" si="103"/>
        <v>716</v>
      </c>
      <c r="B734" s="134">
        <f t="shared" si="104"/>
        <v>254</v>
      </c>
      <c r="C734" s="77"/>
      <c r="D734" s="77" t="s">
        <v>448</v>
      </c>
      <c r="E734" s="129">
        <f t="shared" si="107"/>
        <v>107632.58387867997</v>
      </c>
      <c r="F734" s="44">
        <v>0</v>
      </c>
      <c r="G734" s="44">
        <v>0</v>
      </c>
      <c r="H734" s="44">
        <v>105075.60923999998</v>
      </c>
      <c r="I734" s="44">
        <v>0</v>
      </c>
      <c r="J734" s="44">
        <v>0</v>
      </c>
      <c r="K734" s="44"/>
      <c r="L734" s="44"/>
      <c r="M734" s="44">
        <v>0</v>
      </c>
      <c r="N734" s="44">
        <v>0</v>
      </c>
      <c r="O734" s="44">
        <v>0</v>
      </c>
      <c r="P734" s="44"/>
      <c r="Q734" s="44">
        <v>0</v>
      </c>
      <c r="R734" s="44"/>
      <c r="S734" s="68"/>
      <c r="T734" s="136">
        <v>2556.9746386799998</v>
      </c>
      <c r="U734" s="24">
        <f t="shared" si="108"/>
        <v>1</v>
      </c>
    </row>
    <row r="735" spans="1:21" x14ac:dyDescent="0.25">
      <c r="A735" s="135">
        <f t="shared" si="103"/>
        <v>717</v>
      </c>
      <c r="B735" s="134">
        <f t="shared" si="104"/>
        <v>255</v>
      </c>
      <c r="C735" s="77"/>
      <c r="D735" s="77" t="s">
        <v>527</v>
      </c>
      <c r="E735" s="129">
        <f t="shared" si="107"/>
        <v>6001006.839799501</v>
      </c>
      <c r="F735" s="44"/>
      <c r="G735" s="44">
        <v>0</v>
      </c>
      <c r="H735" s="44">
        <v>377369.21947199997</v>
      </c>
      <c r="I735" s="44"/>
      <c r="J735" s="44"/>
      <c r="K735" s="44"/>
      <c r="L735" s="44"/>
      <c r="M735" s="44"/>
      <c r="N735" s="44"/>
      <c r="O735" s="44"/>
      <c r="P735" s="44"/>
      <c r="Q735" s="44">
        <v>5507536.2469260003</v>
      </c>
      <c r="R735" s="44"/>
      <c r="S735" s="68"/>
      <c r="T735" s="136">
        <v>116101.37340150001</v>
      </c>
      <c r="U735" s="24">
        <f t="shared" si="108"/>
        <v>2</v>
      </c>
    </row>
    <row r="736" spans="1:21" x14ac:dyDescent="0.25">
      <c r="A736" s="135">
        <f t="shared" si="103"/>
        <v>718</v>
      </c>
      <c r="B736" s="134">
        <f t="shared" si="104"/>
        <v>256</v>
      </c>
      <c r="C736" s="77"/>
      <c r="D736" s="77" t="s">
        <v>528</v>
      </c>
      <c r="E736" s="129">
        <f t="shared" si="107"/>
        <v>3580147.76291</v>
      </c>
      <c r="F736" s="44"/>
      <c r="G736" s="44">
        <v>0</v>
      </c>
      <c r="H736" s="44">
        <v>0</v>
      </c>
      <c r="I736" s="44">
        <v>760379.17506936006</v>
      </c>
      <c r="J736" s="44">
        <v>0</v>
      </c>
      <c r="K736" s="44"/>
      <c r="L736" s="44"/>
      <c r="M736" s="44"/>
      <c r="N736" s="44"/>
      <c r="O736" s="44"/>
      <c r="P736" s="44"/>
      <c r="Q736" s="44">
        <v>2745980.9435167201</v>
      </c>
      <c r="R736" s="44"/>
      <c r="S736" s="68"/>
      <c r="T736" s="136">
        <v>73787.644323920016</v>
      </c>
      <c r="U736" s="24">
        <f t="shared" si="108"/>
        <v>2</v>
      </c>
    </row>
    <row r="737" spans="1:21" x14ac:dyDescent="0.25">
      <c r="A737" s="135">
        <f t="shared" si="103"/>
        <v>719</v>
      </c>
      <c r="B737" s="134">
        <f t="shared" si="104"/>
        <v>257</v>
      </c>
      <c r="C737" s="77"/>
      <c r="D737" s="77" t="s">
        <v>108</v>
      </c>
      <c r="E737" s="129">
        <f t="shared" si="107"/>
        <v>2428220.8694842998</v>
      </c>
      <c r="F737" s="44"/>
      <c r="G737" s="44"/>
      <c r="H737" s="44"/>
      <c r="I737" s="44"/>
      <c r="J737" s="44">
        <v>0</v>
      </c>
      <c r="K737" s="44"/>
      <c r="L737" s="44"/>
      <c r="M737" s="44"/>
      <c r="N737" s="44"/>
      <c r="O737" s="44"/>
      <c r="P737" s="44"/>
      <c r="Q737" s="44">
        <v>2380773.3781019999</v>
      </c>
      <c r="R737" s="44"/>
      <c r="S737" s="68"/>
      <c r="T737" s="136">
        <v>47447.49138230001</v>
      </c>
      <c r="U737" s="24">
        <f t="shared" si="108"/>
        <v>1</v>
      </c>
    </row>
    <row r="738" spans="1:21" x14ac:dyDescent="0.25">
      <c r="A738" s="135">
        <f t="shared" si="103"/>
        <v>720</v>
      </c>
      <c r="B738" s="134">
        <f t="shared" si="104"/>
        <v>258</v>
      </c>
      <c r="C738" s="77" t="s">
        <v>110</v>
      </c>
      <c r="D738" s="77" t="s">
        <v>269</v>
      </c>
      <c r="E738" s="129">
        <f t="shared" si="107"/>
        <v>1513766.7257999999</v>
      </c>
      <c r="F738" s="44">
        <v>0</v>
      </c>
      <c r="G738" s="44">
        <v>0</v>
      </c>
      <c r="H738" s="44">
        <v>0</v>
      </c>
      <c r="I738" s="44">
        <v>0</v>
      </c>
      <c r="J738" s="44">
        <v>1481372.1178678798</v>
      </c>
      <c r="K738" s="44"/>
      <c r="L738" s="44"/>
      <c r="M738" s="44">
        <v>0</v>
      </c>
      <c r="N738" s="44">
        <v>0</v>
      </c>
      <c r="O738" s="44">
        <v>0</v>
      </c>
      <c r="P738" s="44">
        <v>0</v>
      </c>
      <c r="Q738" s="44">
        <v>0</v>
      </c>
      <c r="R738" s="44"/>
      <c r="S738" s="68"/>
      <c r="T738" s="136">
        <v>32394.607932119998</v>
      </c>
      <c r="U738" s="24">
        <f t="shared" si="108"/>
        <v>1</v>
      </c>
    </row>
    <row r="739" spans="1:21" x14ac:dyDescent="0.25">
      <c r="A739" s="135">
        <f t="shared" ref="A739:A751" si="109">+A738+1</f>
        <v>721</v>
      </c>
      <c r="B739" s="134">
        <f t="shared" ref="B739:B751" si="110">+B738+1</f>
        <v>259</v>
      </c>
      <c r="C739" s="77" t="s">
        <v>110</v>
      </c>
      <c r="D739" s="77" t="s">
        <v>111</v>
      </c>
      <c r="E739" s="129">
        <f t="shared" si="107"/>
        <v>543894.30090000003</v>
      </c>
      <c r="F739" s="44">
        <v>0</v>
      </c>
      <c r="G739" s="44">
        <v>0</v>
      </c>
      <c r="H739" s="44">
        <v>0</v>
      </c>
      <c r="I739" s="44">
        <v>0</v>
      </c>
      <c r="J739" s="44">
        <v>532254.96286074002</v>
      </c>
      <c r="K739" s="44"/>
      <c r="L739" s="44"/>
      <c r="M739" s="44">
        <v>0</v>
      </c>
      <c r="N739" s="44">
        <v>0</v>
      </c>
      <c r="O739" s="44">
        <v>0</v>
      </c>
      <c r="P739" s="44">
        <v>0</v>
      </c>
      <c r="Q739" s="44">
        <v>0</v>
      </c>
      <c r="R739" s="44"/>
      <c r="S739" s="68"/>
      <c r="T739" s="136">
        <v>11639.338039260001</v>
      </c>
      <c r="U739" s="24">
        <f t="shared" si="108"/>
        <v>1</v>
      </c>
    </row>
    <row r="740" spans="1:21" x14ac:dyDescent="0.25">
      <c r="A740" s="135">
        <f t="shared" si="109"/>
        <v>722</v>
      </c>
      <c r="B740" s="134">
        <f t="shared" si="110"/>
        <v>260</v>
      </c>
      <c r="C740" s="77" t="s">
        <v>110</v>
      </c>
      <c r="D740" s="77" t="s">
        <v>112</v>
      </c>
      <c r="E740" s="129">
        <f t="shared" si="107"/>
        <v>536732.4389999999</v>
      </c>
      <c r="F740" s="44">
        <v>0</v>
      </c>
      <c r="G740" s="44">
        <v>0</v>
      </c>
      <c r="H740" s="44">
        <v>0</v>
      </c>
      <c r="I740" s="44">
        <v>0</v>
      </c>
      <c r="J740" s="44">
        <v>525246.36480539991</v>
      </c>
      <c r="K740" s="44"/>
      <c r="L740" s="44"/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/>
      <c r="S740" s="68"/>
      <c r="T740" s="136">
        <v>11486.074194599998</v>
      </c>
      <c r="U740" s="24">
        <f t="shared" si="108"/>
        <v>1</v>
      </c>
    </row>
    <row r="741" spans="1:21" x14ac:dyDescent="0.25">
      <c r="A741" s="135">
        <f t="shared" si="109"/>
        <v>723</v>
      </c>
      <c r="B741" s="134">
        <f t="shared" si="110"/>
        <v>261</v>
      </c>
      <c r="C741" s="77" t="s">
        <v>110</v>
      </c>
      <c r="D741" s="77" t="s">
        <v>113</v>
      </c>
      <c r="E741" s="129">
        <f t="shared" si="107"/>
        <v>367776.86744473106</v>
      </c>
      <c r="F741" s="44"/>
      <c r="G741" s="44">
        <v>0</v>
      </c>
      <c r="H741" s="44">
        <v>0</v>
      </c>
      <c r="I741" s="44">
        <v>0</v>
      </c>
      <c r="J741" s="44">
        <v>359906.44733063993</v>
      </c>
      <c r="K741" s="44"/>
      <c r="L741" s="44"/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/>
      <c r="S741" s="68"/>
      <c r="T741" s="136">
        <v>7870.4201140911273</v>
      </c>
      <c r="U741" s="24">
        <f t="shared" si="108"/>
        <v>1</v>
      </c>
    </row>
    <row r="742" spans="1:21" x14ac:dyDescent="0.25">
      <c r="A742" s="135">
        <f t="shared" si="109"/>
        <v>724</v>
      </c>
      <c r="B742" s="134">
        <f t="shared" si="110"/>
        <v>262</v>
      </c>
      <c r="C742" s="77" t="s">
        <v>110</v>
      </c>
      <c r="D742" s="77" t="s">
        <v>271</v>
      </c>
      <c r="E742" s="129">
        <f t="shared" si="107"/>
        <v>2143162.1283</v>
      </c>
      <c r="F742" s="44">
        <v>0</v>
      </c>
      <c r="G742" s="44">
        <v>0</v>
      </c>
      <c r="H742" s="44">
        <v>0</v>
      </c>
      <c r="I742" s="44">
        <v>0</v>
      </c>
      <c r="J742" s="44">
        <v>2097298.4587543798</v>
      </c>
      <c r="K742" s="44"/>
      <c r="L742" s="44"/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/>
      <c r="S742" s="68"/>
      <c r="T742" s="136">
        <v>45863.669545620003</v>
      </c>
      <c r="U742" s="24">
        <f t="shared" si="108"/>
        <v>1</v>
      </c>
    </row>
    <row r="743" spans="1:21" x14ac:dyDescent="0.25">
      <c r="A743" s="135">
        <f t="shared" si="109"/>
        <v>725</v>
      </c>
      <c r="B743" s="134">
        <f t="shared" si="110"/>
        <v>263</v>
      </c>
      <c r="C743" s="77" t="s">
        <v>110</v>
      </c>
      <c r="D743" s="77" t="s">
        <v>272</v>
      </c>
      <c r="E743" s="129">
        <f t="shared" si="107"/>
        <v>1668917.8005000001</v>
      </c>
      <c r="F743" s="44">
        <v>0</v>
      </c>
      <c r="G743" s="44">
        <v>0</v>
      </c>
      <c r="H743" s="44">
        <v>0</v>
      </c>
      <c r="I743" s="44">
        <v>0</v>
      </c>
      <c r="J743" s="44">
        <v>1633202.9595693001</v>
      </c>
      <c r="K743" s="44"/>
      <c r="L743" s="44"/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4"/>
      <c r="S743" s="68"/>
      <c r="T743" s="136">
        <v>35714.840930700004</v>
      </c>
      <c r="U743" s="24">
        <f t="shared" si="108"/>
        <v>1</v>
      </c>
    </row>
    <row r="744" spans="1:21" x14ac:dyDescent="0.25">
      <c r="A744" s="135">
        <f t="shared" si="109"/>
        <v>726</v>
      </c>
      <c r="B744" s="134">
        <f t="shared" si="110"/>
        <v>264</v>
      </c>
      <c r="C744" s="77" t="s">
        <v>110</v>
      </c>
      <c r="D744" s="77" t="s">
        <v>116</v>
      </c>
      <c r="E744" s="129">
        <f t="shared" si="107"/>
        <v>1090164.3753000002</v>
      </c>
      <c r="F744" s="44">
        <v>0</v>
      </c>
      <c r="G744" s="44">
        <v>0</v>
      </c>
      <c r="H744" s="44">
        <v>0</v>
      </c>
      <c r="I744" s="44">
        <v>0</v>
      </c>
      <c r="J744" s="44">
        <v>1066834.8576685803</v>
      </c>
      <c r="K744" s="44"/>
      <c r="L744" s="44"/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/>
      <c r="S744" s="68"/>
      <c r="T744" s="136">
        <v>23329.517631420003</v>
      </c>
      <c r="U744" s="24">
        <f t="shared" si="108"/>
        <v>1</v>
      </c>
    </row>
    <row r="745" spans="1:21" x14ac:dyDescent="0.25">
      <c r="A745" s="135">
        <f t="shared" si="109"/>
        <v>727</v>
      </c>
      <c r="B745" s="134">
        <f t="shared" si="110"/>
        <v>265</v>
      </c>
      <c r="C745" s="77" t="s">
        <v>110</v>
      </c>
      <c r="D745" s="77" t="s">
        <v>273</v>
      </c>
      <c r="E745" s="129">
        <f t="shared" si="107"/>
        <v>1458644.1368999998</v>
      </c>
      <c r="F745" s="44">
        <v>0</v>
      </c>
      <c r="G745" s="44">
        <v>0</v>
      </c>
      <c r="H745" s="44">
        <v>0</v>
      </c>
      <c r="I745" s="44">
        <v>0</v>
      </c>
      <c r="J745" s="44">
        <v>1427429.1523703397</v>
      </c>
      <c r="K745" s="44"/>
      <c r="L745" s="44"/>
      <c r="M745" s="44">
        <v>0</v>
      </c>
      <c r="N745" s="44">
        <v>0</v>
      </c>
      <c r="O745" s="44">
        <v>0</v>
      </c>
      <c r="P745" s="44">
        <v>0</v>
      </c>
      <c r="Q745" s="44">
        <v>0</v>
      </c>
      <c r="R745" s="44"/>
      <c r="S745" s="68"/>
      <c r="T745" s="136">
        <v>31214.98452966</v>
      </c>
      <c r="U745" s="24">
        <f t="shared" si="108"/>
        <v>1</v>
      </c>
    </row>
    <row r="746" spans="1:21" x14ac:dyDescent="0.25">
      <c r="A746" s="135">
        <f t="shared" si="109"/>
        <v>728</v>
      </c>
      <c r="B746" s="134">
        <f t="shared" si="110"/>
        <v>266</v>
      </c>
      <c r="C746" s="77" t="s">
        <v>109</v>
      </c>
      <c r="D746" s="77" t="s">
        <v>676</v>
      </c>
      <c r="E746" s="129">
        <f t="shared" si="107"/>
        <v>4258070.3745964803</v>
      </c>
      <c r="F746" s="44">
        <v>0</v>
      </c>
      <c r="G746" s="44">
        <v>0</v>
      </c>
      <c r="H746" s="44"/>
      <c r="I746" s="44"/>
      <c r="J746" s="44"/>
      <c r="K746" s="44"/>
      <c r="L746" s="44"/>
      <c r="M746" s="44">
        <v>0</v>
      </c>
      <c r="N746" s="44">
        <v>0</v>
      </c>
      <c r="O746" s="44">
        <v>0</v>
      </c>
      <c r="P746" s="44">
        <v>0</v>
      </c>
      <c r="Q746" s="44">
        <v>4053675.3840281158</v>
      </c>
      <c r="R746" s="44">
        <v>87235.48</v>
      </c>
      <c r="S746" s="68">
        <v>28513.84</v>
      </c>
      <c r="T746" s="136">
        <v>88645.670568364687</v>
      </c>
      <c r="U746" s="24">
        <f t="shared" si="108"/>
        <v>1</v>
      </c>
    </row>
    <row r="747" spans="1:21" x14ac:dyDescent="0.25">
      <c r="A747" s="135">
        <f t="shared" si="109"/>
        <v>729</v>
      </c>
      <c r="B747" s="134">
        <f t="shared" si="110"/>
        <v>267</v>
      </c>
      <c r="C747" s="77"/>
      <c r="D747" s="77" t="s">
        <v>674</v>
      </c>
      <c r="E747" s="129">
        <f t="shared" si="107"/>
        <v>10942766.959917923</v>
      </c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>
        <v>10595319.46242368</v>
      </c>
      <c r="R747" s="44">
        <v>87235.48</v>
      </c>
      <c r="S747" s="68">
        <v>28513.84</v>
      </c>
      <c r="T747" s="136">
        <v>231698.17749424357</v>
      </c>
      <c r="U747" s="24">
        <f t="shared" si="108"/>
        <v>1</v>
      </c>
    </row>
    <row r="748" spans="1:21" x14ac:dyDescent="0.25">
      <c r="A748" s="135">
        <f t="shared" si="109"/>
        <v>730</v>
      </c>
      <c r="B748" s="134">
        <f t="shared" si="110"/>
        <v>268</v>
      </c>
      <c r="C748" s="77" t="s">
        <v>109</v>
      </c>
      <c r="D748" s="77" t="s">
        <v>266</v>
      </c>
      <c r="E748" s="129">
        <f t="shared" si="107"/>
        <v>5037776.7369999997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/>
      <c r="L748" s="44"/>
      <c r="M748" s="44">
        <v>0</v>
      </c>
      <c r="N748" s="44">
        <v>0</v>
      </c>
      <c r="O748" s="44">
        <v>0</v>
      </c>
      <c r="P748" s="44">
        <v>0</v>
      </c>
      <c r="Q748" s="44">
        <v>4929968.3148281993</v>
      </c>
      <c r="R748" s="44"/>
      <c r="S748" s="68"/>
      <c r="T748" s="136">
        <v>107808.4221718</v>
      </c>
      <c r="U748" s="24">
        <f t="shared" si="108"/>
        <v>1</v>
      </c>
    </row>
    <row r="749" spans="1:21" x14ac:dyDescent="0.25">
      <c r="A749" s="135">
        <f t="shared" si="109"/>
        <v>731</v>
      </c>
      <c r="B749" s="134">
        <f t="shared" si="110"/>
        <v>269</v>
      </c>
      <c r="C749" s="77" t="s">
        <v>109</v>
      </c>
      <c r="D749" s="77" t="s">
        <v>267</v>
      </c>
      <c r="E749" s="129">
        <f t="shared" si="107"/>
        <v>4996855.5961000007</v>
      </c>
      <c r="F749" s="44">
        <v>0</v>
      </c>
      <c r="G749" s="44">
        <v>0</v>
      </c>
      <c r="H749" s="44">
        <v>0</v>
      </c>
      <c r="I749" s="44">
        <v>0</v>
      </c>
      <c r="J749" s="44">
        <v>0</v>
      </c>
      <c r="K749" s="44"/>
      <c r="L749" s="44"/>
      <c r="M749" s="44">
        <v>0</v>
      </c>
      <c r="N749" s="44">
        <v>0</v>
      </c>
      <c r="O749" s="44">
        <v>0</v>
      </c>
      <c r="P749" s="44">
        <v>0</v>
      </c>
      <c r="Q749" s="44">
        <v>4889922.8863434605</v>
      </c>
      <c r="R749" s="44"/>
      <c r="S749" s="68"/>
      <c r="T749" s="136">
        <v>106932.70975654002</v>
      </c>
      <c r="U749" s="24">
        <f t="shared" si="108"/>
        <v>1</v>
      </c>
    </row>
    <row r="750" spans="1:21" x14ac:dyDescent="0.25">
      <c r="A750" s="135">
        <f t="shared" si="109"/>
        <v>732</v>
      </c>
      <c r="B750" s="134">
        <f t="shared" si="110"/>
        <v>270</v>
      </c>
      <c r="C750" s="77"/>
      <c r="D750" s="77" t="s">
        <v>675</v>
      </c>
      <c r="E750" s="129">
        <f t="shared" si="107"/>
        <v>6815055.1868583523</v>
      </c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>
        <v>6540166.4526155833</v>
      </c>
      <c r="R750" s="44">
        <v>90475.4</v>
      </c>
      <c r="S750" s="68">
        <v>41393.14</v>
      </c>
      <c r="T750" s="136">
        <v>143020.19424276875</v>
      </c>
      <c r="U750" s="24">
        <f t="shared" si="108"/>
        <v>1</v>
      </c>
    </row>
    <row r="751" spans="1:21" x14ac:dyDescent="0.25">
      <c r="A751" s="135">
        <f t="shared" si="109"/>
        <v>733</v>
      </c>
      <c r="B751" s="134">
        <f t="shared" si="110"/>
        <v>271</v>
      </c>
      <c r="C751" s="77" t="s">
        <v>534</v>
      </c>
      <c r="D751" s="77" t="s">
        <v>535</v>
      </c>
      <c r="E751" s="129">
        <f t="shared" si="107"/>
        <v>4904397.8896157993</v>
      </c>
      <c r="F751" s="44">
        <v>735304.27475400001</v>
      </c>
      <c r="G751" s="44"/>
      <c r="H751" s="44">
        <v>206096.46766800003</v>
      </c>
      <c r="I751" s="44">
        <v>0</v>
      </c>
      <c r="J751" s="44">
        <v>0</v>
      </c>
      <c r="K751" s="44"/>
      <c r="L751" s="44">
        <v>69083.30797200001</v>
      </c>
      <c r="M751" s="44">
        <v>0</v>
      </c>
      <c r="N751" s="44"/>
      <c r="O751" s="44">
        <v>0</v>
      </c>
      <c r="P751" s="44">
        <v>1764502.807326</v>
      </c>
      <c r="Q751" s="44">
        <v>1553997.7564439997</v>
      </c>
      <c r="R751" s="44">
        <v>440587.55700000003</v>
      </c>
      <c r="S751" s="44">
        <v>46256.106</v>
      </c>
      <c r="T751" s="136">
        <v>88569.6124518</v>
      </c>
      <c r="U751" s="24">
        <f t="shared" si="108"/>
        <v>5</v>
      </c>
    </row>
    <row r="756" spans="4:18" hidden="1" x14ac:dyDescent="0.25">
      <c r="D756" s="1">
        <v>2022</v>
      </c>
      <c r="E756" s="43">
        <f>SUM(F756:J756,M756:Q756)</f>
        <v>360</v>
      </c>
      <c r="F756" s="24">
        <f>COUNTIF(F17:F204,"&gt;0")</f>
        <v>55</v>
      </c>
      <c r="G756" s="24">
        <f>COUNTIF(G17:G204,"&gt;0")</f>
        <v>31</v>
      </c>
      <c r="H756" s="24">
        <f>COUNTIF(H17:H204,"&gt;0")</f>
        <v>53</v>
      </c>
      <c r="I756" s="24">
        <f>COUNTIF(I17:I204,"&gt;0")</f>
        <v>54</v>
      </c>
      <c r="J756" s="24">
        <f>COUNTIF(J17:J204,"&gt;0")</f>
        <v>18</v>
      </c>
      <c r="K756" s="24">
        <f>COUNTIF(K17:K476,"&gt;0")</f>
        <v>0</v>
      </c>
      <c r="L756" s="24">
        <f>COUNTIF(L17:L476,"&gt;0")</f>
        <v>50</v>
      </c>
      <c r="M756" s="24">
        <f>COUNTIF(M17:M204,"&gt;0")</f>
        <v>6</v>
      </c>
      <c r="N756" s="24">
        <f>COUNTIF(N17:N204,"&gt;0")</f>
        <v>63</v>
      </c>
      <c r="O756" s="24">
        <f>COUNTIF(O17:O204,"&gt;0")</f>
        <v>15</v>
      </c>
      <c r="P756" s="24">
        <f>COUNTIF(P17:P204,"&gt;0")</f>
        <v>30</v>
      </c>
      <c r="Q756" s="24">
        <f>COUNTIF(Q17:Q204,"&gt;0")</f>
        <v>35</v>
      </c>
      <c r="R756" s="4">
        <f>+E756-11-5</f>
        <v>344</v>
      </c>
    </row>
    <row r="757" spans="4:18" hidden="1" x14ac:dyDescent="0.25">
      <c r="D757" s="1">
        <v>2023</v>
      </c>
      <c r="E757" s="43">
        <f t="shared" ref="E757:E758" si="111">SUM(F757:J757,M757:Q757)</f>
        <v>532</v>
      </c>
      <c r="F757" s="24">
        <f>COUNTIF(F206:F479,"&gt;0")</f>
        <v>88</v>
      </c>
      <c r="G757" s="24">
        <f>COUNTIF(G206:G479,"&gt;0")</f>
        <v>62</v>
      </c>
      <c r="H757" s="24">
        <f>COUNTIF(H206:H479,"&gt;0")</f>
        <v>114</v>
      </c>
      <c r="I757" s="24">
        <f>COUNTIF(I206:I479,"&gt;0")</f>
        <v>68</v>
      </c>
      <c r="J757" s="24">
        <f>COUNTIF(J206:J479,"&gt;0")</f>
        <v>40</v>
      </c>
      <c r="K757" s="24">
        <f>COUNTIF(K207:K477,"&gt;0")</f>
        <v>0</v>
      </c>
      <c r="L757" s="24">
        <f t="shared" ref="L757:Q757" si="112">COUNTIF(L206:L479,"&gt;0")</f>
        <v>49</v>
      </c>
      <c r="M757" s="24">
        <f t="shared" si="112"/>
        <v>1</v>
      </c>
      <c r="N757" s="24">
        <f t="shared" si="112"/>
        <v>66</v>
      </c>
      <c r="O757" s="24">
        <f t="shared" si="112"/>
        <v>12</v>
      </c>
      <c r="P757" s="24">
        <f t="shared" si="112"/>
        <v>40</v>
      </c>
      <c r="Q757" s="24">
        <f t="shared" si="112"/>
        <v>41</v>
      </c>
    </row>
    <row r="758" spans="4:18" hidden="1" x14ac:dyDescent="0.25">
      <c r="D758" s="1">
        <v>2024</v>
      </c>
      <c r="E758" s="43">
        <f t="shared" si="111"/>
        <v>592</v>
      </c>
      <c r="F758" s="24">
        <f t="shared" ref="F758:Q758" si="113">COUNTIF(F481:F751,"&gt;0")</f>
        <v>105</v>
      </c>
      <c r="G758" s="24">
        <f t="shared" si="113"/>
        <v>70</v>
      </c>
      <c r="H758" s="24">
        <f t="shared" si="113"/>
        <v>102</v>
      </c>
      <c r="I758" s="24">
        <f t="shared" si="113"/>
        <v>71</v>
      </c>
      <c r="J758" s="24">
        <f t="shared" si="113"/>
        <v>29</v>
      </c>
      <c r="K758" s="24">
        <f t="shared" si="113"/>
        <v>0</v>
      </c>
      <c r="L758" s="24">
        <f t="shared" si="113"/>
        <v>84</v>
      </c>
      <c r="M758" s="24">
        <f t="shared" si="113"/>
        <v>30</v>
      </c>
      <c r="N758" s="24">
        <f t="shared" si="113"/>
        <v>54</v>
      </c>
      <c r="O758" s="24">
        <f t="shared" si="113"/>
        <v>16</v>
      </c>
      <c r="P758" s="24">
        <f t="shared" si="113"/>
        <v>57</v>
      </c>
      <c r="Q758" s="24">
        <f t="shared" si="113"/>
        <v>58</v>
      </c>
    </row>
    <row r="759" spans="4:18" hidden="1" x14ac:dyDescent="0.25">
      <c r="E759" s="4">
        <f>SUM(E756:E758)</f>
        <v>1484</v>
      </c>
      <c r="I759" s="1" t="s">
        <v>719</v>
      </c>
    </row>
    <row r="760" spans="4:18" hidden="1" x14ac:dyDescent="0.25">
      <c r="D760" s="69"/>
      <c r="E760" s="1" t="s">
        <v>716</v>
      </c>
    </row>
    <row r="761" spans="4:18" hidden="1" x14ac:dyDescent="0.25">
      <c r="D761" s="70"/>
      <c r="E761" s="1" t="s">
        <v>717</v>
      </c>
    </row>
    <row r="762" spans="4:18" hidden="1" x14ac:dyDescent="0.25">
      <c r="D762" s="71"/>
      <c r="E762" s="1" t="s">
        <v>718</v>
      </c>
    </row>
    <row r="805" spans="7:7" x14ac:dyDescent="0.25">
      <c r="G805" s="1" t="s">
        <v>553</v>
      </c>
    </row>
  </sheetData>
  <autoFilter ref="A12:WXO750"/>
  <mergeCells count="16">
    <mergeCell ref="D9:D12"/>
    <mergeCell ref="S10:S11"/>
    <mergeCell ref="T10:T11"/>
    <mergeCell ref="A6:T6"/>
    <mergeCell ref="M10:M11"/>
    <mergeCell ref="N10:N11"/>
    <mergeCell ref="O10:O11"/>
    <mergeCell ref="P10:P11"/>
    <mergeCell ref="Q10:Q11"/>
    <mergeCell ref="R10:R11"/>
    <mergeCell ref="E9:E11"/>
    <mergeCell ref="F9:T9"/>
    <mergeCell ref="F10:L10"/>
    <mergeCell ref="A9:A12"/>
    <mergeCell ref="B9:B12"/>
    <mergeCell ref="C9:C12"/>
  </mergeCells>
  <conditionalFormatting sqref="D511">
    <cfRule type="duplicateValues" dxfId="97" priority="92"/>
  </conditionalFormatting>
  <conditionalFormatting sqref="D572">
    <cfRule type="duplicateValues" dxfId="96" priority="91"/>
  </conditionalFormatting>
  <conditionalFormatting sqref="D622">
    <cfRule type="duplicateValues" dxfId="95" priority="90"/>
  </conditionalFormatting>
  <conditionalFormatting sqref="D698:D705">
    <cfRule type="duplicateValues" dxfId="94" priority="8480"/>
  </conditionalFormatting>
  <conditionalFormatting sqref="D707:D713">
    <cfRule type="duplicateValues" dxfId="93" priority="88"/>
  </conditionalFormatting>
  <conditionalFormatting sqref="D714">
    <cfRule type="duplicateValues" dxfId="92" priority="87"/>
  </conditionalFormatting>
  <conditionalFormatting sqref="D751">
    <cfRule type="duplicateValues" dxfId="91" priority="8499"/>
  </conditionalFormatting>
  <conditionalFormatting sqref="D720:D721">
    <cfRule type="duplicateValues" dxfId="90" priority="8522"/>
  </conditionalFormatting>
  <conditionalFormatting sqref="D746:D750 D559:D561 D489 D629 D604 D571 D554 D514 D491:D492 D718:D719 D706 D697 D686:D691">
    <cfRule type="duplicateValues" dxfId="89" priority="8613"/>
  </conditionalFormatting>
  <conditionalFormatting sqref="D53">
    <cfRule type="duplicateValues" dxfId="88" priority="74"/>
  </conditionalFormatting>
  <conditionalFormatting sqref="D735">
    <cfRule type="duplicateValues" dxfId="87" priority="73"/>
  </conditionalFormatting>
  <conditionalFormatting sqref="D736">
    <cfRule type="duplicateValues" dxfId="86" priority="72"/>
  </conditionalFormatting>
  <conditionalFormatting sqref="D733">
    <cfRule type="duplicateValues" dxfId="85" priority="71"/>
  </conditionalFormatting>
  <conditionalFormatting sqref="D212">
    <cfRule type="duplicateValues" dxfId="84" priority="69"/>
  </conditionalFormatting>
  <conditionalFormatting sqref="D225">
    <cfRule type="duplicateValues" dxfId="83" priority="68"/>
  </conditionalFormatting>
  <conditionalFormatting sqref="D265">
    <cfRule type="duplicateValues" dxfId="82" priority="66"/>
  </conditionalFormatting>
  <conditionalFormatting sqref="D269">
    <cfRule type="duplicateValues" dxfId="81" priority="65"/>
  </conditionalFormatting>
  <conditionalFormatting sqref="D65">
    <cfRule type="duplicateValues" dxfId="80" priority="64"/>
  </conditionalFormatting>
  <conditionalFormatting sqref="D105">
    <cfRule type="duplicateValues" dxfId="79" priority="63"/>
  </conditionalFormatting>
  <conditionalFormatting sqref="D330">
    <cfRule type="duplicateValues" dxfId="78" priority="62"/>
  </conditionalFormatting>
  <conditionalFormatting sqref="D135">
    <cfRule type="duplicateValues" dxfId="77" priority="61"/>
  </conditionalFormatting>
  <conditionalFormatting sqref="D137">
    <cfRule type="duplicateValues" dxfId="76" priority="60"/>
  </conditionalFormatting>
  <conditionalFormatting sqref="D382:D383">
    <cfRule type="duplicateValues" dxfId="75" priority="59"/>
  </conditionalFormatting>
  <conditionalFormatting sqref="D392">
    <cfRule type="duplicateValues" dxfId="74" priority="58"/>
  </conditionalFormatting>
  <conditionalFormatting sqref="D438">
    <cfRule type="duplicateValues" dxfId="73" priority="57"/>
  </conditionalFormatting>
  <conditionalFormatting sqref="D443">
    <cfRule type="duplicateValues" dxfId="72" priority="56"/>
  </conditionalFormatting>
  <conditionalFormatting sqref="D449:D450">
    <cfRule type="duplicateValues" dxfId="71" priority="55"/>
  </conditionalFormatting>
  <conditionalFormatting sqref="D469">
    <cfRule type="duplicateValues" dxfId="70" priority="54"/>
  </conditionalFormatting>
  <conditionalFormatting sqref="D470:D472">
    <cfRule type="duplicateValues" dxfId="69" priority="53"/>
  </conditionalFormatting>
  <conditionalFormatting sqref="D473">
    <cfRule type="duplicateValues" dxfId="68" priority="52"/>
  </conditionalFormatting>
  <conditionalFormatting sqref="D474:D475">
    <cfRule type="duplicateValues" dxfId="67" priority="51"/>
  </conditionalFormatting>
  <conditionalFormatting sqref="D206">
    <cfRule type="duplicateValues" dxfId="66" priority="50"/>
  </conditionalFormatting>
  <conditionalFormatting sqref="D229">
    <cfRule type="duplicateValues" dxfId="65" priority="49"/>
  </conditionalFormatting>
  <conditionalFormatting sqref="D231">
    <cfRule type="duplicateValues" dxfId="64" priority="48"/>
  </conditionalFormatting>
  <conditionalFormatting sqref="D234">
    <cfRule type="duplicateValues" dxfId="63" priority="47"/>
  </conditionalFormatting>
  <conditionalFormatting sqref="D274">
    <cfRule type="duplicateValues" dxfId="62" priority="44"/>
  </conditionalFormatting>
  <conditionalFormatting sqref="D276">
    <cfRule type="duplicateValues" dxfId="61" priority="43"/>
  </conditionalFormatting>
  <conditionalFormatting sqref="D291">
    <cfRule type="duplicateValues" dxfId="60" priority="42"/>
  </conditionalFormatting>
  <conditionalFormatting sqref="D306">
    <cfRule type="duplicateValues" dxfId="59" priority="41"/>
  </conditionalFormatting>
  <conditionalFormatting sqref="D310">
    <cfRule type="duplicateValues" dxfId="58" priority="40"/>
  </conditionalFormatting>
  <conditionalFormatting sqref="D328">
    <cfRule type="duplicateValues" dxfId="57" priority="39"/>
  </conditionalFormatting>
  <conditionalFormatting sqref="D334">
    <cfRule type="duplicateValues" dxfId="56" priority="38"/>
  </conditionalFormatting>
  <conditionalFormatting sqref="D345">
    <cfRule type="duplicateValues" dxfId="55" priority="36"/>
  </conditionalFormatting>
  <conditionalFormatting sqref="D384:D385">
    <cfRule type="duplicateValues" dxfId="54" priority="35"/>
  </conditionalFormatting>
  <conditionalFormatting sqref="D388:D391">
    <cfRule type="duplicateValues" dxfId="53" priority="34"/>
  </conditionalFormatting>
  <conditionalFormatting sqref="D433">
    <cfRule type="duplicateValues" dxfId="52" priority="31"/>
  </conditionalFormatting>
  <conditionalFormatting sqref="D477">
    <cfRule type="duplicateValues" dxfId="51" priority="30"/>
  </conditionalFormatting>
  <conditionalFormatting sqref="D273">
    <cfRule type="duplicateValues" dxfId="50" priority="27"/>
  </conditionalFormatting>
  <conditionalFormatting sqref="D293">
    <cfRule type="duplicateValues" dxfId="49" priority="26"/>
  </conditionalFormatting>
  <conditionalFormatting sqref="D299">
    <cfRule type="duplicateValues" dxfId="48" priority="25"/>
  </conditionalFormatting>
  <conditionalFormatting sqref="D309">
    <cfRule type="duplicateValues" dxfId="47" priority="23"/>
  </conditionalFormatting>
  <conditionalFormatting sqref="D322">
    <cfRule type="duplicateValues" dxfId="46" priority="22"/>
  </conditionalFormatting>
  <conditionalFormatting sqref="D340">
    <cfRule type="duplicateValues" dxfId="45" priority="21"/>
  </conditionalFormatting>
  <conditionalFormatting sqref="D478:D479">
    <cfRule type="duplicateValues" dxfId="44" priority="19"/>
  </conditionalFormatting>
  <conditionalFormatting sqref="D362">
    <cfRule type="duplicateValues" dxfId="43" priority="18"/>
  </conditionalFormatting>
  <conditionalFormatting sqref="D174">
    <cfRule type="duplicateValues" dxfId="42" priority="17"/>
  </conditionalFormatting>
  <conditionalFormatting sqref="D48">
    <cfRule type="duplicateValues" dxfId="41" priority="16"/>
  </conditionalFormatting>
  <conditionalFormatting sqref="D270">
    <cfRule type="duplicateValues" dxfId="40" priority="15"/>
  </conditionalFormatting>
  <conditionalFormatting sqref="D386">
    <cfRule type="duplicateValues" dxfId="39" priority="14"/>
  </conditionalFormatting>
  <conditionalFormatting sqref="D637">
    <cfRule type="duplicateValues" dxfId="38" priority="13"/>
  </conditionalFormatting>
  <conditionalFormatting sqref="D495">
    <cfRule type="duplicateValues" dxfId="37" priority="12"/>
  </conditionalFormatting>
  <conditionalFormatting sqref="D226">
    <cfRule type="duplicateValues" dxfId="36" priority="11"/>
  </conditionalFormatting>
  <conditionalFormatting sqref="D253">
    <cfRule type="duplicateValues" dxfId="35" priority="10"/>
  </conditionalFormatting>
  <conditionalFormatting sqref="D232">
    <cfRule type="duplicateValues" dxfId="34" priority="9"/>
  </conditionalFormatting>
  <conditionalFormatting sqref="D259">
    <cfRule type="duplicateValues" dxfId="33" priority="8"/>
  </conditionalFormatting>
  <conditionalFormatting sqref="D241">
    <cfRule type="duplicateValues" dxfId="32" priority="7"/>
  </conditionalFormatting>
  <conditionalFormatting sqref="D272">
    <cfRule type="duplicateValues" dxfId="31" priority="6"/>
  </conditionalFormatting>
  <conditionalFormatting sqref="D275">
    <cfRule type="duplicateValues" dxfId="30" priority="5"/>
  </conditionalFormatting>
  <conditionalFormatting sqref="D304">
    <cfRule type="duplicateValues" dxfId="29" priority="4"/>
  </conditionalFormatting>
  <conditionalFormatting sqref="D347:D348">
    <cfRule type="duplicateValues" dxfId="28" priority="3"/>
  </conditionalFormatting>
  <conditionalFormatting sqref="D346">
    <cfRule type="duplicateValues" dxfId="27" priority="2"/>
  </conditionalFormatting>
  <conditionalFormatting sqref="D476">
    <cfRule type="duplicateValues" dxfId="26" priority="1"/>
  </conditionalFormatting>
  <conditionalFormatting sqref="D369 D169 D131:D134 D55:D56 D17:D24 D27:D47 D235 D58 D60:D64 D76 D79:D93 D95 D109 D116:D120 D144:D152 D179:D190 D192:D201 D122:D125 D52 D244 D97:D104 D154:D161 D175 D66:D67 D163:D166 D49:D50 D136 D127:D128 D69:D73 D106:D107 D112:D113 D138 D171">
    <cfRule type="duplicateValues" dxfId="25" priority="9545"/>
  </conditionalFormatting>
  <pageMargins left="0.39370078740157483" right="0.39370078740157483" top="0.39370078740157483" bottom="0.39370078740157483" header="0.31496062992125984" footer="0.31496062992125984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98"/>
  <sheetViews>
    <sheetView view="pageBreakPreview" zoomScale="60" zoomScaleNormal="71" workbookViewId="0">
      <selection activeCell="R30" sqref="R30"/>
    </sheetView>
  </sheetViews>
  <sheetFormatPr defaultRowHeight="12.75" x14ac:dyDescent="0.2"/>
  <cols>
    <col min="1" max="1" width="9.140625" style="94"/>
    <col min="2" max="2" width="6.7109375" style="94" customWidth="1"/>
    <col min="3" max="3" width="35.7109375" style="94" customWidth="1"/>
    <col min="4" max="4" width="68.28515625" style="94" customWidth="1"/>
    <col min="5" max="8" width="16.7109375" style="94" hidden="1" customWidth="1"/>
    <col min="9" max="9" width="12.5703125" style="94" hidden="1" customWidth="1"/>
    <col min="10" max="13" width="16.7109375" style="94" hidden="1" customWidth="1"/>
    <col min="14" max="14" width="19.140625" style="94" customWidth="1"/>
    <col min="15" max="15" width="16.7109375" style="94" customWidth="1"/>
    <col min="16" max="16" width="19" style="94" customWidth="1"/>
    <col min="17" max="18" width="16.7109375" style="94" customWidth="1"/>
    <col min="19" max="19" width="18.140625" style="94" customWidth="1"/>
    <col min="20" max="23" width="16.7109375" style="94" customWidth="1"/>
    <col min="24" max="24" width="14" style="94" hidden="1" customWidth="1"/>
    <col min="25" max="27" width="9.140625" style="94" hidden="1" customWidth="1"/>
    <col min="28" max="28" width="14.42578125" style="94" hidden="1" customWidth="1"/>
    <col min="29" max="29" width="15.5703125" style="94" customWidth="1"/>
    <col min="30" max="30" width="0" style="94" hidden="1" customWidth="1"/>
    <col min="31" max="31" width="14.28515625" style="94" hidden="1" customWidth="1"/>
    <col min="32" max="32" width="0" style="94" hidden="1" customWidth="1"/>
    <col min="33" max="33" width="74.28515625" style="94" hidden="1" customWidth="1"/>
    <col min="34" max="34" width="13.28515625" style="94" hidden="1" customWidth="1"/>
    <col min="35" max="46" width="0" style="94" hidden="1" customWidth="1"/>
    <col min="47" max="48" width="13.140625" style="94" hidden="1" customWidth="1"/>
    <col min="49" max="51" width="0" style="94" hidden="1" customWidth="1"/>
    <col min="52" max="16384" width="9.140625" style="94"/>
  </cols>
  <sheetData>
    <row r="1" spans="1:49" ht="15" customHeight="1" x14ac:dyDescent="0.25">
      <c r="A1" s="77"/>
      <c r="B1" s="77"/>
      <c r="C1" s="78"/>
      <c r="D1" s="78"/>
      <c r="E1" s="78"/>
      <c r="F1" s="78"/>
      <c r="G1" s="78"/>
      <c r="H1" s="44"/>
      <c r="I1" s="44"/>
      <c r="J1" s="44"/>
      <c r="K1" s="79"/>
      <c r="L1" s="99"/>
      <c r="M1" s="44"/>
      <c r="N1" s="44"/>
      <c r="O1" s="44"/>
      <c r="P1" s="44"/>
      <c r="Q1" s="44"/>
      <c r="R1" s="44"/>
      <c r="U1" s="115"/>
      <c r="V1" s="115"/>
      <c r="W1" s="116" t="s">
        <v>1134</v>
      </c>
    </row>
    <row r="2" spans="1:49" ht="15.75" x14ac:dyDescent="0.25">
      <c r="U2" s="115"/>
      <c r="V2" s="115"/>
      <c r="W2" s="116" t="s">
        <v>1218</v>
      </c>
    </row>
    <row r="3" spans="1:49" ht="15.75" x14ac:dyDescent="0.25">
      <c r="U3" s="115"/>
      <c r="V3" s="115"/>
      <c r="W3" s="116" t="s">
        <v>1219</v>
      </c>
    </row>
    <row r="5" spans="1:49" ht="15.75" x14ac:dyDescent="0.2">
      <c r="B5" s="210" t="s">
        <v>640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</row>
    <row r="7" spans="1:49" x14ac:dyDescent="0.2">
      <c r="A7" s="211" t="s">
        <v>1</v>
      </c>
      <c r="B7" s="211" t="s">
        <v>1</v>
      </c>
      <c r="C7" s="211" t="s">
        <v>2</v>
      </c>
      <c r="D7" s="211" t="s">
        <v>3</v>
      </c>
      <c r="E7" s="211" t="s">
        <v>4</v>
      </c>
      <c r="F7" s="211"/>
      <c r="G7" s="211" t="s">
        <v>5</v>
      </c>
      <c r="H7" s="211" t="s">
        <v>6</v>
      </c>
      <c r="I7" s="211" t="s">
        <v>7</v>
      </c>
      <c r="J7" s="211" t="s">
        <v>8</v>
      </c>
      <c r="K7" s="211" t="s">
        <v>9</v>
      </c>
      <c r="L7" s="211"/>
      <c r="M7" s="211" t="s">
        <v>10</v>
      </c>
      <c r="N7" s="211" t="s">
        <v>11</v>
      </c>
      <c r="O7" s="211"/>
      <c r="P7" s="211"/>
      <c r="Q7" s="211"/>
      <c r="R7" s="211"/>
      <c r="S7" s="211"/>
      <c r="T7" s="211"/>
      <c r="U7" s="211" t="s">
        <v>12</v>
      </c>
      <c r="V7" s="211" t="s">
        <v>13</v>
      </c>
      <c r="W7" s="211" t="s">
        <v>14</v>
      </c>
    </row>
    <row r="8" spans="1:49" x14ac:dyDescent="0.2">
      <c r="A8" s="211"/>
      <c r="B8" s="211"/>
      <c r="C8" s="211"/>
      <c r="D8" s="211"/>
      <c r="E8" s="211" t="s">
        <v>16</v>
      </c>
      <c r="F8" s="211" t="s">
        <v>17</v>
      </c>
      <c r="G8" s="211"/>
      <c r="H8" s="211"/>
      <c r="I8" s="211"/>
      <c r="J8" s="211"/>
      <c r="K8" s="211" t="s">
        <v>18</v>
      </c>
      <c r="L8" s="211" t="s">
        <v>19</v>
      </c>
      <c r="M8" s="211"/>
      <c r="N8" s="211" t="s">
        <v>20</v>
      </c>
      <c r="O8" s="211" t="s">
        <v>21</v>
      </c>
      <c r="P8" s="211"/>
      <c r="Q8" s="211"/>
      <c r="R8" s="211"/>
      <c r="S8" s="211"/>
      <c r="T8" s="211"/>
      <c r="U8" s="211"/>
      <c r="V8" s="211"/>
      <c r="W8" s="211"/>
    </row>
    <row r="9" spans="1:49" ht="5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156" t="s">
        <v>28</v>
      </c>
      <c r="P9" s="156" t="s">
        <v>29</v>
      </c>
      <c r="Q9" s="156" t="s">
        <v>30</v>
      </c>
      <c r="R9" s="156" t="s">
        <v>31</v>
      </c>
      <c r="S9" s="156" t="s">
        <v>32</v>
      </c>
      <c r="T9" s="156" t="s">
        <v>677</v>
      </c>
      <c r="U9" s="211"/>
      <c r="V9" s="211"/>
      <c r="W9" s="211"/>
      <c r="Y9" s="109" t="s">
        <v>1084</v>
      </c>
      <c r="Z9" s="109" t="s">
        <v>1085</v>
      </c>
    </row>
    <row r="10" spans="1:49" x14ac:dyDescent="0.2">
      <c r="A10" s="211"/>
      <c r="B10" s="211"/>
      <c r="C10" s="211"/>
      <c r="D10" s="211"/>
      <c r="E10" s="211"/>
      <c r="F10" s="211"/>
      <c r="G10" s="211"/>
      <c r="H10" s="211"/>
      <c r="I10" s="211"/>
      <c r="J10" s="156" t="s">
        <v>39</v>
      </c>
      <c r="K10" s="156" t="s">
        <v>39</v>
      </c>
      <c r="L10" s="156" t="s">
        <v>39</v>
      </c>
      <c r="M10" s="156" t="s">
        <v>1086</v>
      </c>
      <c r="N10" s="156" t="s">
        <v>761</v>
      </c>
      <c r="O10" s="156" t="s">
        <v>761</v>
      </c>
      <c r="P10" s="156" t="s">
        <v>761</v>
      </c>
      <c r="Q10" s="156" t="s">
        <v>761</v>
      </c>
      <c r="R10" s="156" t="s">
        <v>761</v>
      </c>
      <c r="S10" s="156" t="s">
        <v>761</v>
      </c>
      <c r="T10" s="156" t="s">
        <v>761</v>
      </c>
      <c r="U10" s="156" t="s">
        <v>1087</v>
      </c>
      <c r="V10" s="156" t="s">
        <v>1087</v>
      </c>
      <c r="W10" s="211"/>
    </row>
    <row r="11" spans="1:49" x14ac:dyDescent="0.2">
      <c r="A11" s="100">
        <v>1</v>
      </c>
      <c r="B11" s="100" t="s">
        <v>572</v>
      </c>
      <c r="C11" s="100" t="s">
        <v>575</v>
      </c>
      <c r="D11" s="100" t="s">
        <v>579</v>
      </c>
      <c r="E11" s="100" t="s">
        <v>582</v>
      </c>
      <c r="F11" s="100" t="s">
        <v>582</v>
      </c>
      <c r="G11" s="100" t="s">
        <v>583</v>
      </c>
      <c r="H11" s="100" t="s">
        <v>622</v>
      </c>
      <c r="I11" s="100" t="s">
        <v>574</v>
      </c>
      <c r="J11" s="100" t="s">
        <v>571</v>
      </c>
      <c r="K11" s="100" t="s">
        <v>1088</v>
      </c>
      <c r="L11" s="100" t="s">
        <v>1089</v>
      </c>
      <c r="M11" s="100" t="s">
        <v>1090</v>
      </c>
      <c r="N11" s="100" t="s">
        <v>1091</v>
      </c>
      <c r="O11" s="100" t="s">
        <v>1092</v>
      </c>
      <c r="P11" s="100" t="s">
        <v>1093</v>
      </c>
      <c r="Q11" s="100" t="s">
        <v>1094</v>
      </c>
      <c r="R11" s="100" t="s">
        <v>1095</v>
      </c>
      <c r="S11" s="100" t="s">
        <v>1096</v>
      </c>
      <c r="T11" s="100" t="s">
        <v>1097</v>
      </c>
      <c r="U11" s="100" t="s">
        <v>1098</v>
      </c>
      <c r="V11" s="100" t="s">
        <v>1099</v>
      </c>
      <c r="W11" s="100" t="s">
        <v>1100</v>
      </c>
    </row>
    <row r="12" spans="1:49" ht="14.25" x14ac:dyDescent="0.2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8">
        <f>SUM(O12:T12)</f>
        <v>187620508.93046144</v>
      </c>
      <c r="O12" s="118">
        <f t="shared" ref="O12:T12" si="0">SUM(O13:O398)</f>
        <v>0</v>
      </c>
      <c r="P12" s="118">
        <f t="shared" si="0"/>
        <v>936544.15999999992</v>
      </c>
      <c r="Q12" s="118">
        <f t="shared" si="0"/>
        <v>0</v>
      </c>
      <c r="R12" s="118">
        <f t="shared" si="0"/>
        <v>186683964.77046144</v>
      </c>
      <c r="S12" s="118">
        <f t="shared" si="0"/>
        <v>0</v>
      </c>
      <c r="T12" s="118">
        <f t="shared" si="0"/>
        <v>0</v>
      </c>
      <c r="U12" s="112"/>
      <c r="V12" s="112"/>
      <c r="W12" s="113"/>
      <c r="AC12" s="96"/>
    </row>
    <row r="13" spans="1:49" ht="15" x14ac:dyDescent="0.25">
      <c r="A13" s="76">
        <v>1</v>
      </c>
      <c r="B13" s="77">
        <v>1</v>
      </c>
      <c r="C13" s="77" t="s">
        <v>545</v>
      </c>
      <c r="D13" s="77" t="s">
        <v>887</v>
      </c>
      <c r="E13" s="78" t="s">
        <v>580</v>
      </c>
      <c r="F13" s="78"/>
      <c r="G13" s="78" t="s">
        <v>573</v>
      </c>
      <c r="H13" s="78" t="s">
        <v>571</v>
      </c>
      <c r="I13" s="78" t="s">
        <v>576</v>
      </c>
      <c r="J13" s="44">
        <v>4345.7</v>
      </c>
      <c r="K13" s="44">
        <v>3724.5</v>
      </c>
      <c r="L13" s="44">
        <v>0</v>
      </c>
      <c r="M13" s="79">
        <v>151</v>
      </c>
      <c r="N13" s="72">
        <f t="shared" ref="N13:N108" si="1">+P13+Q13+R13+S13+T13</f>
        <v>1765327.31</v>
      </c>
      <c r="O13" s="44">
        <v>0</v>
      </c>
      <c r="P13" s="44"/>
      <c r="Q13" s="44"/>
      <c r="R13" s="44">
        <f>+'[12]Приложение № 4'!E13</f>
        <v>1765327.31</v>
      </c>
      <c r="S13" s="44"/>
      <c r="T13" s="44"/>
      <c r="U13" s="44">
        <v>4446.0200000000004</v>
      </c>
      <c r="V13" s="44">
        <v>4446.0200000000004</v>
      </c>
      <c r="W13" s="80" t="s">
        <v>1101</v>
      </c>
      <c r="X13" s="96" t="e">
        <f>+N13-#REF!</f>
        <v>#REF!</v>
      </c>
      <c r="Y13" s="94">
        <v>1766811.28</v>
      </c>
      <c r="Z13" s="94">
        <f>+(K13*12.08+L13*20.47)*12</f>
        <v>539903.52</v>
      </c>
      <c r="AB13" s="96" t="e">
        <f>+N13-#REF!</f>
        <v>#REF!</v>
      </c>
      <c r="AC13" s="27">
        <f>+N13-'[12]Приложение № 4'!E13</f>
        <v>0</v>
      </c>
      <c r="AE13" s="98" t="e">
        <f>+N13-#REF!</f>
        <v>#REF!</v>
      </c>
      <c r="AG13" s="101" t="s">
        <v>887</v>
      </c>
      <c r="AH13" s="102">
        <f t="shared" ref="AH13:AH108" si="2">SUM(AI13:AW13)</f>
        <v>1504969.2593303984</v>
      </c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>
        <v>1480969.2593303984</v>
      </c>
      <c r="AV13" s="102">
        <v>24000</v>
      </c>
      <c r="AW13" s="102"/>
    </row>
    <row r="14" spans="1:49" ht="15" x14ac:dyDescent="0.25">
      <c r="A14" s="76">
        <f>+A13+1</f>
        <v>2</v>
      </c>
      <c r="B14" s="77">
        <f>+B13+1</f>
        <v>2</v>
      </c>
      <c r="C14" s="77" t="s">
        <v>545</v>
      </c>
      <c r="D14" s="77" t="s">
        <v>888</v>
      </c>
      <c r="E14" s="78" t="s">
        <v>605</v>
      </c>
      <c r="F14" s="78"/>
      <c r="G14" s="78" t="s">
        <v>573</v>
      </c>
      <c r="H14" s="78" t="s">
        <v>582</v>
      </c>
      <c r="I14" s="78" t="s">
        <v>579</v>
      </c>
      <c r="J14" s="44">
        <v>3482.2</v>
      </c>
      <c r="K14" s="44">
        <v>3077.9</v>
      </c>
      <c r="L14" s="44">
        <v>0</v>
      </c>
      <c r="M14" s="79">
        <v>133</v>
      </c>
      <c r="N14" s="72">
        <f t="shared" si="1"/>
        <v>628645.94999999995</v>
      </c>
      <c r="O14" s="44">
        <v>0</v>
      </c>
      <c r="P14" s="44"/>
      <c r="Q14" s="44"/>
      <c r="R14" s="44">
        <f>+'[12]Приложение № 4'!E14</f>
        <v>628645.94999999995</v>
      </c>
      <c r="S14" s="44"/>
      <c r="T14" s="44"/>
      <c r="U14" s="44">
        <v>859.47</v>
      </c>
      <c r="V14" s="44">
        <v>859.47</v>
      </c>
      <c r="W14" s="80" t="s">
        <v>1101</v>
      </c>
      <c r="X14" s="96" t="e">
        <f>+N14-#REF!</f>
        <v>#REF!</v>
      </c>
      <c r="Y14" s="94">
        <v>1114851.48</v>
      </c>
      <c r="Z14" s="94">
        <f>+(K14*9.1+L14*18.19)*12</f>
        <v>336106.68</v>
      </c>
      <c r="AB14" s="96" t="e">
        <f>+N14-#REF!</f>
        <v>#REF!</v>
      </c>
      <c r="AC14" s="27">
        <f>+N14-'[12]Приложение № 4'!E14</f>
        <v>0</v>
      </c>
      <c r="AE14" s="98" t="e">
        <f>+N14-#REF!</f>
        <v>#REF!</v>
      </c>
      <c r="AG14" s="101" t="s">
        <v>888</v>
      </c>
      <c r="AH14" s="102">
        <f t="shared" si="2"/>
        <v>313039.14806659776</v>
      </c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>
        <v>289039.14806659776</v>
      </c>
      <c r="AV14" s="102">
        <v>24000</v>
      </c>
      <c r="AW14" s="102"/>
    </row>
    <row r="15" spans="1:49" ht="15" x14ac:dyDescent="0.25">
      <c r="A15" s="76">
        <f t="shared" ref="A15:B78" si="3">+A14+1</f>
        <v>3</v>
      </c>
      <c r="B15" s="77">
        <f t="shared" si="3"/>
        <v>3</v>
      </c>
      <c r="C15" s="77" t="s">
        <v>545</v>
      </c>
      <c r="D15" s="77" t="s">
        <v>889</v>
      </c>
      <c r="E15" s="78" t="s">
        <v>577</v>
      </c>
      <c r="F15" s="78"/>
      <c r="G15" s="78" t="s">
        <v>573</v>
      </c>
      <c r="H15" s="78" t="s">
        <v>1088</v>
      </c>
      <c r="I15" s="78" t="s">
        <v>572</v>
      </c>
      <c r="J15" s="44">
        <v>6586.2</v>
      </c>
      <c r="K15" s="44">
        <v>5635</v>
      </c>
      <c r="L15" s="44">
        <v>0</v>
      </c>
      <c r="M15" s="79">
        <v>227</v>
      </c>
      <c r="N15" s="72">
        <f t="shared" si="1"/>
        <v>1379242.0499999998</v>
      </c>
      <c r="O15" s="44">
        <v>0</v>
      </c>
      <c r="P15" s="44"/>
      <c r="Q15" s="44"/>
      <c r="R15" s="44">
        <f>+'[12]Приложение № 4'!E15</f>
        <v>1379242.0499999998</v>
      </c>
      <c r="S15" s="44"/>
      <c r="T15" s="44"/>
      <c r="U15" s="44">
        <v>1885.29</v>
      </c>
      <c r="V15" s="44">
        <v>1885.29</v>
      </c>
      <c r="W15" s="80" t="s">
        <v>1101</v>
      </c>
      <c r="X15" s="96" t="e">
        <f>+N15-#REF!</f>
        <v>#REF!</v>
      </c>
      <c r="Y15" s="94">
        <v>2575031.0499999998</v>
      </c>
      <c r="Z15" s="94">
        <f>+(K15*12.08+L15*20.47)*12</f>
        <v>816849.60000000009</v>
      </c>
      <c r="AB15" s="96" t="e">
        <f>+N15-#REF!</f>
        <v>#REF!</v>
      </c>
      <c r="AC15" s="27">
        <f>+N15-'[12]Приложение № 4'!E15</f>
        <v>0</v>
      </c>
      <c r="AE15" s="98" t="e">
        <f>+N15-#REF!</f>
        <v>#REF!</v>
      </c>
      <c r="AG15" s="101" t="s">
        <v>889</v>
      </c>
      <c r="AH15" s="102">
        <f t="shared" si="2"/>
        <v>957027.62467332091</v>
      </c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>
        <v>933027.62467332091</v>
      </c>
      <c r="AV15" s="102">
        <v>24000</v>
      </c>
      <c r="AW15" s="102"/>
    </row>
    <row r="16" spans="1:49" ht="15" x14ac:dyDescent="0.25">
      <c r="A16" s="76">
        <f t="shared" si="3"/>
        <v>4</v>
      </c>
      <c r="B16" s="77">
        <f t="shared" si="3"/>
        <v>4</v>
      </c>
      <c r="C16" s="77" t="s">
        <v>545</v>
      </c>
      <c r="D16" s="77" t="s">
        <v>890</v>
      </c>
      <c r="E16" s="78" t="s">
        <v>581</v>
      </c>
      <c r="F16" s="78"/>
      <c r="G16" s="78" t="s">
        <v>573</v>
      </c>
      <c r="H16" s="78" t="s">
        <v>582</v>
      </c>
      <c r="I16" s="78" t="s">
        <v>583</v>
      </c>
      <c r="J16" s="44">
        <v>5213</v>
      </c>
      <c r="K16" s="44">
        <v>4503.1000000000004</v>
      </c>
      <c r="L16" s="44">
        <v>0</v>
      </c>
      <c r="M16" s="79">
        <v>215</v>
      </c>
      <c r="N16" s="72">
        <f t="shared" si="1"/>
        <v>560136.63000000012</v>
      </c>
      <c r="O16" s="44">
        <v>0</v>
      </c>
      <c r="P16" s="44"/>
      <c r="Q16" s="44"/>
      <c r="R16" s="44">
        <f>+'[12]Приложение № 4'!E16</f>
        <v>560136.63000000012</v>
      </c>
      <c r="S16" s="44"/>
      <c r="T16" s="44"/>
      <c r="U16" s="44">
        <v>2115.58</v>
      </c>
      <c r="V16" s="44">
        <v>2115.58</v>
      </c>
      <c r="W16" s="80" t="s">
        <v>1101</v>
      </c>
      <c r="X16" s="96" t="e">
        <f>+N16-#REF!</f>
        <v>#REF!</v>
      </c>
      <c r="Y16" s="94">
        <v>1705252.11</v>
      </c>
      <c r="Z16" s="94">
        <f>+(K16*9.1+L16*18.19)*12</f>
        <v>491738.52</v>
      </c>
      <c r="AB16" s="96" t="e">
        <f>+N16-#REF!</f>
        <v>#REF!</v>
      </c>
      <c r="AC16" s="27">
        <f>+N16-'[12]Приложение № 4'!E16</f>
        <v>0</v>
      </c>
      <c r="AE16" s="98" t="e">
        <f>+N16-#REF!</f>
        <v>#REF!</v>
      </c>
      <c r="AG16" s="101" t="s">
        <v>890</v>
      </c>
      <c r="AH16" s="102">
        <f t="shared" si="2"/>
        <v>675007.91550885688</v>
      </c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>
        <v>651007.91550885688</v>
      </c>
      <c r="AV16" s="102">
        <v>24000</v>
      </c>
      <c r="AW16" s="102"/>
    </row>
    <row r="17" spans="1:49" ht="15" x14ac:dyDescent="0.25">
      <c r="A17" s="76">
        <f t="shared" si="3"/>
        <v>5</v>
      </c>
      <c r="B17" s="77">
        <f t="shared" si="3"/>
        <v>5</v>
      </c>
      <c r="C17" s="77" t="s">
        <v>545</v>
      </c>
      <c r="D17" s="77" t="s">
        <v>891</v>
      </c>
      <c r="E17" s="78" t="s">
        <v>631</v>
      </c>
      <c r="F17" s="78"/>
      <c r="G17" s="78" t="s">
        <v>573</v>
      </c>
      <c r="H17" s="78" t="s">
        <v>571</v>
      </c>
      <c r="I17" s="78" t="s">
        <v>576</v>
      </c>
      <c r="J17" s="44">
        <v>3148.2</v>
      </c>
      <c r="K17" s="44">
        <v>2680.4</v>
      </c>
      <c r="L17" s="44">
        <v>153.5</v>
      </c>
      <c r="M17" s="79">
        <v>87</v>
      </c>
      <c r="N17" s="72">
        <f t="shared" si="1"/>
        <v>441934.27</v>
      </c>
      <c r="O17" s="44">
        <v>0</v>
      </c>
      <c r="P17" s="44"/>
      <c r="Q17" s="44"/>
      <c r="R17" s="44">
        <f>+'[12]Приложение № 4'!E17</f>
        <v>441934.27</v>
      </c>
      <c r="S17" s="44"/>
      <c r="T17" s="44"/>
      <c r="U17" s="44">
        <v>4909.1400000000003</v>
      </c>
      <c r="V17" s="44">
        <v>4909.1400000000003</v>
      </c>
      <c r="W17" s="80" t="s">
        <v>1101</v>
      </c>
      <c r="X17" s="96" t="e">
        <f>+N17-#REF!</f>
        <v>#REF!</v>
      </c>
      <c r="Y17" s="94">
        <v>1229894.27</v>
      </c>
      <c r="Z17" s="94">
        <f>+(K17*12.08+L17*20.47)*12</f>
        <v>426256.52399999998</v>
      </c>
      <c r="AB17" s="96" t="e">
        <f>+N17-#REF!</f>
        <v>#REF!</v>
      </c>
      <c r="AC17" s="27">
        <f>+N17-'[12]Приложение № 4'!E17</f>
        <v>0</v>
      </c>
      <c r="AE17" s="98" t="e">
        <f>+N17-#REF!</f>
        <v>#REF!</v>
      </c>
      <c r="AG17" s="101" t="s">
        <v>891</v>
      </c>
      <c r="AH17" s="102">
        <f t="shared" si="2"/>
        <v>537499.0614078918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>
        <v>513499.0614078918</v>
      </c>
      <c r="AV17" s="102">
        <v>24000</v>
      </c>
      <c r="AW17" s="102"/>
    </row>
    <row r="18" spans="1:49" ht="15" x14ac:dyDescent="0.25">
      <c r="A18" s="76">
        <f t="shared" si="3"/>
        <v>6</v>
      </c>
      <c r="B18" s="77">
        <f t="shared" si="3"/>
        <v>6</v>
      </c>
      <c r="C18" s="77" t="s">
        <v>545</v>
      </c>
      <c r="D18" s="77" t="s">
        <v>892</v>
      </c>
      <c r="E18" s="78" t="s">
        <v>605</v>
      </c>
      <c r="F18" s="78"/>
      <c r="G18" s="78" t="s">
        <v>573</v>
      </c>
      <c r="H18" s="78" t="s">
        <v>582</v>
      </c>
      <c r="I18" s="78" t="s">
        <v>572</v>
      </c>
      <c r="J18" s="44">
        <v>2035.2</v>
      </c>
      <c r="K18" s="44">
        <v>1834.6</v>
      </c>
      <c r="L18" s="44">
        <v>0</v>
      </c>
      <c r="M18" s="79">
        <v>64</v>
      </c>
      <c r="N18" s="72">
        <f t="shared" si="1"/>
        <v>514059.43000000005</v>
      </c>
      <c r="O18" s="44">
        <v>0</v>
      </c>
      <c r="P18" s="44"/>
      <c r="Q18" s="44"/>
      <c r="R18" s="44">
        <f>+'[12]Приложение № 4'!E18</f>
        <v>514059.43000000005</v>
      </c>
      <c r="S18" s="44"/>
      <c r="T18" s="44"/>
      <c r="U18" s="44">
        <v>859.47</v>
      </c>
      <c r="V18" s="44">
        <v>859.47</v>
      </c>
      <c r="W18" s="80" t="s">
        <v>1101</v>
      </c>
      <c r="X18" s="96" t="e">
        <f>+N18-#REF!</f>
        <v>#REF!</v>
      </c>
      <c r="Y18" s="94">
        <v>661360.55000000005</v>
      </c>
      <c r="Z18" s="94">
        <f>+(K18*9.1+L18*18.19)*12</f>
        <v>200338.31999999995</v>
      </c>
      <c r="AB18" s="96" t="e">
        <f>+N18-#REF!</f>
        <v>#REF!</v>
      </c>
      <c r="AC18" s="27">
        <f>+N18-'[12]Приложение № 4'!E18</f>
        <v>0</v>
      </c>
      <c r="AE18" s="98" t="e">
        <f>+N18-#REF!</f>
        <v>#REF!</v>
      </c>
      <c r="AG18" s="101" t="s">
        <v>892</v>
      </c>
      <c r="AH18" s="102">
        <f t="shared" si="2"/>
        <v>257327.43846335544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>
        <v>233327.43846335544</v>
      </c>
      <c r="AV18" s="102">
        <v>24000</v>
      </c>
      <c r="AW18" s="102"/>
    </row>
    <row r="19" spans="1:49" ht="15" x14ac:dyDescent="0.25">
      <c r="A19" s="76">
        <f t="shared" si="3"/>
        <v>7</v>
      </c>
      <c r="B19" s="77">
        <f t="shared" si="3"/>
        <v>7</v>
      </c>
      <c r="C19" s="77" t="s">
        <v>545</v>
      </c>
      <c r="D19" s="77" t="s">
        <v>1030</v>
      </c>
      <c r="E19" s="78" t="s">
        <v>631</v>
      </c>
      <c r="F19" s="78"/>
      <c r="G19" s="78" t="s">
        <v>573</v>
      </c>
      <c r="H19" s="78" t="s">
        <v>571</v>
      </c>
      <c r="I19" s="78" t="s">
        <v>576</v>
      </c>
      <c r="J19" s="44">
        <v>3163.5</v>
      </c>
      <c r="K19" s="44">
        <v>2693.8</v>
      </c>
      <c r="L19" s="44">
        <v>0</v>
      </c>
      <c r="M19" s="79">
        <v>143</v>
      </c>
      <c r="N19" s="72">
        <f t="shared" si="1"/>
        <v>539082.57716751983</v>
      </c>
      <c r="O19" s="44">
        <v>0</v>
      </c>
      <c r="P19" s="44"/>
      <c r="Q19" s="44"/>
      <c r="R19" s="44">
        <f>+'[12]Приложение № 4'!E19</f>
        <v>539082.57716751983</v>
      </c>
      <c r="S19" s="44"/>
      <c r="T19" s="44"/>
      <c r="U19" s="44">
        <v>4909.1400000000003</v>
      </c>
      <c r="V19" s="44">
        <v>4909.1400000000003</v>
      </c>
      <c r="W19" s="80" t="s">
        <v>1101</v>
      </c>
      <c r="X19" s="96" t="e">
        <f>+N19-#REF!</f>
        <v>#REF!</v>
      </c>
      <c r="Y19" s="94">
        <v>1300254.93</v>
      </c>
      <c r="Z19" s="94">
        <f t="shared" ref="Z19:Z26" si="4">+(K19*12.08+L19*20.47)*12</f>
        <v>390493.24800000002</v>
      </c>
      <c r="AB19" s="96" t="e">
        <f>+N19-#REF!</f>
        <v>#REF!</v>
      </c>
      <c r="AC19" s="27">
        <f>+N19-'[12]Приложение № 4'!E19</f>
        <v>0</v>
      </c>
      <c r="AE19" s="98" t="e">
        <f>+N19-#REF!</f>
        <v>#REF!</v>
      </c>
      <c r="AG19" s="101" t="s">
        <v>1030</v>
      </c>
      <c r="AH19" s="102">
        <f t="shared" si="2"/>
        <v>539082.57716751983</v>
      </c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>
        <v>515082.57716751978</v>
      </c>
      <c r="AV19" s="102">
        <v>24000</v>
      </c>
      <c r="AW19" s="102"/>
    </row>
    <row r="20" spans="1:49" ht="15" x14ac:dyDescent="0.25">
      <c r="A20" s="76">
        <f t="shared" si="3"/>
        <v>8</v>
      </c>
      <c r="B20" s="77">
        <f t="shared" si="3"/>
        <v>8</v>
      </c>
      <c r="C20" s="77" t="s">
        <v>545</v>
      </c>
      <c r="D20" s="77" t="s">
        <v>1031</v>
      </c>
      <c r="E20" s="78" t="s">
        <v>631</v>
      </c>
      <c r="F20" s="78"/>
      <c r="G20" s="78" t="s">
        <v>573</v>
      </c>
      <c r="H20" s="78" t="s">
        <v>571</v>
      </c>
      <c r="I20" s="78" t="s">
        <v>576</v>
      </c>
      <c r="J20" s="44">
        <v>3150</v>
      </c>
      <c r="K20" s="44">
        <v>2678.1</v>
      </c>
      <c r="L20" s="44">
        <v>0</v>
      </c>
      <c r="M20" s="79">
        <v>125</v>
      </c>
      <c r="N20" s="72">
        <f t="shared" si="1"/>
        <v>413345.9236279992</v>
      </c>
      <c r="O20" s="44">
        <v>0</v>
      </c>
      <c r="P20" s="44"/>
      <c r="Q20" s="44"/>
      <c r="R20" s="44">
        <f>+'[12]Приложение № 4'!E20</f>
        <v>413345.9236279992</v>
      </c>
      <c r="S20" s="44"/>
      <c r="T20" s="44"/>
      <c r="U20" s="44">
        <v>728.66</v>
      </c>
      <c r="V20" s="44">
        <v>728.66</v>
      </c>
      <c r="W20" s="80" t="s">
        <v>1101</v>
      </c>
      <c r="X20" s="96" t="e">
        <f>+N20-#REF!</f>
        <v>#REF!</v>
      </c>
      <c r="Y20" s="94">
        <v>1204645.43</v>
      </c>
      <c r="Z20" s="94">
        <f t="shared" si="4"/>
        <v>388217.37599999999</v>
      </c>
      <c r="AB20" s="96" t="e">
        <f>+N20-#REF!</f>
        <v>#REF!</v>
      </c>
      <c r="AC20" s="27">
        <f>+N20-'[12]Приложение № 4'!E20</f>
        <v>0</v>
      </c>
      <c r="AE20" s="98" t="e">
        <f>+N20-#REF!</f>
        <v>#REF!</v>
      </c>
      <c r="AG20" s="101" t="s">
        <v>1031</v>
      </c>
      <c r="AH20" s="102">
        <f t="shared" si="2"/>
        <v>413345.9236279992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>
        <v>389345.9236279992</v>
      </c>
      <c r="AV20" s="102">
        <v>24000</v>
      </c>
      <c r="AW20" s="102"/>
    </row>
    <row r="21" spans="1:49" ht="15" x14ac:dyDescent="0.25">
      <c r="A21" s="76">
        <f t="shared" si="3"/>
        <v>9</v>
      </c>
      <c r="B21" s="77">
        <f t="shared" si="3"/>
        <v>9</v>
      </c>
      <c r="C21" s="77" t="s">
        <v>545</v>
      </c>
      <c r="D21" s="77" t="s">
        <v>1032</v>
      </c>
      <c r="E21" s="78" t="s">
        <v>580</v>
      </c>
      <c r="F21" s="78"/>
      <c r="G21" s="78" t="s">
        <v>573</v>
      </c>
      <c r="H21" s="78" t="s">
        <v>571</v>
      </c>
      <c r="I21" s="78" t="s">
        <v>576</v>
      </c>
      <c r="J21" s="44">
        <v>2846</v>
      </c>
      <c r="K21" s="44">
        <v>2452.1999999999998</v>
      </c>
      <c r="L21" s="44">
        <v>0</v>
      </c>
      <c r="M21" s="79">
        <v>98</v>
      </c>
      <c r="N21" s="72">
        <f t="shared" si="1"/>
        <v>360975.41000000003</v>
      </c>
      <c r="O21" s="44">
        <v>0</v>
      </c>
      <c r="P21" s="44"/>
      <c r="Q21" s="44"/>
      <c r="R21" s="44">
        <f>+'[12]Приложение № 4'!E21</f>
        <v>360975.41000000003</v>
      </c>
      <c r="S21" s="44"/>
      <c r="T21" s="44"/>
      <c r="U21" s="44">
        <v>728.66</v>
      </c>
      <c r="V21" s="44">
        <v>728.66</v>
      </c>
      <c r="W21" s="80" t="s">
        <v>1101</v>
      </c>
      <c r="X21" s="96" t="e">
        <f>+N21-#REF!</f>
        <v>#REF!</v>
      </c>
      <c r="Y21" s="94">
        <v>1243915.29</v>
      </c>
      <c r="Z21" s="94">
        <f t="shared" si="4"/>
        <v>355470.91199999995</v>
      </c>
      <c r="AB21" s="96" t="e">
        <f>+N21-#REF!</f>
        <v>#REF!</v>
      </c>
      <c r="AC21" s="27">
        <f>+N21-'[12]Приложение № 4'!E21</f>
        <v>0</v>
      </c>
      <c r="AE21" s="98" t="e">
        <f>+N21-#REF!</f>
        <v>#REF!</v>
      </c>
      <c r="AG21" s="101" t="s">
        <v>1032</v>
      </c>
      <c r="AH21" s="102">
        <f t="shared" si="2"/>
        <v>406592.62672878237</v>
      </c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>
        <v>382592.62672878237</v>
      </c>
      <c r="AV21" s="102">
        <v>24000</v>
      </c>
      <c r="AW21" s="102"/>
    </row>
    <row r="22" spans="1:49" ht="15" x14ac:dyDescent="0.25">
      <c r="A22" s="76">
        <f t="shared" si="3"/>
        <v>10</v>
      </c>
      <c r="B22" s="77">
        <f t="shared" si="3"/>
        <v>10</v>
      </c>
      <c r="C22" s="77" t="s">
        <v>545</v>
      </c>
      <c r="D22" s="77" t="s">
        <v>1033</v>
      </c>
      <c r="E22" s="78" t="s">
        <v>605</v>
      </c>
      <c r="F22" s="78"/>
      <c r="G22" s="78" t="s">
        <v>573</v>
      </c>
      <c r="H22" s="78" t="s">
        <v>571</v>
      </c>
      <c r="I22" s="78" t="s">
        <v>576</v>
      </c>
      <c r="J22" s="44">
        <v>2945.2</v>
      </c>
      <c r="K22" s="44">
        <v>2418.6</v>
      </c>
      <c r="L22" s="44">
        <v>98.6</v>
      </c>
      <c r="M22" s="79">
        <v>71</v>
      </c>
      <c r="N22" s="72">
        <f t="shared" si="1"/>
        <v>365115.69</v>
      </c>
      <c r="O22" s="44">
        <v>0</v>
      </c>
      <c r="P22" s="44"/>
      <c r="Q22" s="44"/>
      <c r="R22" s="44">
        <f>+'[12]Приложение № 4'!E22</f>
        <v>365115.69</v>
      </c>
      <c r="S22" s="44"/>
      <c r="T22" s="44"/>
      <c r="U22" s="44">
        <v>718.98</v>
      </c>
      <c r="V22" s="44">
        <v>718.98</v>
      </c>
      <c r="W22" s="80" t="s">
        <v>1101</v>
      </c>
      <c r="X22" s="96" t="e">
        <f>+N22-#REF!</f>
        <v>#REF!</v>
      </c>
      <c r="Y22" s="94">
        <v>1275757.28</v>
      </c>
      <c r="Z22" s="94">
        <f t="shared" si="4"/>
        <v>374820.36</v>
      </c>
      <c r="AB22" s="96" t="e">
        <f>+N22-#REF!</f>
        <v>#REF!</v>
      </c>
      <c r="AC22" s="27">
        <f>+N22-'[12]Приложение № 4'!E22</f>
        <v>0</v>
      </c>
      <c r="AE22" s="98" t="e">
        <f>+N22-#REF!</f>
        <v>#REF!</v>
      </c>
      <c r="AG22" s="101" t="s">
        <v>1033</v>
      </c>
      <c r="AH22" s="102">
        <f t="shared" si="2"/>
        <v>408912.49530239997</v>
      </c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>
        <v>384912.49530239997</v>
      </c>
      <c r="AV22" s="102">
        <v>24000</v>
      </c>
      <c r="AW22" s="102"/>
    </row>
    <row r="23" spans="1:49" ht="15" x14ac:dyDescent="0.25">
      <c r="A23" s="76">
        <f t="shared" si="3"/>
        <v>11</v>
      </c>
      <c r="B23" s="77">
        <f t="shared" si="3"/>
        <v>11</v>
      </c>
      <c r="C23" s="77" t="s">
        <v>545</v>
      </c>
      <c r="D23" s="77" t="s">
        <v>1034</v>
      </c>
      <c r="E23" s="78" t="s">
        <v>605</v>
      </c>
      <c r="F23" s="78"/>
      <c r="G23" s="78" t="s">
        <v>573</v>
      </c>
      <c r="H23" s="78" t="s">
        <v>571</v>
      </c>
      <c r="I23" s="78" t="s">
        <v>572</v>
      </c>
      <c r="J23" s="44">
        <v>5832.9</v>
      </c>
      <c r="K23" s="44">
        <v>4738.3999999999996</v>
      </c>
      <c r="L23" s="44">
        <v>267.2</v>
      </c>
      <c r="M23" s="79">
        <v>154</v>
      </c>
      <c r="N23" s="72">
        <f t="shared" si="1"/>
        <v>1132940.07</v>
      </c>
      <c r="O23" s="44">
        <v>0</v>
      </c>
      <c r="P23" s="44"/>
      <c r="Q23" s="44"/>
      <c r="R23" s="44">
        <f>+'[12]Приложение № 4'!E23</f>
        <v>1132940.07</v>
      </c>
      <c r="S23" s="44"/>
      <c r="T23" s="44"/>
      <c r="U23" s="44">
        <v>3289.39</v>
      </c>
      <c r="V23" s="44">
        <v>3289.39</v>
      </c>
      <c r="W23" s="80" t="s">
        <v>1101</v>
      </c>
      <c r="X23" s="96" t="e">
        <f>+N23-#REF!</f>
        <v>#REF!</v>
      </c>
      <c r="Y23" s="94">
        <v>2365307.71</v>
      </c>
      <c r="Z23" s="94">
        <f t="shared" si="4"/>
        <v>752513.47199999995</v>
      </c>
      <c r="AB23" s="96" t="e">
        <f>+N23-#REF!</f>
        <v>#REF!</v>
      </c>
      <c r="AC23" s="27">
        <f>+N23-'[12]Приложение № 4'!E23</f>
        <v>0</v>
      </c>
      <c r="AE23" s="98" t="e">
        <f>+N23-#REF!</f>
        <v>#REF!</v>
      </c>
      <c r="AG23" s="101" t="s">
        <v>1034</v>
      </c>
      <c r="AH23" s="102">
        <f t="shared" si="2"/>
        <v>1241162.9626559997</v>
      </c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>
        <v>1217162.9626559997</v>
      </c>
      <c r="AV23" s="102">
        <v>24000</v>
      </c>
      <c r="AW23" s="102"/>
    </row>
    <row r="24" spans="1:49" ht="15" x14ac:dyDescent="0.25">
      <c r="A24" s="76">
        <f t="shared" si="3"/>
        <v>12</v>
      </c>
      <c r="B24" s="77">
        <f t="shared" si="3"/>
        <v>12</v>
      </c>
      <c r="C24" s="77" t="s">
        <v>545</v>
      </c>
      <c r="D24" s="77" t="s">
        <v>1035</v>
      </c>
      <c r="E24" s="78" t="s">
        <v>578</v>
      </c>
      <c r="F24" s="78"/>
      <c r="G24" s="78" t="s">
        <v>573</v>
      </c>
      <c r="H24" s="78" t="s">
        <v>571</v>
      </c>
      <c r="I24" s="78" t="s">
        <v>576</v>
      </c>
      <c r="J24" s="44">
        <v>4533.6000000000004</v>
      </c>
      <c r="K24" s="44">
        <v>3892</v>
      </c>
      <c r="L24" s="44">
        <v>0</v>
      </c>
      <c r="M24" s="79">
        <v>155</v>
      </c>
      <c r="N24" s="72">
        <f t="shared" si="1"/>
        <v>1019590.6252053897</v>
      </c>
      <c r="O24" s="44">
        <v>0</v>
      </c>
      <c r="P24" s="44"/>
      <c r="Q24" s="44"/>
      <c r="R24" s="44">
        <f>+'[12]Приложение № 4'!E24</f>
        <v>1019590.6252053897</v>
      </c>
      <c r="S24" s="44"/>
      <c r="T24" s="44"/>
      <c r="U24" s="44">
        <v>5637.81</v>
      </c>
      <c r="V24" s="44">
        <v>5637.81</v>
      </c>
      <c r="W24" s="80" t="s">
        <v>1101</v>
      </c>
      <c r="X24" s="96" t="e">
        <f>+N24-#REF!</f>
        <v>#REF!</v>
      </c>
      <c r="Y24" s="94">
        <v>1870903.38</v>
      </c>
      <c r="Z24" s="94">
        <f t="shared" si="4"/>
        <v>564184.32000000007</v>
      </c>
      <c r="AB24" s="96" t="e">
        <f>+N24-#REF!</f>
        <v>#REF!</v>
      </c>
      <c r="AC24" s="27">
        <f>+N24-'[12]Приложение № 4'!E24</f>
        <v>0</v>
      </c>
      <c r="AE24" s="98" t="e">
        <f>+N24-#REF!</f>
        <v>#REF!</v>
      </c>
      <c r="AG24" s="101" t="s">
        <v>1035</v>
      </c>
      <c r="AH24" s="102">
        <f t="shared" si="2"/>
        <v>1019590.6252053897</v>
      </c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>
        <v>995590.62520538969</v>
      </c>
      <c r="AV24" s="102">
        <v>24000</v>
      </c>
      <c r="AW24" s="102"/>
    </row>
    <row r="25" spans="1:49" ht="15" x14ac:dyDescent="0.25">
      <c r="A25" s="76">
        <f t="shared" si="3"/>
        <v>13</v>
      </c>
      <c r="B25" s="77">
        <f t="shared" si="3"/>
        <v>13</v>
      </c>
      <c r="C25" s="77" t="s">
        <v>545</v>
      </c>
      <c r="D25" s="77" t="s">
        <v>1036</v>
      </c>
      <c r="E25" s="78" t="s">
        <v>578</v>
      </c>
      <c r="F25" s="78"/>
      <c r="G25" s="78" t="s">
        <v>573</v>
      </c>
      <c r="H25" s="78" t="s">
        <v>571</v>
      </c>
      <c r="I25" s="78" t="s">
        <v>576</v>
      </c>
      <c r="J25" s="44">
        <v>4531.3</v>
      </c>
      <c r="K25" s="44">
        <v>3890.9</v>
      </c>
      <c r="L25" s="44">
        <v>0</v>
      </c>
      <c r="M25" s="79">
        <v>144</v>
      </c>
      <c r="N25" s="72">
        <f t="shared" si="1"/>
        <v>584127.39066321694</v>
      </c>
      <c r="O25" s="44">
        <v>0</v>
      </c>
      <c r="P25" s="44"/>
      <c r="Q25" s="44"/>
      <c r="R25" s="44">
        <f>+'[12]Приложение № 4'!E25</f>
        <v>584127.39066321694</v>
      </c>
      <c r="S25" s="44"/>
      <c r="T25" s="44"/>
      <c r="U25" s="44">
        <v>4909.1400000000003</v>
      </c>
      <c r="V25" s="44">
        <v>4909.1400000000003</v>
      </c>
      <c r="W25" s="80" t="s">
        <v>1101</v>
      </c>
      <c r="X25" s="96" t="e">
        <f>+N25-#REF!</f>
        <v>#REF!</v>
      </c>
      <c r="Y25" s="94">
        <v>1933986.18</v>
      </c>
      <c r="Z25" s="94">
        <f t="shared" si="4"/>
        <v>564024.86400000006</v>
      </c>
      <c r="AB25" s="96" t="e">
        <f>+N25-#REF!</f>
        <v>#REF!</v>
      </c>
      <c r="AC25" s="27">
        <f>+N25-'[12]Приложение № 4'!E25</f>
        <v>0</v>
      </c>
      <c r="AE25" s="98" t="e">
        <f>+N25-#REF!</f>
        <v>#REF!</v>
      </c>
      <c r="AG25" s="101" t="s">
        <v>1036</v>
      </c>
      <c r="AH25" s="102">
        <f t="shared" si="2"/>
        <v>584127.39066321694</v>
      </c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>
        <v>560127.39066321694</v>
      </c>
      <c r="AV25" s="102">
        <v>24000</v>
      </c>
      <c r="AW25" s="102"/>
    </row>
    <row r="26" spans="1:49" ht="15" x14ac:dyDescent="0.25">
      <c r="A26" s="76">
        <f t="shared" si="3"/>
        <v>14</v>
      </c>
      <c r="B26" s="77">
        <f t="shared" si="3"/>
        <v>14</v>
      </c>
      <c r="C26" s="77" t="s">
        <v>545</v>
      </c>
      <c r="D26" s="77" t="s">
        <v>1037</v>
      </c>
      <c r="E26" s="78" t="s">
        <v>631</v>
      </c>
      <c r="F26" s="78"/>
      <c r="G26" s="78" t="s">
        <v>573</v>
      </c>
      <c r="H26" s="78" t="s">
        <v>571</v>
      </c>
      <c r="I26" s="78" t="s">
        <v>582</v>
      </c>
      <c r="J26" s="44">
        <v>13710.6</v>
      </c>
      <c r="K26" s="44">
        <v>10703.7</v>
      </c>
      <c r="L26" s="44">
        <v>923.1</v>
      </c>
      <c r="M26" s="79">
        <v>477</v>
      </c>
      <c r="N26" s="72">
        <f t="shared" si="1"/>
        <v>194947.9</v>
      </c>
      <c r="O26" s="44">
        <v>0</v>
      </c>
      <c r="P26" s="44"/>
      <c r="Q26" s="44"/>
      <c r="R26" s="44">
        <f>+'[12]Приложение № 4'!E26</f>
        <v>194947.9</v>
      </c>
      <c r="S26" s="44"/>
      <c r="T26" s="44"/>
      <c r="U26" s="44">
        <v>303.45999999999998</v>
      </c>
      <c r="V26" s="44">
        <v>303.45999999999998</v>
      </c>
      <c r="W26" s="80" t="s">
        <v>1101</v>
      </c>
      <c r="X26" s="96" t="e">
        <f>+N26-#REF!</f>
        <v>#REF!</v>
      </c>
      <c r="Y26" s="94">
        <v>5707766.4299999997</v>
      </c>
      <c r="Z26" s="94">
        <f t="shared" si="4"/>
        <v>1778358.6360000002</v>
      </c>
      <c r="AB26" s="96" t="e">
        <f>+N26-#REF!</f>
        <v>#REF!</v>
      </c>
      <c r="AC26" s="27">
        <f>+N26-'[12]Приложение № 4'!E26</f>
        <v>0</v>
      </c>
      <c r="AE26" s="98" t="e">
        <f>+N26-#REF!</f>
        <v>#REF!</v>
      </c>
      <c r="AG26" s="101" t="s">
        <v>1037</v>
      </c>
      <c r="AH26" s="102">
        <f t="shared" si="2"/>
        <v>237835.27468032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>
        <v>213835.27468032</v>
      </c>
      <c r="AV26" s="102">
        <v>24000</v>
      </c>
      <c r="AW26" s="102"/>
    </row>
    <row r="27" spans="1:49" ht="15" x14ac:dyDescent="0.25">
      <c r="A27" s="76">
        <f t="shared" si="3"/>
        <v>15</v>
      </c>
      <c r="B27" s="77">
        <f t="shared" si="3"/>
        <v>15</v>
      </c>
      <c r="C27" s="77" t="s">
        <v>545</v>
      </c>
      <c r="D27" s="77" t="s">
        <v>1038</v>
      </c>
      <c r="E27" s="78" t="s">
        <v>631</v>
      </c>
      <c r="F27" s="78"/>
      <c r="G27" s="78" t="s">
        <v>573</v>
      </c>
      <c r="H27" s="78" t="s">
        <v>582</v>
      </c>
      <c r="I27" s="78" t="s">
        <v>579</v>
      </c>
      <c r="J27" s="44">
        <v>5725</v>
      </c>
      <c r="K27" s="44">
        <v>4803</v>
      </c>
      <c r="L27" s="44">
        <v>0</v>
      </c>
      <c r="M27" s="79">
        <v>190</v>
      </c>
      <c r="N27" s="72">
        <f t="shared" si="1"/>
        <v>544797.25</v>
      </c>
      <c r="O27" s="44">
        <v>0</v>
      </c>
      <c r="P27" s="44"/>
      <c r="Q27" s="44"/>
      <c r="R27" s="44">
        <f>+'[12]Приложение № 4'!E27</f>
        <v>544797.25</v>
      </c>
      <c r="S27" s="44"/>
      <c r="T27" s="44"/>
      <c r="U27" s="44">
        <v>2235.6799999999998</v>
      </c>
      <c r="V27" s="44">
        <v>2235.6799999999998</v>
      </c>
      <c r="W27" s="80" t="s">
        <v>1101</v>
      </c>
      <c r="X27" s="96" t="e">
        <f>+N27-#REF!</f>
        <v>#REF!</v>
      </c>
      <c r="Y27" s="94">
        <v>1977202.24</v>
      </c>
      <c r="Z27" s="94">
        <f>+(K27*9.1+L27*18.19)*12</f>
        <v>524487.6</v>
      </c>
      <c r="AB27" s="96" t="e">
        <f>+N27-#REF!</f>
        <v>#REF!</v>
      </c>
      <c r="AC27" s="27">
        <f>+N27-'[12]Приложение № 4'!E27</f>
        <v>0</v>
      </c>
      <c r="AE27" s="98" t="e">
        <f>+N27-#REF!</f>
        <v>#REF!</v>
      </c>
      <c r="AG27" s="101" t="s">
        <v>1038</v>
      </c>
      <c r="AH27" s="102">
        <f t="shared" si="2"/>
        <v>816012.83335832052</v>
      </c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>
        <v>792012.83335832052</v>
      </c>
      <c r="AV27" s="102">
        <v>24000</v>
      </c>
      <c r="AW27" s="102"/>
    </row>
    <row r="28" spans="1:49" ht="15" x14ac:dyDescent="0.25">
      <c r="A28" s="76">
        <f t="shared" si="3"/>
        <v>16</v>
      </c>
      <c r="B28" s="77">
        <f t="shared" si="3"/>
        <v>16</v>
      </c>
      <c r="C28" s="77" t="s">
        <v>545</v>
      </c>
      <c r="D28" s="77" t="s">
        <v>899</v>
      </c>
      <c r="E28" s="78" t="s">
        <v>631</v>
      </c>
      <c r="F28" s="78"/>
      <c r="G28" s="78" t="s">
        <v>573</v>
      </c>
      <c r="H28" s="78" t="s">
        <v>571</v>
      </c>
      <c r="I28" s="78" t="s">
        <v>576</v>
      </c>
      <c r="J28" s="44">
        <v>3109.7</v>
      </c>
      <c r="K28" s="44">
        <v>2518.8000000000002</v>
      </c>
      <c r="L28" s="44">
        <v>150.30000000000001</v>
      </c>
      <c r="M28" s="79">
        <v>112</v>
      </c>
      <c r="N28" s="72">
        <f t="shared" si="1"/>
        <v>750904.93</v>
      </c>
      <c r="O28" s="44">
        <v>0</v>
      </c>
      <c r="P28" s="44"/>
      <c r="Q28" s="44"/>
      <c r="R28" s="44">
        <f>+'[12]Приложение № 4'!E28</f>
        <v>750904.93</v>
      </c>
      <c r="S28" s="44"/>
      <c r="T28" s="44"/>
      <c r="U28" s="44">
        <v>906.02</v>
      </c>
      <c r="V28" s="44">
        <v>906.02</v>
      </c>
      <c r="W28" s="80" t="s">
        <v>1101</v>
      </c>
      <c r="X28" s="96" t="e">
        <f>+N28-#REF!</f>
        <v>#REF!</v>
      </c>
      <c r="Y28" s="94">
        <v>1351374</v>
      </c>
      <c r="Z28" s="94">
        <f>+(K28*12.08+L28*20.47)*12</f>
        <v>402044.94000000006</v>
      </c>
      <c r="AB28" s="96" t="e">
        <f>+N28-#REF!</f>
        <v>#REF!</v>
      </c>
      <c r="AC28" s="27">
        <f>+N28-'[12]Приложение № 4'!E28</f>
        <v>0</v>
      </c>
      <c r="AE28" s="98" t="e">
        <f>+N28-#REF!</f>
        <v>#REF!</v>
      </c>
      <c r="AG28" s="101" t="s">
        <v>899</v>
      </c>
      <c r="AH28" s="102">
        <f t="shared" si="2"/>
        <v>412881.09493287123</v>
      </c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>
        <v>388881.09493287123</v>
      </c>
      <c r="AV28" s="102">
        <v>24000</v>
      </c>
      <c r="AW28" s="102"/>
    </row>
    <row r="29" spans="1:49" ht="15" x14ac:dyDescent="0.25">
      <c r="A29" s="76">
        <f t="shared" si="3"/>
        <v>17</v>
      </c>
      <c r="B29" s="77">
        <f t="shared" si="3"/>
        <v>17</v>
      </c>
      <c r="C29" s="77" t="s">
        <v>545</v>
      </c>
      <c r="D29" s="77" t="s">
        <v>1039</v>
      </c>
      <c r="E29" s="78" t="s">
        <v>625</v>
      </c>
      <c r="F29" s="78"/>
      <c r="G29" s="78" t="s">
        <v>573</v>
      </c>
      <c r="H29" s="78" t="s">
        <v>571</v>
      </c>
      <c r="I29" s="78" t="s">
        <v>575</v>
      </c>
      <c r="J29" s="44">
        <v>6554</v>
      </c>
      <c r="K29" s="44">
        <v>5458.5</v>
      </c>
      <c r="L29" s="44">
        <v>187.3</v>
      </c>
      <c r="M29" s="79">
        <v>259</v>
      </c>
      <c r="N29" s="72">
        <f t="shared" si="1"/>
        <v>334516.96000000002</v>
      </c>
      <c r="O29" s="44">
        <v>0</v>
      </c>
      <c r="P29" s="44"/>
      <c r="Q29" s="44"/>
      <c r="R29" s="44">
        <f>+'[12]Приложение № 4'!E29</f>
        <v>334516.96000000002</v>
      </c>
      <c r="S29" s="44"/>
      <c r="T29" s="44"/>
      <c r="U29" s="44">
        <v>728.66</v>
      </c>
      <c r="V29" s="44">
        <v>728.66</v>
      </c>
      <c r="W29" s="80" t="s">
        <v>1101</v>
      </c>
      <c r="X29" s="96" t="e">
        <f>+N29-#REF!</f>
        <v>#REF!</v>
      </c>
      <c r="Y29" s="94">
        <v>2656130.35</v>
      </c>
      <c r="Z29" s="94">
        <f>+(K29*12.08+L29*20.47)*12</f>
        <v>837272.53200000012</v>
      </c>
      <c r="AB29" s="96" t="e">
        <f>+N29-#REF!</f>
        <v>#REF!</v>
      </c>
      <c r="AC29" s="27">
        <f>+N29-'[12]Приложение № 4'!E29</f>
        <v>0</v>
      </c>
      <c r="AE29" s="98" t="e">
        <f>+N29-#REF!</f>
        <v>#REF!</v>
      </c>
      <c r="AG29" s="101" t="s">
        <v>1039</v>
      </c>
      <c r="AH29" s="102">
        <f t="shared" si="2"/>
        <v>496224.8799693216</v>
      </c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>
        <v>472224.8799693216</v>
      </c>
      <c r="AV29" s="102">
        <v>24000</v>
      </c>
      <c r="AW29" s="102"/>
    </row>
    <row r="30" spans="1:49" ht="15" x14ac:dyDescent="0.25">
      <c r="A30" s="76">
        <f t="shared" si="3"/>
        <v>18</v>
      </c>
      <c r="B30" s="77">
        <f t="shared" si="3"/>
        <v>18</v>
      </c>
      <c r="C30" s="77" t="s">
        <v>545</v>
      </c>
      <c r="D30" s="77" t="s">
        <v>1040</v>
      </c>
      <c r="E30" s="78" t="s">
        <v>625</v>
      </c>
      <c r="F30" s="78"/>
      <c r="G30" s="78" t="s">
        <v>573</v>
      </c>
      <c r="H30" s="78" t="s">
        <v>571</v>
      </c>
      <c r="I30" s="78" t="s">
        <v>575</v>
      </c>
      <c r="J30" s="44">
        <v>6649.6</v>
      </c>
      <c r="K30" s="44">
        <v>5301.1</v>
      </c>
      <c r="L30" s="44">
        <v>281.3</v>
      </c>
      <c r="M30" s="79">
        <v>229</v>
      </c>
      <c r="N30" s="72">
        <f t="shared" si="1"/>
        <v>325945.57</v>
      </c>
      <c r="O30" s="44">
        <v>0</v>
      </c>
      <c r="P30" s="44"/>
      <c r="Q30" s="44"/>
      <c r="R30" s="44">
        <f>+'[12]Приложение № 4'!E30</f>
        <v>325945.57</v>
      </c>
      <c r="S30" s="44"/>
      <c r="T30" s="44"/>
      <c r="U30" s="44">
        <v>728.66</v>
      </c>
      <c r="V30" s="44">
        <v>728.66</v>
      </c>
      <c r="W30" s="80" t="s">
        <v>1101</v>
      </c>
      <c r="X30" s="96" t="e">
        <f>+N30-#REF!</f>
        <v>#REF!</v>
      </c>
      <c r="Y30" s="94">
        <v>2723792.65</v>
      </c>
      <c r="Z30" s="94">
        <f>+(K30*12.08+L30*20.47)*12</f>
        <v>837545.98800000013</v>
      </c>
      <c r="AB30" s="96" t="e">
        <f>+N30-#REF!</f>
        <v>#REF!</v>
      </c>
      <c r="AC30" s="27">
        <f>+N30-'[12]Приложение № 4'!E30</f>
        <v>0</v>
      </c>
      <c r="AE30" s="98" t="e">
        <f>+N30-#REF!</f>
        <v>#REF!</v>
      </c>
      <c r="AG30" s="101" t="s">
        <v>1040</v>
      </c>
      <c r="AH30" s="102">
        <f t="shared" si="2"/>
        <v>483189.75527594634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>
        <v>459189.75527594634</v>
      </c>
      <c r="AV30" s="102">
        <v>24000</v>
      </c>
      <c r="AW30" s="102"/>
    </row>
    <row r="31" spans="1:49" ht="15" x14ac:dyDescent="0.25">
      <c r="A31" s="76">
        <f t="shared" si="3"/>
        <v>19</v>
      </c>
      <c r="B31" s="77">
        <f t="shared" si="3"/>
        <v>19</v>
      </c>
      <c r="C31" s="77" t="s">
        <v>545</v>
      </c>
      <c r="D31" s="77" t="s">
        <v>905</v>
      </c>
      <c r="E31" s="78" t="s">
        <v>587</v>
      </c>
      <c r="F31" s="78"/>
      <c r="G31" s="78" t="s">
        <v>573</v>
      </c>
      <c r="H31" s="78" t="s">
        <v>582</v>
      </c>
      <c r="I31" s="78" t="s">
        <v>575</v>
      </c>
      <c r="J31" s="44">
        <v>5023.3999999999996</v>
      </c>
      <c r="K31" s="44">
        <v>4316.8999999999996</v>
      </c>
      <c r="L31" s="44">
        <v>0</v>
      </c>
      <c r="M31" s="79">
        <v>187</v>
      </c>
      <c r="N31" s="72">
        <f t="shared" si="1"/>
        <v>608400.32000000007</v>
      </c>
      <c r="O31" s="44">
        <v>0</v>
      </c>
      <c r="P31" s="44"/>
      <c r="Q31" s="44"/>
      <c r="R31" s="44">
        <f>+'[12]Приложение № 4'!E31</f>
        <v>608400.32000000007</v>
      </c>
      <c r="S31" s="44"/>
      <c r="T31" s="44"/>
      <c r="U31" s="44">
        <v>775.71</v>
      </c>
      <c r="V31" s="44">
        <v>775.71</v>
      </c>
      <c r="W31" s="80" t="s">
        <v>1101</v>
      </c>
      <c r="X31" s="96" t="e">
        <f>+N31-#REF!</f>
        <v>#REF!</v>
      </c>
      <c r="Y31" s="94">
        <v>1662043.25</v>
      </c>
      <c r="Z31" s="94">
        <f>+(K31*9.1+L31*18.19)*12</f>
        <v>471405.47999999992</v>
      </c>
      <c r="AB31" s="96" t="e">
        <f>+N31-#REF!</f>
        <v>#REF!</v>
      </c>
      <c r="AC31" s="27">
        <f>+N31-'[12]Приложение № 4'!E31</f>
        <v>0</v>
      </c>
      <c r="AE31" s="98" t="e">
        <f>+N31-#REF!</f>
        <v>#REF!</v>
      </c>
      <c r="AG31" s="101" t="s">
        <v>905</v>
      </c>
      <c r="AH31" s="102">
        <f t="shared" si="2"/>
        <v>410365.90445569198</v>
      </c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>
        <v>386365.90445569198</v>
      </c>
      <c r="AV31" s="102">
        <v>24000</v>
      </c>
      <c r="AW31" s="102"/>
    </row>
    <row r="32" spans="1:49" ht="15" x14ac:dyDescent="0.25">
      <c r="A32" s="76">
        <f t="shared" si="3"/>
        <v>20</v>
      </c>
      <c r="B32" s="77">
        <f t="shared" si="3"/>
        <v>20</v>
      </c>
      <c r="C32" s="77" t="s">
        <v>545</v>
      </c>
      <c r="D32" s="77" t="s">
        <v>907</v>
      </c>
      <c r="E32" s="78" t="s">
        <v>577</v>
      </c>
      <c r="F32" s="78"/>
      <c r="G32" s="78" t="s">
        <v>573</v>
      </c>
      <c r="H32" s="78" t="s">
        <v>1088</v>
      </c>
      <c r="I32" s="78" t="s">
        <v>576</v>
      </c>
      <c r="J32" s="44">
        <v>3265.2</v>
      </c>
      <c r="K32" s="44">
        <v>2805.8</v>
      </c>
      <c r="L32" s="44">
        <v>0</v>
      </c>
      <c r="M32" s="79">
        <v>90</v>
      </c>
      <c r="N32" s="72">
        <f t="shared" si="1"/>
        <v>322133.13</v>
      </c>
      <c r="O32" s="44">
        <v>0</v>
      </c>
      <c r="P32" s="44"/>
      <c r="Q32" s="44"/>
      <c r="R32" s="44">
        <f>+'[12]Приложение № 4'!E32</f>
        <v>322133.13</v>
      </c>
      <c r="S32" s="44"/>
      <c r="T32" s="44"/>
      <c r="U32" s="44">
        <v>518.37</v>
      </c>
      <c r="V32" s="44">
        <v>518.37</v>
      </c>
      <c r="W32" s="80" t="s">
        <v>1101</v>
      </c>
      <c r="X32" s="96" t="e">
        <f>+N32-#REF!</f>
        <v>#REF!</v>
      </c>
      <c r="Y32" s="94">
        <v>1370901.56</v>
      </c>
      <c r="Z32" s="94">
        <f t="shared" ref="Z32:Z39" si="5">+(K32*12.08+L32*20.47)*12</f>
        <v>406728.76800000004</v>
      </c>
      <c r="AB32" s="96" t="e">
        <f>+N32-#REF!</f>
        <v>#REF!</v>
      </c>
      <c r="AC32" s="27">
        <f>+N32-'[12]Приложение № 4'!E32</f>
        <v>0</v>
      </c>
      <c r="AE32" s="98" t="e">
        <f>+N32-#REF!</f>
        <v>#REF!</v>
      </c>
      <c r="AG32" s="101" t="s">
        <v>907</v>
      </c>
      <c r="AH32" s="102">
        <f t="shared" si="2"/>
        <v>383312.63474307745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>
        <v>359312.63474307745</v>
      </c>
      <c r="AV32" s="102">
        <v>24000</v>
      </c>
      <c r="AW32" s="102"/>
    </row>
    <row r="33" spans="1:49" ht="15" x14ac:dyDescent="0.25">
      <c r="A33" s="76">
        <f t="shared" si="3"/>
        <v>21</v>
      </c>
      <c r="B33" s="77">
        <f t="shared" si="3"/>
        <v>21</v>
      </c>
      <c r="C33" s="77" t="s">
        <v>545</v>
      </c>
      <c r="D33" s="77" t="s">
        <v>1041</v>
      </c>
      <c r="E33" s="78" t="s">
        <v>578</v>
      </c>
      <c r="F33" s="78"/>
      <c r="G33" s="78" t="s">
        <v>573</v>
      </c>
      <c r="H33" s="78" t="s">
        <v>1088</v>
      </c>
      <c r="I33" s="78" t="s">
        <v>575</v>
      </c>
      <c r="J33" s="44">
        <v>9593.2999999999993</v>
      </c>
      <c r="K33" s="44">
        <v>8243.6</v>
      </c>
      <c r="L33" s="44">
        <v>0</v>
      </c>
      <c r="M33" s="79">
        <v>290</v>
      </c>
      <c r="N33" s="72">
        <f t="shared" si="1"/>
        <v>496837.23</v>
      </c>
      <c r="O33" s="44">
        <v>0</v>
      </c>
      <c r="P33" s="44"/>
      <c r="Q33" s="44"/>
      <c r="R33" s="44">
        <f>+'[12]Приложение № 4'!E33</f>
        <v>496837.23</v>
      </c>
      <c r="S33" s="44"/>
      <c r="T33" s="44"/>
      <c r="U33" s="44">
        <v>4909.1400000000003</v>
      </c>
      <c r="V33" s="44">
        <v>4909.1400000000003</v>
      </c>
      <c r="W33" s="80" t="s">
        <v>1101</v>
      </c>
      <c r="X33" s="96" t="e">
        <f>+N33-#REF!</f>
        <v>#REF!</v>
      </c>
      <c r="Y33" s="94">
        <v>3906341.09</v>
      </c>
      <c r="Z33" s="94">
        <f t="shared" si="5"/>
        <v>1194992.2560000001</v>
      </c>
      <c r="AB33" s="96" t="e">
        <f>+N33-#REF!</f>
        <v>#REF!</v>
      </c>
      <c r="AC33" s="27">
        <f>+N33-'[12]Приложение № 4'!E33</f>
        <v>0</v>
      </c>
      <c r="AE33" s="98" t="e">
        <f>+N33-#REF!</f>
        <v>#REF!</v>
      </c>
      <c r="AG33" s="101" t="s">
        <v>1041</v>
      </c>
      <c r="AH33" s="102">
        <f t="shared" si="2"/>
        <v>743076.66620197112</v>
      </c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>
        <v>719076.66620197112</v>
      </c>
      <c r="AV33" s="102">
        <v>24000</v>
      </c>
      <c r="AW33" s="102"/>
    </row>
    <row r="34" spans="1:49" ht="15" x14ac:dyDescent="0.25">
      <c r="A34" s="76">
        <f t="shared" si="3"/>
        <v>22</v>
      </c>
      <c r="B34" s="77">
        <f t="shared" si="3"/>
        <v>22</v>
      </c>
      <c r="C34" s="77" t="s">
        <v>545</v>
      </c>
      <c r="D34" s="77" t="s">
        <v>908</v>
      </c>
      <c r="E34" s="78" t="s">
        <v>580</v>
      </c>
      <c r="F34" s="78"/>
      <c r="G34" s="78" t="s">
        <v>573</v>
      </c>
      <c r="H34" s="78" t="s">
        <v>571</v>
      </c>
      <c r="I34" s="78" t="s">
        <v>575</v>
      </c>
      <c r="J34" s="44">
        <v>13553.2</v>
      </c>
      <c r="K34" s="44">
        <v>11571</v>
      </c>
      <c r="L34" s="44">
        <v>0</v>
      </c>
      <c r="M34" s="79">
        <v>416</v>
      </c>
      <c r="N34" s="72">
        <f t="shared" si="1"/>
        <v>552243.46</v>
      </c>
      <c r="O34" s="44">
        <v>0</v>
      </c>
      <c r="P34" s="44"/>
      <c r="Q34" s="44"/>
      <c r="R34" s="44">
        <f>+'[12]Приложение № 4'!E34</f>
        <v>552243.46</v>
      </c>
      <c r="S34" s="44"/>
      <c r="T34" s="44"/>
      <c r="U34" s="44">
        <v>4339</v>
      </c>
      <c r="V34" s="44">
        <v>4339</v>
      </c>
      <c r="W34" s="80" t="s">
        <v>1101</v>
      </c>
      <c r="X34" s="96" t="e">
        <f>+N34-#REF!</f>
        <v>#REF!</v>
      </c>
      <c r="Y34" s="94">
        <v>5489876.0499999998</v>
      </c>
      <c r="Z34" s="94">
        <f t="shared" si="5"/>
        <v>1677332.16</v>
      </c>
      <c r="AB34" s="96" t="e">
        <f>+N34-#REF!</f>
        <v>#REF!</v>
      </c>
      <c r="AC34" s="27">
        <f>+N34-'[12]Приложение № 4'!E34</f>
        <v>0</v>
      </c>
      <c r="AE34" s="98" t="e">
        <f>+N34-#REF!</f>
        <v>#REF!</v>
      </c>
      <c r="AG34" s="101" t="s">
        <v>908</v>
      </c>
      <c r="AH34" s="102">
        <f t="shared" ref="AH34:AH61" si="6">SUM(AI34:AW34)</f>
        <v>827336.78174493031</v>
      </c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>
        <v>803336.78174493031</v>
      </c>
      <c r="AV34" s="102">
        <v>24000</v>
      </c>
      <c r="AW34" s="102"/>
    </row>
    <row r="35" spans="1:49" ht="15" x14ac:dyDescent="0.25">
      <c r="A35" s="76">
        <f t="shared" si="3"/>
        <v>23</v>
      </c>
      <c r="B35" s="77">
        <f t="shared" si="3"/>
        <v>23</v>
      </c>
      <c r="C35" s="77" t="s">
        <v>545</v>
      </c>
      <c r="D35" s="77" t="s">
        <v>1042</v>
      </c>
      <c r="E35" s="78" t="s">
        <v>578</v>
      </c>
      <c r="F35" s="78"/>
      <c r="G35" s="78" t="s">
        <v>573</v>
      </c>
      <c r="H35" s="78" t="s">
        <v>571</v>
      </c>
      <c r="I35" s="78" t="s">
        <v>572</v>
      </c>
      <c r="J35" s="44">
        <v>9044.7000000000007</v>
      </c>
      <c r="K35" s="44">
        <v>7767.9</v>
      </c>
      <c r="L35" s="44">
        <v>0</v>
      </c>
      <c r="M35" s="79">
        <v>294</v>
      </c>
      <c r="N35" s="72">
        <f t="shared" si="1"/>
        <v>834540.31</v>
      </c>
      <c r="O35" s="44">
        <v>0</v>
      </c>
      <c r="P35" s="44"/>
      <c r="Q35" s="44"/>
      <c r="R35" s="44">
        <f>+'[12]Приложение № 4'!E35</f>
        <v>834540.31</v>
      </c>
      <c r="S35" s="44"/>
      <c r="T35" s="44"/>
      <c r="U35" s="44">
        <v>5637.81</v>
      </c>
      <c r="V35" s="44">
        <v>5637.81</v>
      </c>
      <c r="W35" s="80" t="s">
        <v>1101</v>
      </c>
      <c r="X35" s="96" t="e">
        <f>+N35-#REF!</f>
        <v>#REF!</v>
      </c>
      <c r="Y35" s="94">
        <v>3648251.51</v>
      </c>
      <c r="Z35" s="94">
        <f t="shared" si="5"/>
        <v>1126034.784</v>
      </c>
      <c r="AB35" s="96" t="e">
        <f>+N35-#REF!</f>
        <v>#REF!</v>
      </c>
      <c r="AC35" s="27">
        <f>+N35-'[12]Приложение № 4'!E35</f>
        <v>0</v>
      </c>
      <c r="AE35" s="98" t="e">
        <f>+N35-#REF!</f>
        <v>#REF!</v>
      </c>
      <c r="AG35" s="101" t="s">
        <v>1042</v>
      </c>
      <c r="AH35" s="102">
        <f t="shared" si="6"/>
        <v>1256645.3571896467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>
        <v>1232645.3571896467</v>
      </c>
      <c r="AV35" s="102">
        <v>24000</v>
      </c>
      <c r="AW35" s="102"/>
    </row>
    <row r="36" spans="1:49" ht="15" x14ac:dyDescent="0.25">
      <c r="A36" s="76">
        <f t="shared" si="3"/>
        <v>24</v>
      </c>
      <c r="B36" s="77">
        <f t="shared" si="3"/>
        <v>24</v>
      </c>
      <c r="C36" s="77" t="s">
        <v>545</v>
      </c>
      <c r="D36" s="77" t="s">
        <v>1043</v>
      </c>
      <c r="E36" s="78" t="s">
        <v>578</v>
      </c>
      <c r="F36" s="78"/>
      <c r="G36" s="78" t="s">
        <v>573</v>
      </c>
      <c r="H36" s="78" t="s">
        <v>571</v>
      </c>
      <c r="I36" s="78" t="s">
        <v>576</v>
      </c>
      <c r="J36" s="44">
        <v>4527.8</v>
      </c>
      <c r="K36" s="44">
        <v>3877.5</v>
      </c>
      <c r="L36" s="44">
        <v>0</v>
      </c>
      <c r="M36" s="79">
        <v>153</v>
      </c>
      <c r="N36" s="72">
        <f t="shared" si="1"/>
        <v>678517.30999999994</v>
      </c>
      <c r="O36" s="44">
        <v>0</v>
      </c>
      <c r="P36" s="44"/>
      <c r="Q36" s="44"/>
      <c r="R36" s="44">
        <f>+'[12]Приложение № 4'!E36</f>
        <v>678517.30999999994</v>
      </c>
      <c r="S36" s="44"/>
      <c r="T36" s="44"/>
      <c r="U36" s="44">
        <v>5637.81</v>
      </c>
      <c r="V36" s="44">
        <v>5637.81</v>
      </c>
      <c r="W36" s="80" t="s">
        <v>1101</v>
      </c>
      <c r="X36" s="96" t="e">
        <f>+N36-#REF!</f>
        <v>#REF!</v>
      </c>
      <c r="Y36" s="94">
        <v>1916087.69</v>
      </c>
      <c r="Z36" s="94">
        <f t="shared" si="5"/>
        <v>562082.39999999991</v>
      </c>
      <c r="AB36" s="96" t="e">
        <f>+N36-#REF!</f>
        <v>#REF!</v>
      </c>
      <c r="AC36" s="27">
        <f>+N36-'[12]Приложение № 4'!E36</f>
        <v>0</v>
      </c>
      <c r="AE36" s="98" t="e">
        <f>+N36-#REF!</f>
        <v>#REF!</v>
      </c>
      <c r="AG36" s="101" t="s">
        <v>1043</v>
      </c>
      <c r="AH36" s="102">
        <f t="shared" si="6"/>
        <v>1019370.2632514824</v>
      </c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>
        <v>995370.26325148239</v>
      </c>
      <c r="AV36" s="102">
        <v>24000</v>
      </c>
      <c r="AW36" s="102"/>
    </row>
    <row r="37" spans="1:49" ht="15" x14ac:dyDescent="0.25">
      <c r="A37" s="76">
        <f t="shared" si="3"/>
        <v>25</v>
      </c>
      <c r="B37" s="77">
        <f t="shared" si="3"/>
        <v>25</v>
      </c>
      <c r="C37" s="77" t="s">
        <v>545</v>
      </c>
      <c r="D37" s="77" t="s">
        <v>1044</v>
      </c>
      <c r="E37" s="78" t="s">
        <v>578</v>
      </c>
      <c r="F37" s="78"/>
      <c r="G37" s="78" t="s">
        <v>573</v>
      </c>
      <c r="H37" s="78" t="s">
        <v>1088</v>
      </c>
      <c r="I37" s="78" t="s">
        <v>576</v>
      </c>
      <c r="J37" s="44">
        <v>3562.9</v>
      </c>
      <c r="K37" s="44">
        <v>3046.6</v>
      </c>
      <c r="L37" s="44">
        <v>0</v>
      </c>
      <c r="M37" s="79">
        <v>121</v>
      </c>
      <c r="N37" s="72">
        <f t="shared" si="1"/>
        <v>626355.59000000008</v>
      </c>
      <c r="O37" s="44">
        <v>0</v>
      </c>
      <c r="P37" s="44"/>
      <c r="Q37" s="44"/>
      <c r="R37" s="44">
        <f>+'[12]Приложение № 4'!E37</f>
        <v>626355.59000000008</v>
      </c>
      <c r="S37" s="44"/>
      <c r="T37" s="44"/>
      <c r="U37" s="44">
        <v>5637.81</v>
      </c>
      <c r="V37" s="44">
        <v>5637.81</v>
      </c>
      <c r="W37" s="80" t="s">
        <v>1101</v>
      </c>
      <c r="X37" s="96" t="e">
        <f>+N37-#REF!</f>
        <v>#REF!</v>
      </c>
      <c r="Y37" s="94">
        <v>1385251.12</v>
      </c>
      <c r="Z37" s="94">
        <f t="shared" si="5"/>
        <v>441635.136</v>
      </c>
      <c r="AB37" s="96" t="e">
        <f>+N37-#REF!</f>
        <v>#REF!</v>
      </c>
      <c r="AC37" s="27">
        <f>+N37-'[12]Приложение № 4'!E37</f>
        <v>0</v>
      </c>
      <c r="AE37" s="98" t="e">
        <f>+N37-#REF!</f>
        <v>#REF!</v>
      </c>
      <c r="AG37" s="101" t="s">
        <v>1044</v>
      </c>
      <c r="AH37" s="102">
        <f t="shared" si="6"/>
        <v>940044.28066750464</v>
      </c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>
        <v>916044.28066750464</v>
      </c>
      <c r="AV37" s="102">
        <v>24000</v>
      </c>
      <c r="AW37" s="102"/>
    </row>
    <row r="38" spans="1:49" ht="15" x14ac:dyDescent="0.25">
      <c r="A38" s="76">
        <f t="shared" si="3"/>
        <v>26</v>
      </c>
      <c r="B38" s="77">
        <f t="shared" si="3"/>
        <v>26</v>
      </c>
      <c r="C38" s="77" t="s">
        <v>545</v>
      </c>
      <c r="D38" s="77" t="s">
        <v>1045</v>
      </c>
      <c r="E38" s="78" t="s">
        <v>578</v>
      </c>
      <c r="F38" s="78"/>
      <c r="G38" s="78" t="s">
        <v>573</v>
      </c>
      <c r="H38" s="78" t="s">
        <v>571</v>
      </c>
      <c r="I38" s="78" t="s">
        <v>576</v>
      </c>
      <c r="J38" s="44">
        <v>3197.5</v>
      </c>
      <c r="K38" s="44">
        <v>2618.1999999999998</v>
      </c>
      <c r="L38" s="44">
        <v>120.6</v>
      </c>
      <c r="M38" s="79">
        <v>94</v>
      </c>
      <c r="N38" s="72">
        <f t="shared" si="1"/>
        <v>612556.79</v>
      </c>
      <c r="O38" s="44">
        <v>0</v>
      </c>
      <c r="P38" s="44"/>
      <c r="Q38" s="44"/>
      <c r="R38" s="44">
        <f>+'[12]Приложение № 4'!E38</f>
        <v>612556.79</v>
      </c>
      <c r="S38" s="44"/>
      <c r="T38" s="44"/>
      <c r="U38" s="44">
        <v>5637.81</v>
      </c>
      <c r="V38" s="44">
        <v>5637.81</v>
      </c>
      <c r="W38" s="80" t="s">
        <v>1101</v>
      </c>
      <c r="X38" s="96" t="e">
        <f>+N38-#REF!</f>
        <v>#REF!</v>
      </c>
      <c r="Y38" s="94">
        <v>1315755.6200000001</v>
      </c>
      <c r="Z38" s="94">
        <f t="shared" si="5"/>
        <v>409158.45600000001</v>
      </c>
      <c r="AB38" s="96" t="e">
        <f>+N38-#REF!</f>
        <v>#REF!</v>
      </c>
      <c r="AC38" s="27">
        <f>+N38-'[12]Приложение № 4'!E38</f>
        <v>0</v>
      </c>
      <c r="AE38" s="98" t="e">
        <f>+N38-#REF!</f>
        <v>#REF!</v>
      </c>
      <c r="AG38" s="101" t="s">
        <v>1045</v>
      </c>
      <c r="AH38" s="102">
        <f t="shared" si="6"/>
        <v>919059.48544901842</v>
      </c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>
        <v>895059.48544901842</v>
      </c>
      <c r="AV38" s="102">
        <v>24000</v>
      </c>
      <c r="AW38" s="102"/>
    </row>
    <row r="39" spans="1:49" ht="15" x14ac:dyDescent="0.25">
      <c r="A39" s="76">
        <f t="shared" si="3"/>
        <v>27</v>
      </c>
      <c r="B39" s="77">
        <f t="shared" si="3"/>
        <v>27</v>
      </c>
      <c r="C39" s="77" t="s">
        <v>545</v>
      </c>
      <c r="D39" s="77" t="s">
        <v>1046</v>
      </c>
      <c r="E39" s="78" t="s">
        <v>578</v>
      </c>
      <c r="F39" s="78"/>
      <c r="G39" s="78" t="s">
        <v>573</v>
      </c>
      <c r="H39" s="78" t="s">
        <v>571</v>
      </c>
      <c r="I39" s="78" t="s">
        <v>576</v>
      </c>
      <c r="J39" s="44">
        <v>3238.8</v>
      </c>
      <c r="K39" s="44">
        <v>2708.2</v>
      </c>
      <c r="L39" s="44">
        <v>76</v>
      </c>
      <c r="M39" s="79">
        <v>79</v>
      </c>
      <c r="N39" s="72">
        <f t="shared" si="1"/>
        <v>613418.62000000011</v>
      </c>
      <c r="O39" s="44">
        <v>0</v>
      </c>
      <c r="P39" s="44"/>
      <c r="Q39" s="44"/>
      <c r="R39" s="44">
        <f>+'[12]Приложение № 4'!E39</f>
        <v>613418.62000000011</v>
      </c>
      <c r="S39" s="44"/>
      <c r="T39" s="44"/>
      <c r="U39" s="44">
        <v>5637.81</v>
      </c>
      <c r="V39" s="44">
        <v>5637.81</v>
      </c>
      <c r="W39" s="80" t="s">
        <v>1101</v>
      </c>
      <c r="X39" s="96" t="e">
        <f>+N39-#REF!</f>
        <v>#REF!</v>
      </c>
      <c r="Y39" s="94">
        <v>1358531.55</v>
      </c>
      <c r="Z39" s="94">
        <f t="shared" si="5"/>
        <v>411249.31199999998</v>
      </c>
      <c r="AB39" s="96" t="e">
        <f>+N39-#REF!</f>
        <v>#REF!</v>
      </c>
      <c r="AC39" s="27">
        <f>+N39-'[12]Приложение № 4'!E39</f>
        <v>0</v>
      </c>
      <c r="AE39" s="98" t="e">
        <f>+N39-#REF!</f>
        <v>#REF!</v>
      </c>
      <c r="AG39" s="101" t="s">
        <v>1046</v>
      </c>
      <c r="AH39" s="102">
        <f t="shared" si="6"/>
        <v>920370.13497879356</v>
      </c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>
        <v>896370.13497879356</v>
      </c>
      <c r="AV39" s="102">
        <v>24000</v>
      </c>
      <c r="AW39" s="102"/>
    </row>
    <row r="40" spans="1:49" ht="15" x14ac:dyDescent="0.25">
      <c r="A40" s="76">
        <f t="shared" si="3"/>
        <v>28</v>
      </c>
      <c r="B40" s="77">
        <f t="shared" si="3"/>
        <v>28</v>
      </c>
      <c r="C40" s="77" t="s">
        <v>545</v>
      </c>
      <c r="D40" s="77" t="s">
        <v>1047</v>
      </c>
      <c r="E40" s="78" t="s">
        <v>578</v>
      </c>
      <c r="F40" s="78"/>
      <c r="G40" s="78" t="s">
        <v>570</v>
      </c>
      <c r="H40" s="78" t="s">
        <v>582</v>
      </c>
      <c r="I40" s="78" t="s">
        <v>583</v>
      </c>
      <c r="J40" s="44">
        <v>5268.8</v>
      </c>
      <c r="K40" s="44">
        <v>4705.6000000000004</v>
      </c>
      <c r="L40" s="44">
        <v>0</v>
      </c>
      <c r="M40" s="79">
        <v>224</v>
      </c>
      <c r="N40" s="72">
        <f t="shared" si="1"/>
        <v>254259.8</v>
      </c>
      <c r="O40" s="44">
        <v>0</v>
      </c>
      <c r="P40" s="44"/>
      <c r="Q40" s="44"/>
      <c r="R40" s="44">
        <f>+'[12]Приложение № 4'!E40</f>
        <v>254259.8</v>
      </c>
      <c r="S40" s="44"/>
      <c r="T40" s="44"/>
      <c r="U40" s="44">
        <v>1358.04</v>
      </c>
      <c r="V40" s="44">
        <v>1358.04</v>
      </c>
      <c r="W40" s="80" t="s">
        <v>1101</v>
      </c>
      <c r="X40" s="96" t="e">
        <f>+N40-#REF!</f>
        <v>#REF!</v>
      </c>
      <c r="Y40" s="94">
        <v>1825750.75</v>
      </c>
      <c r="Z40" s="94">
        <f>+(K40*9.1+L40*18.19)*12</f>
        <v>513851.52</v>
      </c>
      <c r="AB40" s="96" t="e">
        <f>+N40-#REF!</f>
        <v>#REF!</v>
      </c>
      <c r="AC40" s="27">
        <f>+N40-'[12]Приложение № 4'!E40</f>
        <v>0</v>
      </c>
      <c r="AE40" s="98" t="e">
        <f>+N40-#REF!</f>
        <v>#REF!</v>
      </c>
      <c r="AG40" s="101" t="s">
        <v>1047</v>
      </c>
      <c r="AH40" s="102">
        <f t="shared" si="6"/>
        <v>374172.17796748457</v>
      </c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>
        <v>350172.17796748457</v>
      </c>
      <c r="AV40" s="102">
        <v>24000</v>
      </c>
      <c r="AW40" s="102"/>
    </row>
    <row r="41" spans="1:49" ht="15" x14ac:dyDescent="0.25">
      <c r="A41" s="76">
        <f t="shared" si="3"/>
        <v>29</v>
      </c>
      <c r="B41" s="77">
        <f t="shared" si="3"/>
        <v>29</v>
      </c>
      <c r="C41" s="77" t="s">
        <v>545</v>
      </c>
      <c r="D41" s="77" t="s">
        <v>1048</v>
      </c>
      <c r="E41" s="78" t="s">
        <v>580</v>
      </c>
      <c r="F41" s="78"/>
      <c r="G41" s="78" t="s">
        <v>573</v>
      </c>
      <c r="H41" s="78" t="s">
        <v>582</v>
      </c>
      <c r="I41" s="78" t="s">
        <v>583</v>
      </c>
      <c r="J41" s="44">
        <v>5087.1000000000004</v>
      </c>
      <c r="K41" s="44">
        <v>4518.8999999999996</v>
      </c>
      <c r="L41" s="44">
        <v>0</v>
      </c>
      <c r="M41" s="79">
        <v>189</v>
      </c>
      <c r="N41" s="72">
        <f t="shared" si="1"/>
        <v>228321.53</v>
      </c>
      <c r="O41" s="44">
        <v>0</v>
      </c>
      <c r="P41" s="44"/>
      <c r="Q41" s="44"/>
      <c r="R41" s="44">
        <f>+'[12]Приложение № 4'!E41</f>
        <v>228321.53</v>
      </c>
      <c r="S41" s="44"/>
      <c r="T41" s="44"/>
      <c r="U41" s="44">
        <v>757.54</v>
      </c>
      <c r="V41" s="44">
        <v>757.54</v>
      </c>
      <c r="W41" s="80" t="s">
        <v>1101</v>
      </c>
      <c r="X41" s="96" t="e">
        <f>+N41-#REF!</f>
        <v>#REF!</v>
      </c>
      <c r="Y41" s="94">
        <v>1699082.53</v>
      </c>
      <c r="Z41" s="94">
        <f>+(K41*9.1+L41*18.19)*12</f>
        <v>493463.88</v>
      </c>
      <c r="AB41" s="96" t="e">
        <f>+N41-#REF!</f>
        <v>#REF!</v>
      </c>
      <c r="AC41" s="27">
        <f>+N41-'[12]Приложение № 4'!E41</f>
        <v>0</v>
      </c>
      <c r="AE41" s="98" t="e">
        <f>+N41-#REF!</f>
        <v>#REF!</v>
      </c>
      <c r="AG41" s="101" t="s">
        <v>1048</v>
      </c>
      <c r="AH41" s="102">
        <f t="shared" si="6"/>
        <v>334726.03514419816</v>
      </c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>
        <v>310726.03514419816</v>
      </c>
      <c r="AV41" s="102">
        <v>24000</v>
      </c>
      <c r="AW41" s="102"/>
    </row>
    <row r="42" spans="1:49" ht="15" x14ac:dyDescent="0.25">
      <c r="A42" s="76">
        <f t="shared" si="3"/>
        <v>30</v>
      </c>
      <c r="B42" s="77">
        <f t="shared" si="3"/>
        <v>30</v>
      </c>
      <c r="C42" s="77" t="s">
        <v>545</v>
      </c>
      <c r="D42" s="77" t="s">
        <v>1049</v>
      </c>
      <c r="E42" s="78" t="s">
        <v>577</v>
      </c>
      <c r="F42" s="78"/>
      <c r="G42" s="78" t="s">
        <v>573</v>
      </c>
      <c r="H42" s="78" t="s">
        <v>1088</v>
      </c>
      <c r="I42" s="78" t="s">
        <v>576</v>
      </c>
      <c r="J42" s="44">
        <v>3182.1</v>
      </c>
      <c r="K42" s="44">
        <v>2454.1999999999998</v>
      </c>
      <c r="L42" s="44">
        <v>310</v>
      </c>
      <c r="M42" s="79">
        <v>81</v>
      </c>
      <c r="N42" s="72">
        <f t="shared" si="1"/>
        <v>322420.25</v>
      </c>
      <c r="O42" s="44">
        <v>0</v>
      </c>
      <c r="P42" s="44"/>
      <c r="Q42" s="44"/>
      <c r="R42" s="44">
        <f>+'[12]Приложение № 4'!E42</f>
        <v>322420.25</v>
      </c>
      <c r="S42" s="44"/>
      <c r="T42" s="44"/>
      <c r="U42" s="44">
        <v>586.48</v>
      </c>
      <c r="V42" s="44">
        <v>586.48</v>
      </c>
      <c r="W42" s="80" t="s">
        <v>1101</v>
      </c>
      <c r="X42" s="96" t="e">
        <f>+N42-#REF!</f>
        <v>#REF!</v>
      </c>
      <c r="Y42" s="94">
        <v>1434672.41</v>
      </c>
      <c r="Z42" s="94">
        <f>+(K42*12.08+L42*20.47)*12</f>
        <v>431909.23199999996</v>
      </c>
      <c r="AB42" s="96" t="e">
        <f>+N42-#REF!</f>
        <v>#REF!</v>
      </c>
      <c r="AC42" s="27">
        <f>+N42-'[12]Приложение № 4'!E42</f>
        <v>0</v>
      </c>
      <c r="AE42" s="98" t="e">
        <f>+N42-#REF!</f>
        <v>#REF!</v>
      </c>
      <c r="AG42" s="101" t="s">
        <v>1049</v>
      </c>
      <c r="AH42" s="102">
        <f t="shared" si="6"/>
        <v>383641.06412034098</v>
      </c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>
        <v>359641.06412034098</v>
      </c>
      <c r="AV42" s="102">
        <v>24000</v>
      </c>
      <c r="AW42" s="102"/>
    </row>
    <row r="43" spans="1:49" ht="15" x14ac:dyDescent="0.25">
      <c r="A43" s="76">
        <f t="shared" si="3"/>
        <v>31</v>
      </c>
      <c r="B43" s="77">
        <f t="shared" si="3"/>
        <v>31</v>
      </c>
      <c r="C43" s="77" t="s">
        <v>545</v>
      </c>
      <c r="D43" s="77" t="s">
        <v>1050</v>
      </c>
      <c r="E43" s="78" t="s">
        <v>578</v>
      </c>
      <c r="F43" s="78"/>
      <c r="G43" s="78" t="s">
        <v>573</v>
      </c>
      <c r="H43" s="78" t="s">
        <v>582</v>
      </c>
      <c r="I43" s="78" t="s">
        <v>574</v>
      </c>
      <c r="J43" s="44">
        <v>7467.3</v>
      </c>
      <c r="K43" s="44">
        <v>6613.1</v>
      </c>
      <c r="L43" s="44">
        <v>0</v>
      </c>
      <c r="M43" s="79">
        <v>290</v>
      </c>
      <c r="N43" s="72">
        <f t="shared" si="1"/>
        <v>269093.41000000003</v>
      </c>
      <c r="O43" s="44">
        <v>0</v>
      </c>
      <c r="P43" s="44"/>
      <c r="Q43" s="44"/>
      <c r="R43" s="44">
        <f>+'[12]Приложение № 4'!E43</f>
        <v>269093.41000000003</v>
      </c>
      <c r="S43" s="44"/>
      <c r="T43" s="44"/>
      <c r="U43" s="44">
        <v>757.54</v>
      </c>
      <c r="V43" s="44">
        <v>757.54</v>
      </c>
      <c r="W43" s="80" t="s">
        <v>1101</v>
      </c>
      <c r="X43" s="96" t="e">
        <f>+N43-#REF!</f>
        <v>#REF!</v>
      </c>
      <c r="Y43" s="94">
        <v>2578359.2000000002</v>
      </c>
      <c r="Z43" s="94">
        <f>+(K43*9.1+L43*18.19)*12</f>
        <v>722150.52</v>
      </c>
      <c r="AB43" s="96" t="e">
        <f>+N43-#REF!</f>
        <v>#REF!</v>
      </c>
      <c r="AC43" s="27">
        <f>+N43-'[12]Приложение № 4'!E43</f>
        <v>0</v>
      </c>
      <c r="AE43" s="98" t="e">
        <f>+N43-#REF!</f>
        <v>#REF!</v>
      </c>
      <c r="AG43" s="101" t="s">
        <v>1050</v>
      </c>
      <c r="AH43" s="102">
        <f t="shared" si="6"/>
        <v>396730.69498411118</v>
      </c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>
        <v>372730.69498411118</v>
      </c>
      <c r="AV43" s="102">
        <v>24000</v>
      </c>
      <c r="AW43" s="102"/>
    </row>
    <row r="44" spans="1:49" ht="15" x14ac:dyDescent="0.25">
      <c r="A44" s="76">
        <f t="shared" si="3"/>
        <v>32</v>
      </c>
      <c r="B44" s="77">
        <f t="shared" si="3"/>
        <v>32</v>
      </c>
      <c r="C44" s="77" t="s">
        <v>545</v>
      </c>
      <c r="D44" s="77" t="s">
        <v>1051</v>
      </c>
      <c r="E44" s="78" t="s">
        <v>581</v>
      </c>
      <c r="F44" s="78"/>
      <c r="G44" s="78" t="s">
        <v>573</v>
      </c>
      <c r="H44" s="78" t="s">
        <v>582</v>
      </c>
      <c r="I44" s="78" t="s">
        <v>574</v>
      </c>
      <c r="J44" s="44">
        <v>7532.7</v>
      </c>
      <c r="K44" s="44">
        <v>6522.5</v>
      </c>
      <c r="L44" s="44">
        <v>98.2</v>
      </c>
      <c r="M44" s="79">
        <v>288</v>
      </c>
      <c r="N44" s="72">
        <f t="shared" si="1"/>
        <v>268599.84999999998</v>
      </c>
      <c r="O44" s="44">
        <v>0</v>
      </c>
      <c r="P44" s="44"/>
      <c r="Q44" s="44"/>
      <c r="R44" s="44">
        <f>+'[12]Приложение № 4'!E44</f>
        <v>268599.84999999998</v>
      </c>
      <c r="S44" s="44"/>
      <c r="T44" s="44"/>
      <c r="U44" s="44">
        <v>757.54</v>
      </c>
      <c r="V44" s="44">
        <v>757.54</v>
      </c>
      <c r="W44" s="80" t="s">
        <v>1101</v>
      </c>
      <c r="X44" s="96" t="e">
        <f>+N44-#REF!</f>
        <v>#REF!</v>
      </c>
      <c r="Y44" s="94">
        <v>2523906.23</v>
      </c>
      <c r="Z44" s="94">
        <f>+(K44*9.1+L44*18.19)*12</f>
        <v>733692.09600000002</v>
      </c>
      <c r="AB44" s="96" t="e">
        <f>+N44-#REF!</f>
        <v>#REF!</v>
      </c>
      <c r="AC44" s="27">
        <f>+N44-'[12]Приложение № 4'!E44</f>
        <v>0</v>
      </c>
      <c r="AE44" s="98" t="e">
        <f>+N44-#REF!</f>
        <v>#REF!</v>
      </c>
      <c r="AG44" s="101" t="s">
        <v>1051</v>
      </c>
      <c r="AH44" s="102">
        <f t="shared" si="6"/>
        <v>395980.09815077024</v>
      </c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>
        <v>371980.09815077024</v>
      </c>
      <c r="AV44" s="102">
        <v>24000</v>
      </c>
      <c r="AW44" s="102"/>
    </row>
    <row r="45" spans="1:49" ht="15" x14ac:dyDescent="0.25">
      <c r="A45" s="76">
        <f t="shared" si="3"/>
        <v>33</v>
      </c>
      <c r="B45" s="77">
        <f t="shared" si="3"/>
        <v>33</v>
      </c>
      <c r="C45" s="77" t="s">
        <v>545</v>
      </c>
      <c r="D45" s="77" t="s">
        <v>911</v>
      </c>
      <c r="E45" s="78" t="s">
        <v>1119</v>
      </c>
      <c r="F45" s="78"/>
      <c r="G45" s="78" t="s">
        <v>573</v>
      </c>
      <c r="H45" s="78" t="s">
        <v>582</v>
      </c>
      <c r="I45" s="78" t="s">
        <v>583</v>
      </c>
      <c r="J45" s="44">
        <v>5344.1</v>
      </c>
      <c r="K45" s="44">
        <v>4623.3</v>
      </c>
      <c r="L45" s="44">
        <v>0</v>
      </c>
      <c r="M45" s="79">
        <v>188</v>
      </c>
      <c r="N45" s="72">
        <f t="shared" si="1"/>
        <v>863995.04</v>
      </c>
      <c r="O45" s="44">
        <v>0</v>
      </c>
      <c r="P45" s="44"/>
      <c r="Q45" s="44"/>
      <c r="R45" s="44">
        <f>+'[12]Приложение № 4'!E45</f>
        <v>863995.04</v>
      </c>
      <c r="S45" s="44"/>
      <c r="T45" s="44"/>
      <c r="U45" s="44">
        <v>2403.41</v>
      </c>
      <c r="V45" s="44">
        <v>2403.41</v>
      </c>
      <c r="W45" s="80" t="s">
        <v>1101</v>
      </c>
      <c r="X45" s="96" t="e">
        <f>+N45-#REF!</f>
        <v>#REF!</v>
      </c>
      <c r="Y45" s="94">
        <v>1814364.3</v>
      </c>
      <c r="Z45" s="94">
        <f>+(K45*9.1+L45*18.19)*12</f>
        <v>504864.36</v>
      </c>
      <c r="AB45" s="96" t="e">
        <f>+N45-#REF!</f>
        <v>#REF!</v>
      </c>
      <c r="AC45" s="27">
        <f>+N45-'[12]Приложение № 4'!E45</f>
        <v>0</v>
      </c>
      <c r="AE45" s="98" t="e">
        <f>+N45-#REF!</f>
        <v>#REF!</v>
      </c>
      <c r="AG45" s="101" t="s">
        <v>911</v>
      </c>
      <c r="AH45" s="102">
        <f t="shared" si="6"/>
        <v>734239.64915665868</v>
      </c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>
        <v>710239.64915665868</v>
      </c>
      <c r="AV45" s="102">
        <v>24000</v>
      </c>
      <c r="AW45" s="102"/>
    </row>
    <row r="46" spans="1:49" ht="15" x14ac:dyDescent="0.25">
      <c r="A46" s="76">
        <f t="shared" si="3"/>
        <v>34</v>
      </c>
      <c r="B46" s="77">
        <f t="shared" si="3"/>
        <v>34</v>
      </c>
      <c r="C46" s="77" t="s">
        <v>545</v>
      </c>
      <c r="D46" s="77" t="s">
        <v>1052</v>
      </c>
      <c r="E46" s="78" t="s">
        <v>577</v>
      </c>
      <c r="F46" s="78"/>
      <c r="G46" s="78" t="s">
        <v>573</v>
      </c>
      <c r="H46" s="78" t="s">
        <v>1088</v>
      </c>
      <c r="I46" s="78" t="s">
        <v>576</v>
      </c>
      <c r="J46" s="44">
        <v>3200.9</v>
      </c>
      <c r="K46" s="44">
        <v>2754.1</v>
      </c>
      <c r="L46" s="44">
        <v>0</v>
      </c>
      <c r="M46" s="79">
        <v>107</v>
      </c>
      <c r="N46" s="72">
        <f t="shared" si="1"/>
        <v>322757.76000000001</v>
      </c>
      <c r="O46" s="44">
        <v>0</v>
      </c>
      <c r="P46" s="44"/>
      <c r="Q46" s="44"/>
      <c r="R46" s="44">
        <f>+'[12]Приложение № 4'!E46</f>
        <v>322757.76000000001</v>
      </c>
      <c r="S46" s="44"/>
      <c r="T46" s="44"/>
      <c r="U46" s="44">
        <v>586.48</v>
      </c>
      <c r="V46" s="44">
        <v>586.48</v>
      </c>
      <c r="W46" s="80" t="s">
        <v>1101</v>
      </c>
      <c r="X46" s="96" t="e">
        <f>+N46-#REF!</f>
        <v>#REF!</v>
      </c>
      <c r="Y46" s="94">
        <v>1264991.58</v>
      </c>
      <c r="Z46" s="94">
        <f>+(K46*12.08+L46*20.47)*12</f>
        <v>399234.33600000001</v>
      </c>
      <c r="AB46" s="96" t="e">
        <f>+N46-#REF!</f>
        <v>#REF!</v>
      </c>
      <c r="AC46" s="27">
        <f>+N46-'[12]Приложение № 4'!E46</f>
        <v>0</v>
      </c>
      <c r="AE46" s="98" t="e">
        <f>+N46-#REF!</f>
        <v>#REF!</v>
      </c>
      <c r="AG46" s="101" t="s">
        <v>1052</v>
      </c>
      <c r="AH46" s="102">
        <f t="shared" si="6"/>
        <v>384027.11268659809</v>
      </c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>
        <v>360027.11268659809</v>
      </c>
      <c r="AV46" s="102">
        <v>24000</v>
      </c>
      <c r="AW46" s="102"/>
    </row>
    <row r="47" spans="1:49" ht="15" x14ac:dyDescent="0.25">
      <c r="A47" s="76">
        <f t="shared" si="3"/>
        <v>35</v>
      </c>
      <c r="B47" s="77">
        <f t="shared" si="3"/>
        <v>35</v>
      </c>
      <c r="C47" s="77" t="s">
        <v>545</v>
      </c>
      <c r="D47" s="77" t="s">
        <v>1053</v>
      </c>
      <c r="E47" s="78" t="s">
        <v>631</v>
      </c>
      <c r="F47" s="78"/>
      <c r="G47" s="78" t="s">
        <v>573</v>
      </c>
      <c r="H47" s="78" t="s">
        <v>582</v>
      </c>
      <c r="I47" s="78" t="s">
        <v>579</v>
      </c>
      <c r="J47" s="44">
        <v>3396.9</v>
      </c>
      <c r="K47" s="44">
        <v>3059.1</v>
      </c>
      <c r="L47" s="44">
        <v>0</v>
      </c>
      <c r="M47" s="79">
        <v>122</v>
      </c>
      <c r="N47" s="72">
        <f t="shared" si="1"/>
        <v>332755.06</v>
      </c>
      <c r="O47" s="44">
        <v>0</v>
      </c>
      <c r="P47" s="44"/>
      <c r="Q47" s="44"/>
      <c r="R47" s="44">
        <f>+'[12]Приложение № 4'!E47</f>
        <v>332755.06</v>
      </c>
      <c r="S47" s="44"/>
      <c r="T47" s="44"/>
      <c r="U47" s="44">
        <v>877.64</v>
      </c>
      <c r="V47" s="44">
        <v>877.64</v>
      </c>
      <c r="W47" s="80" t="s">
        <v>1101</v>
      </c>
      <c r="X47" s="96" t="e">
        <f>+N47-#REF!</f>
        <v>#REF!</v>
      </c>
      <c r="Y47" s="94">
        <v>1167789.29</v>
      </c>
      <c r="Z47" s="94">
        <f>+(K47*9.1+L47*18.19)*12</f>
        <v>334053.71999999997</v>
      </c>
      <c r="AB47" s="96" t="e">
        <f>+N47-#REF!</f>
        <v>#REF!</v>
      </c>
      <c r="AC47" s="27">
        <f>+N47-'[12]Приложение № 4'!E47</f>
        <v>0</v>
      </c>
      <c r="AE47" s="98" t="e">
        <f>+N47-#REF!</f>
        <v>#REF!</v>
      </c>
      <c r="AG47" s="101" t="s">
        <v>1053</v>
      </c>
      <c r="AH47" s="102">
        <f t="shared" si="6"/>
        <v>395462.26771667204</v>
      </c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>
        <v>371462.26771667204</v>
      </c>
      <c r="AV47" s="102">
        <v>24000</v>
      </c>
      <c r="AW47" s="102"/>
    </row>
    <row r="48" spans="1:49" ht="15" x14ac:dyDescent="0.25">
      <c r="A48" s="76">
        <f t="shared" si="3"/>
        <v>36</v>
      </c>
      <c r="B48" s="77">
        <f t="shared" si="3"/>
        <v>36</v>
      </c>
      <c r="C48" s="77" t="s">
        <v>545</v>
      </c>
      <c r="D48" s="77" t="s">
        <v>1054</v>
      </c>
      <c r="E48" s="78" t="s">
        <v>1125</v>
      </c>
      <c r="F48" s="78"/>
      <c r="G48" s="78" t="s">
        <v>570</v>
      </c>
      <c r="H48" s="78" t="s">
        <v>582</v>
      </c>
      <c r="I48" s="78" t="s">
        <v>575</v>
      </c>
      <c r="J48" s="44">
        <v>6034.1</v>
      </c>
      <c r="K48" s="44">
        <v>2163</v>
      </c>
      <c r="L48" s="44">
        <v>1007</v>
      </c>
      <c r="M48" s="79">
        <v>162</v>
      </c>
      <c r="N48" s="72">
        <f t="shared" si="1"/>
        <v>998050.20000000019</v>
      </c>
      <c r="O48" s="44">
        <v>0</v>
      </c>
      <c r="P48" s="44"/>
      <c r="Q48" s="44"/>
      <c r="R48" s="44">
        <f>+'[12]Приложение № 4'!E48</f>
        <v>998050.20000000019</v>
      </c>
      <c r="S48" s="44"/>
      <c r="T48" s="44"/>
      <c r="U48" s="44">
        <v>3724.39</v>
      </c>
      <c r="V48" s="44">
        <v>3724.39</v>
      </c>
      <c r="W48" s="80" t="s">
        <v>1101</v>
      </c>
      <c r="X48" s="96" t="e">
        <f>+N48-#REF!</f>
        <v>#REF!</v>
      </c>
      <c r="Y48" s="94">
        <v>2908145.37</v>
      </c>
      <c r="Z48" s="94">
        <f>+(K48*9.1+L48*18.19)*12</f>
        <v>456007.56000000006</v>
      </c>
      <c r="AB48" s="96" t="e">
        <f>+N48-#REF!</f>
        <v>#REF!</v>
      </c>
      <c r="AC48" s="27">
        <f>+N48-'[12]Приложение № 4'!E48</f>
        <v>0</v>
      </c>
      <c r="AE48" s="98" t="e">
        <f>+N48-#REF!</f>
        <v>#REF!</v>
      </c>
      <c r="AG48" s="101" t="s">
        <v>1054</v>
      </c>
      <c r="AH48" s="102">
        <f t="shared" si="6"/>
        <v>1154154.3904688042</v>
      </c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>
        <v>1130154.3904688042</v>
      </c>
      <c r="AV48" s="102">
        <v>24000</v>
      </c>
      <c r="AW48" s="102"/>
    </row>
    <row r="49" spans="1:49" ht="15" x14ac:dyDescent="0.25">
      <c r="A49" s="76">
        <f t="shared" si="3"/>
        <v>37</v>
      </c>
      <c r="B49" s="77">
        <f t="shared" si="3"/>
        <v>37</v>
      </c>
      <c r="C49" s="77" t="s">
        <v>545</v>
      </c>
      <c r="D49" s="77" t="s">
        <v>1055</v>
      </c>
      <c r="E49" s="78" t="s">
        <v>627</v>
      </c>
      <c r="F49" s="78"/>
      <c r="G49" s="78" t="s">
        <v>573</v>
      </c>
      <c r="H49" s="78" t="s">
        <v>1088</v>
      </c>
      <c r="I49" s="78" t="s">
        <v>576</v>
      </c>
      <c r="J49" s="44">
        <v>3164.1</v>
      </c>
      <c r="K49" s="44">
        <v>2676.9</v>
      </c>
      <c r="L49" s="44">
        <v>0</v>
      </c>
      <c r="M49" s="79">
        <v>107</v>
      </c>
      <c r="N49" s="72">
        <f t="shared" si="1"/>
        <v>460868.39999999997</v>
      </c>
      <c r="O49" s="44">
        <v>0</v>
      </c>
      <c r="P49" s="44"/>
      <c r="Q49" s="44"/>
      <c r="R49" s="44">
        <f>+'[12]Приложение № 4'!E49</f>
        <v>460868.39999999997</v>
      </c>
      <c r="S49" s="44"/>
      <c r="T49" s="44"/>
      <c r="U49" s="44">
        <v>4909.1400000000003</v>
      </c>
      <c r="V49" s="44">
        <v>4909.1400000000003</v>
      </c>
      <c r="W49" s="80" t="s">
        <v>1101</v>
      </c>
      <c r="X49" s="96" t="e">
        <f>+N49-#REF!</f>
        <v>#REF!</v>
      </c>
      <c r="Y49" s="94">
        <v>1698612.75</v>
      </c>
      <c r="Z49" s="94">
        <f>+(K49*12.08+L49*20.47)*12</f>
        <v>388043.424</v>
      </c>
      <c r="AB49" s="96" t="e">
        <f>+N49-#REF!</f>
        <v>#REF!</v>
      </c>
      <c r="AC49" s="27">
        <f>+N49-'[12]Приложение № 4'!E49</f>
        <v>0</v>
      </c>
      <c r="AE49" s="98" t="e">
        <f>+N49-#REF!</f>
        <v>#REF!</v>
      </c>
      <c r="AG49" s="101" t="s">
        <v>1055</v>
      </c>
      <c r="AH49" s="102">
        <f t="shared" si="6"/>
        <v>542001.21405781503</v>
      </c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>
        <v>518001.21405781497</v>
      </c>
      <c r="AV49" s="102">
        <v>24000</v>
      </c>
      <c r="AW49" s="102"/>
    </row>
    <row r="50" spans="1:49" ht="15" x14ac:dyDescent="0.25">
      <c r="A50" s="76">
        <f t="shared" si="3"/>
        <v>38</v>
      </c>
      <c r="B50" s="77">
        <f t="shared" si="3"/>
        <v>38</v>
      </c>
      <c r="C50" s="77" t="s">
        <v>545</v>
      </c>
      <c r="D50" s="77" t="s">
        <v>1056</v>
      </c>
      <c r="E50" s="78" t="s">
        <v>631</v>
      </c>
      <c r="F50" s="78"/>
      <c r="G50" s="78" t="s">
        <v>573</v>
      </c>
      <c r="H50" s="78" t="s">
        <v>571</v>
      </c>
      <c r="I50" s="78" t="s">
        <v>576</v>
      </c>
      <c r="J50" s="44">
        <v>3153</v>
      </c>
      <c r="K50" s="44">
        <v>2676.1</v>
      </c>
      <c r="L50" s="44">
        <v>0</v>
      </c>
      <c r="M50" s="79">
        <v>93</v>
      </c>
      <c r="N50" s="72">
        <f t="shared" si="1"/>
        <v>796517.34</v>
      </c>
      <c r="O50" s="44">
        <v>0</v>
      </c>
      <c r="P50" s="44"/>
      <c r="Q50" s="44"/>
      <c r="R50" s="44">
        <f>+'[12]Приложение № 4'!E50</f>
        <v>796517.34</v>
      </c>
      <c r="S50" s="44"/>
      <c r="T50" s="44"/>
      <c r="U50" s="44">
        <v>1942.63</v>
      </c>
      <c r="V50" s="44">
        <v>1942.63</v>
      </c>
      <c r="W50" s="80" t="s">
        <v>1101</v>
      </c>
      <c r="X50" s="96" t="e">
        <f>+N50-#REF!</f>
        <v>#REF!</v>
      </c>
      <c r="Y50" s="94">
        <v>1210064.42</v>
      </c>
      <c r="Z50" s="94">
        <f>+(K50*12.08+L50*20.47)*12</f>
        <v>387927.45600000001</v>
      </c>
      <c r="AB50" s="96" t="e">
        <f>+N50-#REF!</f>
        <v>#REF!</v>
      </c>
      <c r="AC50" s="27">
        <f>+N50-'[12]Приложение № 4'!E50</f>
        <v>0</v>
      </c>
      <c r="AE50" s="98" t="e">
        <f>+N50-#REF!</f>
        <v>#REF!</v>
      </c>
      <c r="AG50" s="101" t="s">
        <v>1056</v>
      </c>
      <c r="AH50" s="102">
        <f t="shared" si="6"/>
        <v>923636.49442104623</v>
      </c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>
        <v>899636.49442104623</v>
      </c>
      <c r="AV50" s="102">
        <v>24000</v>
      </c>
      <c r="AW50" s="102"/>
    </row>
    <row r="51" spans="1:49" ht="15" x14ac:dyDescent="0.25">
      <c r="A51" s="76">
        <f t="shared" si="3"/>
        <v>39</v>
      </c>
      <c r="B51" s="77">
        <f t="shared" si="3"/>
        <v>39</v>
      </c>
      <c r="C51" s="77" t="s">
        <v>545</v>
      </c>
      <c r="D51" s="77" t="s">
        <v>1057</v>
      </c>
      <c r="E51" s="78" t="s">
        <v>631</v>
      </c>
      <c r="F51" s="78"/>
      <c r="G51" s="78" t="s">
        <v>573</v>
      </c>
      <c r="H51" s="78" t="s">
        <v>571</v>
      </c>
      <c r="I51" s="78" t="s">
        <v>576</v>
      </c>
      <c r="J51" s="44">
        <v>3135.1</v>
      </c>
      <c r="K51" s="44">
        <v>2676.8</v>
      </c>
      <c r="L51" s="44">
        <v>0</v>
      </c>
      <c r="M51" s="79">
        <v>109</v>
      </c>
      <c r="N51" s="72">
        <f t="shared" si="1"/>
        <v>382753.72860983951</v>
      </c>
      <c r="O51" s="44">
        <v>0</v>
      </c>
      <c r="P51" s="44"/>
      <c r="Q51" s="44"/>
      <c r="R51" s="44">
        <f>+'[12]Приложение № 4'!E51</f>
        <v>382753.72860983951</v>
      </c>
      <c r="S51" s="44"/>
      <c r="T51" s="44"/>
      <c r="U51" s="44">
        <v>586.48</v>
      </c>
      <c r="V51" s="44">
        <v>586.48</v>
      </c>
      <c r="W51" s="80" t="s">
        <v>1101</v>
      </c>
      <c r="X51" s="96" t="e">
        <f>+N51-#REF!</f>
        <v>#REF!</v>
      </c>
      <c r="Y51" s="94">
        <v>1209236.6100000001</v>
      </c>
      <c r="Z51" s="94">
        <f>+(K51*12.08+L51*20.47)*12</f>
        <v>388028.92800000001</v>
      </c>
      <c r="AB51" s="96" t="e">
        <f>+N51-#REF!</f>
        <v>#REF!</v>
      </c>
      <c r="AC51" s="27">
        <f>+N51-'[12]Приложение № 4'!E51</f>
        <v>0</v>
      </c>
      <c r="AE51" s="98" t="e">
        <f>+N51-#REF!</f>
        <v>#REF!</v>
      </c>
      <c r="AG51" s="101" t="s">
        <v>1057</v>
      </c>
      <c r="AH51" s="102">
        <f t="shared" si="6"/>
        <v>382753.72860983951</v>
      </c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>
        <v>358753.72860983951</v>
      </c>
      <c r="AV51" s="102">
        <v>24000</v>
      </c>
      <c r="AW51" s="102"/>
    </row>
    <row r="52" spans="1:49" ht="15" x14ac:dyDescent="0.25">
      <c r="A52" s="76">
        <f t="shared" si="3"/>
        <v>40</v>
      </c>
      <c r="B52" s="77">
        <f t="shared" si="3"/>
        <v>40</v>
      </c>
      <c r="C52" s="77" t="s">
        <v>545</v>
      </c>
      <c r="D52" s="77" t="s">
        <v>923</v>
      </c>
      <c r="E52" s="78" t="s">
        <v>631</v>
      </c>
      <c r="F52" s="78"/>
      <c r="G52" s="78" t="s">
        <v>573</v>
      </c>
      <c r="H52" s="78" t="s">
        <v>582</v>
      </c>
      <c r="I52" s="78" t="s">
        <v>574</v>
      </c>
      <c r="J52" s="44">
        <v>10054.6</v>
      </c>
      <c r="K52" s="44">
        <v>8397.7999999999993</v>
      </c>
      <c r="L52" s="44">
        <v>68.7</v>
      </c>
      <c r="M52" s="79">
        <v>330</v>
      </c>
      <c r="N52" s="72">
        <f t="shared" si="1"/>
        <v>1418184.5214474853</v>
      </c>
      <c r="O52" s="44">
        <v>0</v>
      </c>
      <c r="P52" s="44"/>
      <c r="Q52" s="44"/>
      <c r="R52" s="44">
        <f>+'[12]Приложение № 4'!E52</f>
        <v>1418184.5214474853</v>
      </c>
      <c r="S52" s="44"/>
      <c r="T52" s="44"/>
      <c r="U52" s="44">
        <v>775.71</v>
      </c>
      <c r="V52" s="44">
        <v>775.71</v>
      </c>
      <c r="W52" s="80" t="s">
        <v>1101</v>
      </c>
      <c r="X52" s="96" t="e">
        <f>+N52-#REF!</f>
        <v>#REF!</v>
      </c>
      <c r="Y52" s="94">
        <v>3349325.94</v>
      </c>
      <c r="Z52" s="94">
        <f>+(K52*9.1+L52*18.19)*12</f>
        <v>932035.59600000002</v>
      </c>
      <c r="AB52" s="96" t="e">
        <f>+N52-#REF!</f>
        <v>#REF!</v>
      </c>
      <c r="AC52" s="27">
        <f>+N52-'[12]Приложение № 4'!E52</f>
        <v>0</v>
      </c>
      <c r="AE52" s="98" t="e">
        <f>+N52-#REF!</f>
        <v>#REF!</v>
      </c>
      <c r="AG52" s="101" t="s">
        <v>923</v>
      </c>
      <c r="AH52" s="102">
        <f t="shared" si="6"/>
        <v>598666.47144748538</v>
      </c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>
        <v>574666.47144748538</v>
      </c>
      <c r="AV52" s="102">
        <v>24000</v>
      </c>
      <c r="AW52" s="102"/>
    </row>
    <row r="53" spans="1:49" ht="15" x14ac:dyDescent="0.25">
      <c r="A53" s="76">
        <f t="shared" si="3"/>
        <v>41</v>
      </c>
      <c r="B53" s="77">
        <f t="shared" si="3"/>
        <v>41</v>
      </c>
      <c r="C53" s="77" t="s">
        <v>545</v>
      </c>
      <c r="D53" s="77" t="s">
        <v>1058</v>
      </c>
      <c r="E53" s="78" t="s">
        <v>1125</v>
      </c>
      <c r="F53" s="78"/>
      <c r="G53" s="78" t="s">
        <v>570</v>
      </c>
      <c r="H53" s="78" t="s">
        <v>579</v>
      </c>
      <c r="I53" s="78" t="s">
        <v>575</v>
      </c>
      <c r="J53" s="44">
        <v>5014.2</v>
      </c>
      <c r="K53" s="44">
        <v>3323.4</v>
      </c>
      <c r="L53" s="44">
        <v>753.6</v>
      </c>
      <c r="M53" s="79">
        <v>153</v>
      </c>
      <c r="N53" s="72">
        <f t="shared" si="1"/>
        <v>706531.21580926236</v>
      </c>
      <c r="O53" s="44">
        <v>0</v>
      </c>
      <c r="P53" s="44"/>
      <c r="Q53" s="44"/>
      <c r="R53" s="44">
        <f>+'[12]Приложение № 4'!E53</f>
        <v>706531.21580926236</v>
      </c>
      <c r="S53" s="44"/>
      <c r="T53" s="44"/>
      <c r="U53" s="44">
        <v>16.73</v>
      </c>
      <c r="V53" s="44">
        <v>16.73</v>
      </c>
      <c r="W53" s="80" t="s">
        <v>1101</v>
      </c>
      <c r="X53" s="96" t="e">
        <f>+N53-#REF!</f>
        <v>#REF!</v>
      </c>
      <c r="Y53" s="94">
        <v>1841760.66</v>
      </c>
      <c r="Z53" s="94">
        <f>+(K53*9.1+L53*18.19)*12</f>
        <v>527411.08799999999</v>
      </c>
      <c r="AB53" s="96" t="e">
        <f>+N53-#REF!</f>
        <v>#REF!</v>
      </c>
      <c r="AC53" s="27">
        <f>+N53-'[12]Приложение № 4'!E53</f>
        <v>0</v>
      </c>
      <c r="AE53" s="98" t="e">
        <f>+N53-#REF!</f>
        <v>#REF!</v>
      </c>
      <c r="AG53" s="101" t="s">
        <v>1058</v>
      </c>
      <c r="AH53" s="102">
        <f t="shared" si="6"/>
        <v>706531.21580926236</v>
      </c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>
        <v>682531.21580926236</v>
      </c>
      <c r="AV53" s="102">
        <v>24000</v>
      </c>
      <c r="AW53" s="102"/>
    </row>
    <row r="54" spans="1:49" ht="15" x14ac:dyDescent="0.25">
      <c r="A54" s="76">
        <f t="shared" si="3"/>
        <v>42</v>
      </c>
      <c r="B54" s="77">
        <f t="shared" si="3"/>
        <v>42</v>
      </c>
      <c r="C54" s="77" t="s">
        <v>545</v>
      </c>
      <c r="D54" s="77" t="s">
        <v>1059</v>
      </c>
      <c r="E54" s="78" t="s">
        <v>631</v>
      </c>
      <c r="F54" s="78"/>
      <c r="G54" s="78" t="s">
        <v>573</v>
      </c>
      <c r="H54" s="78" t="s">
        <v>582</v>
      </c>
      <c r="I54" s="78" t="s">
        <v>579</v>
      </c>
      <c r="J54" s="44">
        <v>5735.9</v>
      </c>
      <c r="K54" s="44">
        <v>4521.8999999999996</v>
      </c>
      <c r="L54" s="44">
        <v>320</v>
      </c>
      <c r="M54" s="79">
        <v>186</v>
      </c>
      <c r="N54" s="72">
        <f t="shared" si="1"/>
        <v>469117.85018307797</v>
      </c>
      <c r="O54" s="44">
        <v>0</v>
      </c>
      <c r="P54" s="44"/>
      <c r="Q54" s="44"/>
      <c r="R54" s="44">
        <f>+'[12]Приложение № 4'!E54</f>
        <v>469117.85018307797</v>
      </c>
      <c r="S54" s="44"/>
      <c r="T54" s="44"/>
      <c r="U54" s="44">
        <v>877.64</v>
      </c>
      <c r="V54" s="44">
        <v>877.64</v>
      </c>
      <c r="W54" s="80" t="s">
        <v>1101</v>
      </c>
      <c r="X54" s="96" t="e">
        <f>+N54-#REF!</f>
        <v>#REF!</v>
      </c>
      <c r="Y54" s="94">
        <v>1955361.97</v>
      </c>
      <c r="Z54" s="94">
        <f>+(K54*9.1+L54*18.19)*12</f>
        <v>563641.07999999996</v>
      </c>
      <c r="AB54" s="96" t="e">
        <f>+N54-#REF!</f>
        <v>#REF!</v>
      </c>
      <c r="AC54" s="27">
        <f>+N54-'[12]Приложение № 4'!E54</f>
        <v>0</v>
      </c>
      <c r="AE54" s="98" t="e">
        <f>+N54-#REF!</f>
        <v>#REF!</v>
      </c>
      <c r="AG54" s="101" t="s">
        <v>1059</v>
      </c>
      <c r="AH54" s="102">
        <f t="shared" si="6"/>
        <v>469117.85018307797</v>
      </c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>
        <v>445117.85018307797</v>
      </c>
      <c r="AV54" s="102">
        <v>24000</v>
      </c>
      <c r="AW54" s="102"/>
    </row>
    <row r="55" spans="1:49" ht="15" x14ac:dyDescent="0.25">
      <c r="A55" s="76">
        <f t="shared" si="3"/>
        <v>43</v>
      </c>
      <c r="B55" s="77">
        <f t="shared" si="3"/>
        <v>43</v>
      </c>
      <c r="C55" s="77" t="s">
        <v>545</v>
      </c>
      <c r="D55" s="77" t="s">
        <v>926</v>
      </c>
      <c r="E55" s="78" t="s">
        <v>585</v>
      </c>
      <c r="F55" s="78"/>
      <c r="G55" s="78" t="s">
        <v>573</v>
      </c>
      <c r="H55" s="78" t="s">
        <v>582</v>
      </c>
      <c r="I55" s="78" t="s">
        <v>575</v>
      </c>
      <c r="J55" s="44">
        <v>5096.3999999999996</v>
      </c>
      <c r="K55" s="44">
        <v>4071.7</v>
      </c>
      <c r="L55" s="44">
        <v>242.7</v>
      </c>
      <c r="M55" s="79">
        <v>191</v>
      </c>
      <c r="N55" s="72">
        <f t="shared" si="1"/>
        <v>1383529.4714977562</v>
      </c>
      <c r="O55" s="44">
        <v>0</v>
      </c>
      <c r="P55" s="44"/>
      <c r="Q55" s="44"/>
      <c r="R55" s="44">
        <f>+'[12]Приложение № 4'!E55</f>
        <v>1383529.4714977562</v>
      </c>
      <c r="S55" s="44"/>
      <c r="T55" s="44"/>
      <c r="U55" s="44">
        <v>2494.58</v>
      </c>
      <c r="V55" s="44">
        <v>2494.58</v>
      </c>
      <c r="W55" s="80" t="s">
        <v>1101</v>
      </c>
      <c r="X55" s="96" t="e">
        <f>+N55-#REF!</f>
        <v>#REF!</v>
      </c>
      <c r="Y55" s="94">
        <v>1771474.95</v>
      </c>
      <c r="Z55" s="94">
        <f>+(K55*9.1+L55*18.19)*12</f>
        <v>497606.19599999988</v>
      </c>
      <c r="AB55" s="96" t="e">
        <f>+N55-#REF!</f>
        <v>#REF!</v>
      </c>
      <c r="AC55" s="27">
        <f>+N55-'[12]Приложение № 4'!E55</f>
        <v>0</v>
      </c>
      <c r="AE55" s="98" t="e">
        <f>+N55-#REF!</f>
        <v>#REF!</v>
      </c>
      <c r="AG55" s="101" t="s">
        <v>926</v>
      </c>
      <c r="AH55" s="102">
        <f t="shared" si="6"/>
        <v>357977.02</v>
      </c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>
        <v>333977.02</v>
      </c>
      <c r="AV55" s="102">
        <v>24000</v>
      </c>
      <c r="AW55" s="102"/>
    </row>
    <row r="56" spans="1:49" ht="15" x14ac:dyDescent="0.25">
      <c r="A56" s="76">
        <f t="shared" si="3"/>
        <v>44</v>
      </c>
      <c r="B56" s="77">
        <f t="shared" si="3"/>
        <v>44</v>
      </c>
      <c r="C56" s="77" t="s">
        <v>545</v>
      </c>
      <c r="D56" s="77" t="s">
        <v>1060</v>
      </c>
      <c r="E56" s="78" t="s">
        <v>580</v>
      </c>
      <c r="F56" s="78"/>
      <c r="G56" s="78" t="s">
        <v>573</v>
      </c>
      <c r="H56" s="78" t="s">
        <v>571</v>
      </c>
      <c r="I56" s="78" t="s">
        <v>572</v>
      </c>
      <c r="J56" s="44">
        <v>6450</v>
      </c>
      <c r="K56" s="44">
        <v>5553.9</v>
      </c>
      <c r="L56" s="44">
        <v>35.6</v>
      </c>
      <c r="M56" s="79">
        <v>215</v>
      </c>
      <c r="N56" s="72">
        <f t="shared" si="1"/>
        <v>450951.80070266448</v>
      </c>
      <c r="O56" s="44">
        <v>0</v>
      </c>
      <c r="P56" s="44"/>
      <c r="Q56" s="44"/>
      <c r="R56" s="44">
        <f>+'[12]Приложение № 4'!E56</f>
        <v>450951.80070266448</v>
      </c>
      <c r="S56" s="44"/>
      <c r="T56" s="44"/>
      <c r="U56" s="44">
        <v>586.48</v>
      </c>
      <c r="V56" s="44">
        <v>586.48</v>
      </c>
      <c r="W56" s="80" t="s">
        <v>1101</v>
      </c>
      <c r="X56" s="96" t="e">
        <f>+N56-#REF!</f>
        <v>#REF!</v>
      </c>
      <c r="Y56" s="94">
        <v>2602107.5099999998</v>
      </c>
      <c r="Z56" s="94">
        <f>+(K56*12.08+L56*20.47)*12</f>
        <v>813838.12800000003</v>
      </c>
      <c r="AB56" s="96" t="e">
        <f>+N56-#REF!</f>
        <v>#REF!</v>
      </c>
      <c r="AC56" s="27">
        <f>+N56-'[12]Приложение № 4'!E56</f>
        <v>0</v>
      </c>
      <c r="AE56" s="98" t="e">
        <f>+N56-#REF!</f>
        <v>#REF!</v>
      </c>
      <c r="AG56" s="101" t="s">
        <v>1060</v>
      </c>
      <c r="AH56" s="102">
        <f t="shared" si="6"/>
        <v>450951.80070266448</v>
      </c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>
        <v>426951.80070266448</v>
      </c>
      <c r="AV56" s="102">
        <v>24000</v>
      </c>
      <c r="AW56" s="102"/>
    </row>
    <row r="57" spans="1:49" ht="15" x14ac:dyDescent="0.25">
      <c r="A57" s="76">
        <f t="shared" si="3"/>
        <v>45</v>
      </c>
      <c r="B57" s="77">
        <f t="shared" si="3"/>
        <v>45</v>
      </c>
      <c r="C57" s="77" t="s">
        <v>545</v>
      </c>
      <c r="D57" s="77" t="s">
        <v>931</v>
      </c>
      <c r="E57" s="78" t="s">
        <v>580</v>
      </c>
      <c r="F57" s="78"/>
      <c r="G57" s="78" t="s">
        <v>570</v>
      </c>
      <c r="H57" s="78" t="s">
        <v>572</v>
      </c>
      <c r="I57" s="78" t="s">
        <v>574</v>
      </c>
      <c r="J57" s="44">
        <v>962.7</v>
      </c>
      <c r="K57" s="44">
        <v>962.7</v>
      </c>
      <c r="L57" s="44">
        <v>0</v>
      </c>
      <c r="M57" s="79">
        <v>42</v>
      </c>
      <c r="N57" s="72">
        <f t="shared" si="1"/>
        <v>427851.16874364635</v>
      </c>
      <c r="O57" s="44">
        <v>0</v>
      </c>
      <c r="P57" s="44"/>
      <c r="Q57" s="44"/>
      <c r="R57" s="44">
        <f>+'[12]Приложение № 4'!E57</f>
        <v>427851.16874364635</v>
      </c>
      <c r="S57" s="44"/>
      <c r="T57" s="44"/>
      <c r="U57" s="44">
        <v>1695.02</v>
      </c>
      <c r="V57" s="44">
        <v>1695.02</v>
      </c>
      <c r="W57" s="80" t="s">
        <v>1101</v>
      </c>
      <c r="X57" s="96" t="e">
        <f>+N57-#REF!</f>
        <v>#REF!</v>
      </c>
      <c r="Y57" s="94">
        <v>386597.41</v>
      </c>
      <c r="Z57" s="94">
        <f>+(K57*9.1+L57*18.19)*12</f>
        <v>105126.84</v>
      </c>
      <c r="AB57" s="96" t="e">
        <f>+N57-#REF!</f>
        <v>#REF!</v>
      </c>
      <c r="AC57" s="27">
        <f>+N57-'[12]Приложение № 4'!E57</f>
        <v>0</v>
      </c>
      <c r="AE57" s="98" t="e">
        <f>+N57-#REF!</f>
        <v>#REF!</v>
      </c>
      <c r="AG57" s="101" t="s">
        <v>931</v>
      </c>
      <c r="AH57" s="102">
        <f t="shared" si="6"/>
        <v>132652.44874364641</v>
      </c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>
        <v>108652.44874364641</v>
      </c>
      <c r="AV57" s="102">
        <v>24000</v>
      </c>
      <c r="AW57" s="102"/>
    </row>
    <row r="58" spans="1:49" ht="15" x14ac:dyDescent="0.25">
      <c r="A58" s="76">
        <f t="shared" si="3"/>
        <v>46</v>
      </c>
      <c r="B58" s="77">
        <f t="shared" si="3"/>
        <v>46</v>
      </c>
      <c r="C58" s="77" t="s">
        <v>545</v>
      </c>
      <c r="D58" s="77" t="s">
        <v>934</v>
      </c>
      <c r="E58" s="78" t="s">
        <v>577</v>
      </c>
      <c r="F58" s="78"/>
      <c r="G58" s="78" t="s">
        <v>573</v>
      </c>
      <c r="H58" s="78" t="s">
        <v>1088</v>
      </c>
      <c r="I58" s="78" t="s">
        <v>572</v>
      </c>
      <c r="J58" s="44">
        <v>6531.6</v>
      </c>
      <c r="K58" s="44">
        <v>5613.6</v>
      </c>
      <c r="L58" s="44">
        <v>0</v>
      </c>
      <c r="M58" s="79">
        <v>197</v>
      </c>
      <c r="N58" s="72">
        <f t="shared" si="1"/>
        <v>1329258.7059235161</v>
      </c>
      <c r="O58" s="44">
        <v>0</v>
      </c>
      <c r="P58" s="44"/>
      <c r="Q58" s="44"/>
      <c r="R58" s="44">
        <f>+'[12]Приложение № 4'!E58</f>
        <v>1329258.7059235161</v>
      </c>
      <c r="S58" s="44"/>
      <c r="T58" s="44"/>
      <c r="U58" s="44">
        <v>518.37</v>
      </c>
      <c r="V58" s="44">
        <v>518.37</v>
      </c>
      <c r="W58" s="80" t="s">
        <v>1101</v>
      </c>
      <c r="X58" s="96" t="e">
        <f>+N58-#REF!</f>
        <v>#REF!</v>
      </c>
      <c r="Y58" s="94">
        <v>2526023.84</v>
      </c>
      <c r="Z58" s="94">
        <f>+(K58*12.08+L58*20.47)*12</f>
        <v>813747.45600000001</v>
      </c>
      <c r="AB58" s="96" t="e">
        <f>+N58-#REF!</f>
        <v>#REF!</v>
      </c>
      <c r="AC58" s="27">
        <f>+N58-'[12]Приложение № 4'!E58</f>
        <v>0</v>
      </c>
      <c r="AE58" s="98" t="e">
        <f>+N58-#REF!</f>
        <v>#REF!</v>
      </c>
      <c r="AG58" s="101" t="s">
        <v>934</v>
      </c>
      <c r="AH58" s="102">
        <f t="shared" si="6"/>
        <v>449586.22592351609</v>
      </c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>
        <v>425586.22592351609</v>
      </c>
      <c r="AV58" s="102">
        <v>24000</v>
      </c>
      <c r="AW58" s="102"/>
    </row>
    <row r="59" spans="1:49" ht="15" x14ac:dyDescent="0.25">
      <c r="A59" s="76">
        <f t="shared" si="3"/>
        <v>47</v>
      </c>
      <c r="B59" s="77">
        <f t="shared" si="3"/>
        <v>47</v>
      </c>
      <c r="C59" s="77" t="s">
        <v>545</v>
      </c>
      <c r="D59" s="77" t="s">
        <v>935</v>
      </c>
      <c r="E59" s="78" t="s">
        <v>627</v>
      </c>
      <c r="F59" s="78"/>
      <c r="G59" s="78" t="s">
        <v>573</v>
      </c>
      <c r="H59" s="78" t="s">
        <v>1088</v>
      </c>
      <c r="I59" s="78" t="s">
        <v>576</v>
      </c>
      <c r="J59" s="44">
        <v>3344</v>
      </c>
      <c r="K59" s="44">
        <v>2858.8</v>
      </c>
      <c r="L59" s="44">
        <v>0</v>
      </c>
      <c r="M59" s="79">
        <v>115</v>
      </c>
      <c r="N59" s="72">
        <f t="shared" si="1"/>
        <v>1434629.2921652414</v>
      </c>
      <c r="O59" s="44">
        <v>0</v>
      </c>
      <c r="P59" s="44"/>
      <c r="Q59" s="44"/>
      <c r="R59" s="44">
        <f>+'[12]Приложение № 4'!E59</f>
        <v>1434629.2921652414</v>
      </c>
      <c r="S59" s="44"/>
      <c r="T59" s="44"/>
      <c r="U59" s="44">
        <v>518.37</v>
      </c>
      <c r="V59" s="44">
        <v>518.37</v>
      </c>
      <c r="W59" s="80" t="s">
        <v>1101</v>
      </c>
      <c r="X59" s="96" t="e">
        <f>+N59-#REF!</f>
        <v>#REF!</v>
      </c>
      <c r="Y59" s="94">
        <v>1417549.79</v>
      </c>
      <c r="Z59" s="94">
        <f>+(K59*12.08+L59*20.47)*12</f>
        <v>414411.64800000004</v>
      </c>
      <c r="AB59" s="96" t="e">
        <f>+N59-#REF!</f>
        <v>#REF!</v>
      </c>
      <c r="AC59" s="27">
        <f>+N59-'[12]Приложение № 4'!E59</f>
        <v>0</v>
      </c>
      <c r="AE59" s="98" t="e">
        <f>+N59-#REF!</f>
        <v>#REF!</v>
      </c>
      <c r="AG59" s="101" t="s">
        <v>935</v>
      </c>
      <c r="AH59" s="102">
        <f t="shared" si="6"/>
        <v>386337.64216524141</v>
      </c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>
        <v>362337.64216524141</v>
      </c>
      <c r="AV59" s="102">
        <v>24000</v>
      </c>
      <c r="AW59" s="102"/>
    </row>
    <row r="60" spans="1:49" ht="15" x14ac:dyDescent="0.25">
      <c r="A60" s="76">
        <f t="shared" si="3"/>
        <v>48</v>
      </c>
      <c r="B60" s="77">
        <f t="shared" si="3"/>
        <v>48</v>
      </c>
      <c r="C60" s="77" t="s">
        <v>545</v>
      </c>
      <c r="D60" s="77" t="s">
        <v>1061</v>
      </c>
      <c r="E60" s="78" t="s">
        <v>605</v>
      </c>
      <c r="F60" s="78"/>
      <c r="G60" s="78" t="s">
        <v>573</v>
      </c>
      <c r="H60" s="78" t="s">
        <v>571</v>
      </c>
      <c r="I60" s="78" t="s">
        <v>572</v>
      </c>
      <c r="J60" s="44">
        <v>6530.5</v>
      </c>
      <c r="K60" s="44">
        <v>5642.6</v>
      </c>
      <c r="L60" s="44">
        <v>0</v>
      </c>
      <c r="M60" s="79">
        <v>226</v>
      </c>
      <c r="N60" s="72">
        <f t="shared" si="1"/>
        <v>451412.75421461329</v>
      </c>
      <c r="O60" s="44">
        <v>0</v>
      </c>
      <c r="P60" s="44"/>
      <c r="Q60" s="44"/>
      <c r="R60" s="44">
        <f>+'[12]Приложение № 4'!E60</f>
        <v>451412.75421461329</v>
      </c>
      <c r="S60" s="44"/>
      <c r="T60" s="44"/>
      <c r="U60" s="44">
        <v>586.48</v>
      </c>
      <c r="V60" s="44">
        <v>586.48</v>
      </c>
      <c r="W60" s="80" t="s">
        <v>1101</v>
      </c>
      <c r="X60" s="96" t="e">
        <f>+N60-#REF!</f>
        <v>#REF!</v>
      </c>
      <c r="Y60" s="94">
        <v>2755801.63</v>
      </c>
      <c r="Z60" s="94">
        <f>+(K60*12.08+L60*20.47)*12</f>
        <v>817951.29600000009</v>
      </c>
      <c r="AB60" s="96" t="e">
        <f>+N60-#REF!</f>
        <v>#REF!</v>
      </c>
      <c r="AC60" s="27">
        <f>+N60-'[12]Приложение № 4'!E60</f>
        <v>0</v>
      </c>
      <c r="AE60" s="98" t="e">
        <f>+N60-#REF!</f>
        <v>#REF!</v>
      </c>
      <c r="AG60" s="101" t="s">
        <v>1061</v>
      </c>
      <c r="AH60" s="102">
        <f t="shared" si="6"/>
        <v>451412.75421461329</v>
      </c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>
        <v>427412.75421461329</v>
      </c>
      <c r="AV60" s="102">
        <v>24000</v>
      </c>
      <c r="AW60" s="102"/>
    </row>
    <row r="61" spans="1:49" ht="15" x14ac:dyDescent="0.25">
      <c r="A61" s="76">
        <f t="shared" si="3"/>
        <v>49</v>
      </c>
      <c r="B61" s="77">
        <f t="shared" si="3"/>
        <v>49</v>
      </c>
      <c r="C61" s="77" t="s">
        <v>545</v>
      </c>
      <c r="D61" s="77" t="s">
        <v>1062</v>
      </c>
      <c r="E61" s="78" t="s">
        <v>581</v>
      </c>
      <c r="F61" s="78"/>
      <c r="G61" s="78" t="s">
        <v>573</v>
      </c>
      <c r="H61" s="78" t="s">
        <v>571</v>
      </c>
      <c r="I61" s="78" t="s">
        <v>576</v>
      </c>
      <c r="J61" s="44">
        <v>2891.6</v>
      </c>
      <c r="K61" s="44">
        <v>2275.6</v>
      </c>
      <c r="L61" s="44">
        <v>121.8</v>
      </c>
      <c r="M61" s="79">
        <v>87</v>
      </c>
      <c r="N61" s="72">
        <f t="shared" si="1"/>
        <v>267582.33999999997</v>
      </c>
      <c r="O61" s="44">
        <v>0</v>
      </c>
      <c r="P61" s="44"/>
      <c r="Q61" s="44"/>
      <c r="R61" s="44">
        <f>+'[12]Приложение № 4'!E61</f>
        <v>267582.33999999997</v>
      </c>
      <c r="S61" s="44"/>
      <c r="T61" s="44"/>
      <c r="U61" s="44">
        <v>728.66</v>
      </c>
      <c r="V61" s="44">
        <v>728.66</v>
      </c>
      <c r="W61" s="80" t="s">
        <v>1101</v>
      </c>
      <c r="X61" s="96" t="e">
        <f>+N61-#REF!</f>
        <v>#REF!</v>
      </c>
      <c r="Y61" s="94">
        <v>1239951.3999999999</v>
      </c>
      <c r="Z61" s="94">
        <f>+(K61*12.08+L61*20.47)*12</f>
        <v>359789.92799999996</v>
      </c>
      <c r="AB61" s="96" t="e">
        <f>+N61-#REF!</f>
        <v>#REF!</v>
      </c>
      <c r="AC61" s="27">
        <f>+N61-'[12]Приложение № 4'!E61</f>
        <v>0</v>
      </c>
      <c r="AE61" s="98" t="e">
        <f>+N61-#REF!</f>
        <v>#REF!</v>
      </c>
      <c r="AG61" s="101" t="s">
        <v>1062</v>
      </c>
      <c r="AH61" s="102">
        <f t="shared" si="6"/>
        <v>394432.708064234</v>
      </c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>
        <v>370432.708064234</v>
      </c>
      <c r="AV61" s="102">
        <v>24000</v>
      </c>
      <c r="AW61" s="102"/>
    </row>
    <row r="62" spans="1:49" ht="15" x14ac:dyDescent="0.25">
      <c r="A62" s="76">
        <f t="shared" si="3"/>
        <v>50</v>
      </c>
      <c r="B62" s="77">
        <f t="shared" si="3"/>
        <v>50</v>
      </c>
      <c r="C62" s="77" t="s">
        <v>545</v>
      </c>
      <c r="D62" s="77" t="s">
        <v>1155</v>
      </c>
      <c r="E62" s="78">
        <v>1992</v>
      </c>
      <c r="F62" s="78">
        <v>2010</v>
      </c>
      <c r="G62" s="78" t="s">
        <v>547</v>
      </c>
      <c r="H62" s="78">
        <v>9</v>
      </c>
      <c r="I62" s="78">
        <v>2</v>
      </c>
      <c r="J62" s="44">
        <v>5843.5</v>
      </c>
      <c r="K62" s="44">
        <v>4914.5</v>
      </c>
      <c r="L62" s="44">
        <v>82.5</v>
      </c>
      <c r="M62" s="79">
        <v>159</v>
      </c>
      <c r="N62" s="72">
        <f t="shared" si="1"/>
        <v>477598.53011454962</v>
      </c>
      <c r="O62" s="44"/>
      <c r="P62" s="68"/>
      <c r="Q62" s="68"/>
      <c r="R62" s="44">
        <f>+'[12]Приложение № 4'!E62</f>
        <v>477598.53011454962</v>
      </c>
      <c r="S62" s="68"/>
      <c r="T62" s="68"/>
      <c r="U62" s="68">
        <f>$N62/($K62+$L62)</f>
        <v>95.577052254262483</v>
      </c>
      <c r="V62" s="68">
        <f>$N62/($K62+$L62)</f>
        <v>95.577052254262483</v>
      </c>
      <c r="W62" s="80" t="s">
        <v>1101</v>
      </c>
      <c r="X62" s="76"/>
      <c r="Y62" s="77"/>
      <c r="Z62" s="77"/>
      <c r="AA62" s="77"/>
      <c r="AC62" s="27">
        <f>+N62-'[12]Приложение № 4'!E62</f>
        <v>0</v>
      </c>
    </row>
    <row r="63" spans="1:49" ht="15" x14ac:dyDescent="0.25">
      <c r="A63" s="76">
        <f t="shared" si="3"/>
        <v>51</v>
      </c>
      <c r="B63" s="77">
        <f t="shared" si="3"/>
        <v>51</v>
      </c>
      <c r="C63" s="77" t="s">
        <v>545</v>
      </c>
      <c r="D63" s="77" t="s">
        <v>893</v>
      </c>
      <c r="E63" s="78" t="s">
        <v>597</v>
      </c>
      <c r="F63" s="78"/>
      <c r="G63" s="78" t="s">
        <v>573</v>
      </c>
      <c r="H63" s="78" t="s">
        <v>571</v>
      </c>
      <c r="I63" s="78" t="s">
        <v>582</v>
      </c>
      <c r="J63" s="44">
        <v>12250.3</v>
      </c>
      <c r="K63" s="44">
        <v>9272.1</v>
      </c>
      <c r="L63" s="44">
        <v>330.7</v>
      </c>
      <c r="M63" s="79">
        <v>376</v>
      </c>
      <c r="N63" s="72">
        <f t="shared" si="1"/>
        <v>1292424.21</v>
      </c>
      <c r="O63" s="44">
        <v>0</v>
      </c>
      <c r="P63" s="44"/>
      <c r="Q63" s="44"/>
      <c r="R63" s="44">
        <f>+'[12]Приложение № 4'!E63</f>
        <v>1292424.21</v>
      </c>
      <c r="S63" s="44"/>
      <c r="T63" s="44"/>
      <c r="U63" s="44">
        <v>2773.96</v>
      </c>
      <c r="V63" s="44">
        <v>2773.96</v>
      </c>
      <c r="W63" s="80" t="s">
        <v>1101</v>
      </c>
      <c r="X63" s="96" t="e">
        <f>+N63-#REF!</f>
        <v>#REF!</v>
      </c>
      <c r="Y63" s="94">
        <v>4713911.96</v>
      </c>
      <c r="Z63" s="94">
        <f>+(K63*12.08+L63*20.47)*12</f>
        <v>1425316.7640000002</v>
      </c>
      <c r="AB63" s="96" t="e">
        <f>+N63-#REF!</f>
        <v>#REF!</v>
      </c>
      <c r="AC63" s="27">
        <f>+N63-'[12]Приложение № 4'!E63</f>
        <v>0</v>
      </c>
      <c r="AE63" s="98" t="e">
        <f>+N63-#REF!</f>
        <v>#REF!</v>
      </c>
      <c r="AG63" s="101" t="s">
        <v>893</v>
      </c>
      <c r="AH63" s="102">
        <f t="shared" si="2"/>
        <v>1541565.3751846224</v>
      </c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>
        <v>1517565.3751846224</v>
      </c>
      <c r="AV63" s="102">
        <v>24000</v>
      </c>
      <c r="AW63" s="102"/>
    </row>
    <row r="64" spans="1:49" ht="15" x14ac:dyDescent="0.25">
      <c r="A64" s="76">
        <f t="shared" si="3"/>
        <v>52</v>
      </c>
      <c r="B64" s="77">
        <f t="shared" si="3"/>
        <v>52</v>
      </c>
      <c r="C64" s="77" t="s">
        <v>545</v>
      </c>
      <c r="D64" s="77" t="s">
        <v>894</v>
      </c>
      <c r="E64" s="78" t="s">
        <v>618</v>
      </c>
      <c r="F64" s="78"/>
      <c r="G64" s="78" t="s">
        <v>573</v>
      </c>
      <c r="H64" s="78" t="s">
        <v>571</v>
      </c>
      <c r="I64" s="78" t="s">
        <v>576</v>
      </c>
      <c r="J64" s="44">
        <v>3327.1</v>
      </c>
      <c r="K64" s="44">
        <v>2761.3</v>
      </c>
      <c r="L64" s="44">
        <v>127.1</v>
      </c>
      <c r="M64" s="79">
        <v>93</v>
      </c>
      <c r="N64" s="72">
        <f t="shared" si="1"/>
        <v>1060645.6500000001</v>
      </c>
      <c r="O64" s="44">
        <v>0</v>
      </c>
      <c r="P64" s="44"/>
      <c r="Q64" s="44"/>
      <c r="R64" s="44">
        <f>+'[12]Приложение № 4'!E64</f>
        <v>1060645.6500000001</v>
      </c>
      <c r="S64" s="44"/>
      <c r="T64" s="44"/>
      <c r="U64" s="44">
        <v>3289.39</v>
      </c>
      <c r="V64" s="44">
        <v>3289.39</v>
      </c>
      <c r="W64" s="80" t="s">
        <v>1101</v>
      </c>
      <c r="X64" s="96" t="e">
        <f>+N64-#REF!</f>
        <v>#REF!</v>
      </c>
      <c r="Y64" s="94">
        <v>1406574.09</v>
      </c>
      <c r="Z64" s="94">
        <f>+(K64*12.08+L64*20.47)*12</f>
        <v>431498.89199999999</v>
      </c>
      <c r="AB64" s="96" t="e">
        <f>+N64-#REF!</f>
        <v>#REF!</v>
      </c>
      <c r="AC64" s="27">
        <f>+N64-'[12]Приложение № 4'!E64</f>
        <v>0</v>
      </c>
      <c r="AE64" s="98" t="e">
        <f>+N64-#REF!</f>
        <v>#REF!</v>
      </c>
      <c r="AG64" s="101" t="s">
        <v>894</v>
      </c>
      <c r="AH64" s="102">
        <f t="shared" si="2"/>
        <v>1066091.0141759999</v>
      </c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>
        <v>1042091.0141759999</v>
      </c>
      <c r="AV64" s="102">
        <v>24000</v>
      </c>
      <c r="AW64" s="102"/>
    </row>
    <row r="65" spans="1:49" ht="15" x14ac:dyDescent="0.25">
      <c r="A65" s="76">
        <f t="shared" si="3"/>
        <v>53</v>
      </c>
      <c r="B65" s="77">
        <f t="shared" si="3"/>
        <v>53</v>
      </c>
      <c r="C65" s="77" t="s">
        <v>545</v>
      </c>
      <c r="D65" s="77" t="s">
        <v>895</v>
      </c>
      <c r="E65" s="78" t="s">
        <v>587</v>
      </c>
      <c r="F65" s="78"/>
      <c r="G65" s="78" t="s">
        <v>573</v>
      </c>
      <c r="H65" s="78" t="s">
        <v>579</v>
      </c>
      <c r="I65" s="78" t="s">
        <v>583</v>
      </c>
      <c r="J65" s="44">
        <v>4123.8</v>
      </c>
      <c r="K65" s="44">
        <v>3630.8</v>
      </c>
      <c r="L65" s="44">
        <v>0</v>
      </c>
      <c r="M65" s="79">
        <v>169</v>
      </c>
      <c r="N65" s="72">
        <f t="shared" si="1"/>
        <v>747051.57000000007</v>
      </c>
      <c r="O65" s="44">
        <v>0</v>
      </c>
      <c r="P65" s="44"/>
      <c r="Q65" s="44"/>
      <c r="R65" s="44">
        <f>+'[12]Приложение № 4'!E65</f>
        <v>747051.57000000007</v>
      </c>
      <c r="S65" s="44"/>
      <c r="T65" s="44"/>
      <c r="U65" s="44">
        <v>3251.72</v>
      </c>
      <c r="V65" s="44">
        <v>3251.72</v>
      </c>
      <c r="W65" s="80" t="s">
        <v>1101</v>
      </c>
      <c r="X65" s="96" t="e">
        <f>+N65-#REF!</f>
        <v>#REF!</v>
      </c>
      <c r="Y65" s="94">
        <v>1315884.68</v>
      </c>
      <c r="Z65" s="94">
        <f>+(K65*9.1+L65*18.19)*12</f>
        <v>396483.36</v>
      </c>
      <c r="AB65" s="96" t="e">
        <f>+N65-#REF!</f>
        <v>#REF!</v>
      </c>
      <c r="AC65" s="27">
        <f>+N65-'[12]Приложение № 4'!E65</f>
        <v>0</v>
      </c>
      <c r="AE65" s="98" t="e">
        <f>+N65-#REF!</f>
        <v>#REF!</v>
      </c>
      <c r="AG65" s="101" t="s">
        <v>895</v>
      </c>
      <c r="AH65" s="102">
        <f t="shared" si="2"/>
        <v>750849.70203554514</v>
      </c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>
        <v>726849.70203554514</v>
      </c>
      <c r="AV65" s="102">
        <v>24000</v>
      </c>
      <c r="AW65" s="102"/>
    </row>
    <row r="66" spans="1:49" ht="15" x14ac:dyDescent="0.25">
      <c r="A66" s="76">
        <f t="shared" si="3"/>
        <v>54</v>
      </c>
      <c r="B66" s="77">
        <f t="shared" si="3"/>
        <v>54</v>
      </c>
      <c r="C66" s="77" t="s">
        <v>545</v>
      </c>
      <c r="D66" s="77" t="s">
        <v>896</v>
      </c>
      <c r="E66" s="78" t="s">
        <v>581</v>
      </c>
      <c r="F66" s="78"/>
      <c r="G66" s="78" t="s">
        <v>573</v>
      </c>
      <c r="H66" s="78" t="s">
        <v>582</v>
      </c>
      <c r="I66" s="78" t="s">
        <v>572</v>
      </c>
      <c r="J66" s="44">
        <v>3362.8</v>
      </c>
      <c r="K66" s="44">
        <v>2867.5</v>
      </c>
      <c r="L66" s="44">
        <v>0</v>
      </c>
      <c r="M66" s="79">
        <v>119</v>
      </c>
      <c r="N66" s="72">
        <f t="shared" si="1"/>
        <v>309619.23</v>
      </c>
      <c r="O66" s="44">
        <v>0</v>
      </c>
      <c r="P66" s="44"/>
      <c r="Q66" s="44"/>
      <c r="R66" s="44">
        <f>+'[12]Приложение № 4'!E66</f>
        <v>309619.23</v>
      </c>
      <c r="S66" s="44"/>
      <c r="T66" s="44"/>
      <c r="U66" s="44">
        <v>1358.04</v>
      </c>
      <c r="V66" s="44">
        <v>1358.04</v>
      </c>
      <c r="W66" s="80" t="s">
        <v>1101</v>
      </c>
      <c r="X66" s="96" t="e">
        <f>+N66-#REF!</f>
        <v>#REF!</v>
      </c>
      <c r="Y66" s="94">
        <v>1133436.98</v>
      </c>
      <c r="Z66" s="94">
        <f>+(K66*9.1+L66*18.19)*12</f>
        <v>313131</v>
      </c>
      <c r="AB66" s="96" t="e">
        <f>+N66-#REF!</f>
        <v>#REF!</v>
      </c>
      <c r="AC66" s="27">
        <f>+N66-'[12]Приложение № 4'!E66</f>
        <v>0</v>
      </c>
      <c r="AE66" s="98" t="e">
        <f>+N66-#REF!</f>
        <v>#REF!</v>
      </c>
      <c r="AG66" s="101" t="s">
        <v>896</v>
      </c>
      <c r="AH66" s="102">
        <f t="shared" si="2"/>
        <v>311119.56153386593</v>
      </c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>
        <v>287119.56153386593</v>
      </c>
      <c r="AV66" s="102">
        <v>24000</v>
      </c>
      <c r="AW66" s="102"/>
    </row>
    <row r="67" spans="1:49" ht="15" x14ac:dyDescent="0.25">
      <c r="A67" s="76">
        <f t="shared" si="3"/>
        <v>55</v>
      </c>
      <c r="B67" s="77">
        <f t="shared" si="3"/>
        <v>55</v>
      </c>
      <c r="C67" s="77" t="s">
        <v>545</v>
      </c>
      <c r="D67" s="77" t="s">
        <v>897</v>
      </c>
      <c r="E67" s="78" t="s">
        <v>1119</v>
      </c>
      <c r="F67" s="78"/>
      <c r="G67" s="78" t="s">
        <v>573</v>
      </c>
      <c r="H67" s="78" t="s">
        <v>571</v>
      </c>
      <c r="I67" s="78" t="s">
        <v>576</v>
      </c>
      <c r="J67" s="44">
        <v>3420</v>
      </c>
      <c r="K67" s="44">
        <v>2765.1</v>
      </c>
      <c r="L67" s="44">
        <v>136</v>
      </c>
      <c r="M67" s="79">
        <v>109</v>
      </c>
      <c r="N67" s="72">
        <f t="shared" si="1"/>
        <v>579578.69999999995</v>
      </c>
      <c r="O67" s="44">
        <v>0</v>
      </c>
      <c r="P67" s="44"/>
      <c r="Q67" s="44"/>
      <c r="R67" s="44">
        <f>+'[12]Приложение № 4'!E67</f>
        <v>579578.69999999995</v>
      </c>
      <c r="S67" s="44"/>
      <c r="T67" s="44"/>
      <c r="U67" s="44">
        <v>1356.15</v>
      </c>
      <c r="V67" s="44">
        <v>1356.15</v>
      </c>
      <c r="W67" s="80" t="s">
        <v>1101</v>
      </c>
      <c r="X67" s="96" t="e">
        <f>+N67-#REF!</f>
        <v>#REF!</v>
      </c>
      <c r="Y67" s="94">
        <v>1317824.78</v>
      </c>
      <c r="Z67" s="94">
        <f>+(K67*12.08+L67*20.47)*12</f>
        <v>434235.93599999993</v>
      </c>
      <c r="AB67" s="96" t="e">
        <f>+N67-#REF!</f>
        <v>#REF!</v>
      </c>
      <c r="AC67" s="27">
        <f>+N67-'[12]Приложение № 4'!E67</f>
        <v>0</v>
      </c>
      <c r="AE67" s="98" t="e">
        <f>+N67-#REF!</f>
        <v>#REF!</v>
      </c>
      <c r="AG67" s="101" t="s">
        <v>897</v>
      </c>
      <c r="AH67" s="102">
        <f t="shared" si="2"/>
        <v>582497.10528000002</v>
      </c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>
        <v>558497.10528000002</v>
      </c>
      <c r="AV67" s="102">
        <v>24000</v>
      </c>
      <c r="AW67" s="102"/>
    </row>
    <row r="68" spans="1:49" ht="15" x14ac:dyDescent="0.25">
      <c r="A68" s="76">
        <f t="shared" si="3"/>
        <v>56</v>
      </c>
      <c r="B68" s="77">
        <f t="shared" si="3"/>
        <v>56</v>
      </c>
      <c r="C68" s="77" t="s">
        <v>545</v>
      </c>
      <c r="D68" s="77" t="s">
        <v>898</v>
      </c>
      <c r="E68" s="78" t="s">
        <v>1120</v>
      </c>
      <c r="F68" s="78"/>
      <c r="G68" s="78" t="s">
        <v>573</v>
      </c>
      <c r="H68" s="78" t="s">
        <v>582</v>
      </c>
      <c r="I68" s="78" t="s">
        <v>582</v>
      </c>
      <c r="J68" s="44">
        <v>5761.1</v>
      </c>
      <c r="K68" s="44">
        <v>4905.8999999999996</v>
      </c>
      <c r="L68" s="44">
        <v>0</v>
      </c>
      <c r="M68" s="79">
        <v>212</v>
      </c>
      <c r="N68" s="72">
        <f t="shared" si="1"/>
        <v>347451.22</v>
      </c>
      <c r="O68" s="44">
        <v>0</v>
      </c>
      <c r="P68" s="44"/>
      <c r="Q68" s="44"/>
      <c r="R68" s="44">
        <f>+'[12]Приложение № 4'!E68</f>
        <v>347451.22</v>
      </c>
      <c r="S68" s="44"/>
      <c r="T68" s="44"/>
      <c r="U68" s="44">
        <v>1358.04</v>
      </c>
      <c r="V68" s="44">
        <v>1358.04</v>
      </c>
      <c r="W68" s="80" t="s">
        <v>1101</v>
      </c>
      <c r="X68" s="96" t="e">
        <f>+N68-#REF!</f>
        <v>#REF!</v>
      </c>
      <c r="Y68" s="94">
        <v>1802932.02</v>
      </c>
      <c r="Z68" s="94">
        <f>+(K68*9.1+L68*18.19)*12</f>
        <v>535724.27999999991</v>
      </c>
      <c r="AB68" s="96" t="e">
        <f>+N68-#REF!</f>
        <v>#REF!</v>
      </c>
      <c r="AC68" s="27">
        <f>+N68-'[12]Приложение № 4'!E68</f>
        <v>0</v>
      </c>
      <c r="AE68" s="98" t="e">
        <f>+N68-#REF!</f>
        <v>#REF!</v>
      </c>
      <c r="AG68" s="101" t="s">
        <v>898</v>
      </c>
      <c r="AH68" s="102">
        <f t="shared" si="2"/>
        <v>349150.27754646976</v>
      </c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>
        <v>325150.27754646976</v>
      </c>
      <c r="AV68" s="102">
        <v>24000</v>
      </c>
      <c r="AW68" s="102"/>
    </row>
    <row r="69" spans="1:49" ht="15" x14ac:dyDescent="0.25">
      <c r="A69" s="76">
        <f t="shared" si="3"/>
        <v>57</v>
      </c>
      <c r="B69" s="77">
        <f t="shared" si="3"/>
        <v>57</v>
      </c>
      <c r="C69" s="77" t="s">
        <v>545</v>
      </c>
      <c r="D69" s="77" t="s">
        <v>900</v>
      </c>
      <c r="E69" s="78" t="s">
        <v>597</v>
      </c>
      <c r="F69" s="78"/>
      <c r="G69" s="78" t="s">
        <v>573</v>
      </c>
      <c r="H69" s="78" t="s">
        <v>571</v>
      </c>
      <c r="I69" s="78" t="s">
        <v>576</v>
      </c>
      <c r="J69" s="44">
        <v>2820.8</v>
      </c>
      <c r="K69" s="44">
        <v>2221.1</v>
      </c>
      <c r="L69" s="44">
        <v>119.6</v>
      </c>
      <c r="M69" s="79">
        <v>118</v>
      </c>
      <c r="N69" s="72">
        <f t="shared" si="1"/>
        <v>400458.23</v>
      </c>
      <c r="O69" s="44">
        <v>0</v>
      </c>
      <c r="P69" s="44"/>
      <c r="Q69" s="44"/>
      <c r="R69" s="44">
        <f>+'[12]Приложение № 4'!E69</f>
        <v>400458.23</v>
      </c>
      <c r="S69" s="44"/>
      <c r="T69" s="44"/>
      <c r="U69" s="44">
        <v>728.66</v>
      </c>
      <c r="V69" s="44">
        <v>728.66</v>
      </c>
      <c r="W69" s="80" t="s">
        <v>1101</v>
      </c>
      <c r="X69" s="96" t="e">
        <f>+N69-#REF!</f>
        <v>#REF!</v>
      </c>
      <c r="Y69" s="94">
        <v>1143093.33</v>
      </c>
      <c r="Z69" s="94">
        <f>+(K69*12.08+L69*20.47)*12</f>
        <v>351349.19999999995</v>
      </c>
      <c r="AB69" s="96" t="e">
        <f>+N69-#REF!</f>
        <v>#REF!</v>
      </c>
      <c r="AC69" s="27">
        <f>+N69-'[12]Приложение № 4'!E69</f>
        <v>0</v>
      </c>
      <c r="AE69" s="98" t="e">
        <f>+N69-#REF!</f>
        <v>#REF!</v>
      </c>
      <c r="AG69" s="101" t="s">
        <v>900</v>
      </c>
      <c r="AH69" s="102">
        <f t="shared" si="2"/>
        <v>402435.73011235206</v>
      </c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>
        <v>378435.73011235206</v>
      </c>
      <c r="AV69" s="102">
        <v>24000</v>
      </c>
      <c r="AW69" s="102"/>
    </row>
    <row r="70" spans="1:49" ht="15" x14ac:dyDescent="0.25">
      <c r="A70" s="76">
        <f t="shared" si="3"/>
        <v>58</v>
      </c>
      <c r="B70" s="77">
        <f t="shared" si="3"/>
        <v>58</v>
      </c>
      <c r="C70" s="77" t="s">
        <v>545</v>
      </c>
      <c r="D70" s="77" t="s">
        <v>901</v>
      </c>
      <c r="E70" s="78" t="s">
        <v>586</v>
      </c>
      <c r="F70" s="78"/>
      <c r="G70" s="78" t="s">
        <v>570</v>
      </c>
      <c r="H70" s="78" t="s">
        <v>579</v>
      </c>
      <c r="I70" s="78" t="s">
        <v>575</v>
      </c>
      <c r="J70" s="44">
        <v>5284.65</v>
      </c>
      <c r="K70" s="44">
        <v>2548.5</v>
      </c>
      <c r="L70" s="44">
        <v>972.4</v>
      </c>
      <c r="M70" s="79">
        <v>299</v>
      </c>
      <c r="N70" s="72">
        <f t="shared" si="1"/>
        <v>644109.07000000007</v>
      </c>
      <c r="O70" s="44">
        <v>0</v>
      </c>
      <c r="P70" s="44"/>
      <c r="Q70" s="44"/>
      <c r="R70" s="44">
        <f>+'[12]Приложение № 4'!E70</f>
        <v>644109.07000000007</v>
      </c>
      <c r="S70" s="44"/>
      <c r="T70" s="44"/>
      <c r="U70" s="44">
        <v>2787.39</v>
      </c>
      <c r="V70" s="44">
        <v>2787.39</v>
      </c>
      <c r="W70" s="80" t="s">
        <v>1101</v>
      </c>
      <c r="X70" s="96" t="e">
        <f>+N70-#REF!</f>
        <v>#REF!</v>
      </c>
      <c r="Y70" s="94">
        <v>1726148.13</v>
      </c>
      <c r="Z70" s="94">
        <f t="shared" ref="Z70:Z73" si="7">+(K70*9.1+L70*18.19)*12</f>
        <v>490551.67199999996</v>
      </c>
      <c r="AB70" s="96" t="e">
        <f>+N70-#REF!</f>
        <v>#REF!</v>
      </c>
      <c r="AC70" s="27">
        <f>+N70-'[12]Приложение № 4'!E70</f>
        <v>0</v>
      </c>
      <c r="AE70" s="98" t="e">
        <f>+N70-#REF!</f>
        <v>#REF!</v>
      </c>
      <c r="AG70" s="101" t="s">
        <v>901</v>
      </c>
      <c r="AH70" s="102">
        <f t="shared" si="2"/>
        <v>647366.44112744601</v>
      </c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>
        <v>623366.44112744601</v>
      </c>
      <c r="AV70" s="102">
        <v>24000</v>
      </c>
      <c r="AW70" s="102"/>
    </row>
    <row r="71" spans="1:49" ht="15" x14ac:dyDescent="0.25">
      <c r="A71" s="76">
        <f t="shared" si="3"/>
        <v>59</v>
      </c>
      <c r="B71" s="77">
        <f t="shared" si="3"/>
        <v>59</v>
      </c>
      <c r="C71" s="77" t="s">
        <v>545</v>
      </c>
      <c r="D71" s="77" t="s">
        <v>902</v>
      </c>
      <c r="E71" s="78" t="s">
        <v>586</v>
      </c>
      <c r="F71" s="78"/>
      <c r="G71" s="78" t="s">
        <v>570</v>
      </c>
      <c r="H71" s="78" t="s">
        <v>579</v>
      </c>
      <c r="I71" s="78" t="s">
        <v>575</v>
      </c>
      <c r="J71" s="44">
        <v>5280.1</v>
      </c>
      <c r="K71" s="44">
        <v>2696.3</v>
      </c>
      <c r="L71" s="44">
        <v>546.1</v>
      </c>
      <c r="M71" s="79">
        <v>231</v>
      </c>
      <c r="N71" s="72">
        <f t="shared" si="1"/>
        <v>645433.58000000007</v>
      </c>
      <c r="O71" s="44">
        <v>0</v>
      </c>
      <c r="P71" s="44"/>
      <c r="Q71" s="44"/>
      <c r="R71" s="44">
        <f>+'[12]Приложение № 4'!E71</f>
        <v>645433.58000000007</v>
      </c>
      <c r="S71" s="44"/>
      <c r="T71" s="44"/>
      <c r="U71" s="44">
        <v>2787.39</v>
      </c>
      <c r="V71" s="44">
        <v>2787.39</v>
      </c>
      <c r="W71" s="80" t="s">
        <v>1101</v>
      </c>
      <c r="X71" s="96" t="e">
        <f>+N71-#REF!</f>
        <v>#REF!</v>
      </c>
      <c r="Y71" s="94">
        <v>1498130.09</v>
      </c>
      <c r="Z71" s="94">
        <f t="shared" si="7"/>
        <v>413638.66800000006</v>
      </c>
      <c r="AB71" s="96" t="e">
        <f>+N71-#REF!</f>
        <v>#REF!</v>
      </c>
      <c r="AC71" s="27">
        <f>+N71-'[12]Приложение № 4'!E71</f>
        <v>0</v>
      </c>
      <c r="AE71" s="98" t="e">
        <f>+N71-#REF!</f>
        <v>#REF!</v>
      </c>
      <c r="AG71" s="101" t="s">
        <v>902</v>
      </c>
      <c r="AH71" s="102">
        <f t="shared" si="2"/>
        <v>648697.90903826652</v>
      </c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>
        <v>624697.90903826652</v>
      </c>
      <c r="AV71" s="102">
        <v>24000</v>
      </c>
      <c r="AW71" s="102"/>
    </row>
    <row r="72" spans="1:49" ht="15" x14ac:dyDescent="0.25">
      <c r="A72" s="76">
        <f t="shared" si="3"/>
        <v>60</v>
      </c>
      <c r="B72" s="77">
        <f t="shared" si="3"/>
        <v>60</v>
      </c>
      <c r="C72" s="77" t="s">
        <v>545</v>
      </c>
      <c r="D72" s="77" t="s">
        <v>903</v>
      </c>
      <c r="E72" s="78" t="s">
        <v>586</v>
      </c>
      <c r="F72" s="78"/>
      <c r="G72" s="78" t="s">
        <v>570</v>
      </c>
      <c r="H72" s="78" t="s">
        <v>579</v>
      </c>
      <c r="I72" s="78" t="s">
        <v>575</v>
      </c>
      <c r="J72" s="44">
        <v>4903.08</v>
      </c>
      <c r="K72" s="44">
        <v>2455.6</v>
      </c>
      <c r="L72" s="44">
        <v>542.70000000000005</v>
      </c>
      <c r="M72" s="79">
        <v>271</v>
      </c>
      <c r="N72" s="72">
        <f t="shared" si="1"/>
        <v>489797.92999999993</v>
      </c>
      <c r="O72" s="44">
        <v>0</v>
      </c>
      <c r="P72" s="44"/>
      <c r="Q72" s="44"/>
      <c r="R72" s="44">
        <f>+'[12]Приложение № 4'!E72</f>
        <v>489797.92999999993</v>
      </c>
      <c r="S72" s="44"/>
      <c r="T72" s="44"/>
      <c r="U72" s="44">
        <v>2263.08</v>
      </c>
      <c r="V72" s="44">
        <v>2263.08</v>
      </c>
      <c r="W72" s="80" t="s">
        <v>1101</v>
      </c>
      <c r="X72" s="96" t="e">
        <f>+N72-#REF!</f>
        <v>#REF!</v>
      </c>
      <c r="Y72" s="94">
        <v>1663800.73</v>
      </c>
      <c r="Z72" s="94">
        <f t="shared" si="7"/>
        <v>386612.076</v>
      </c>
      <c r="AB72" s="96" t="e">
        <f>+N72-#REF!</f>
        <v>#REF!</v>
      </c>
      <c r="AC72" s="27">
        <f>+N72-'[12]Приложение № 4'!E72</f>
        <v>0</v>
      </c>
      <c r="AE72" s="98" t="e">
        <f>+N72-#REF!</f>
        <v>#REF!</v>
      </c>
      <c r="AG72" s="101" t="s">
        <v>903</v>
      </c>
      <c r="AH72" s="102">
        <f t="shared" si="2"/>
        <v>492244.71912483691</v>
      </c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>
        <v>468244.71912483691</v>
      </c>
      <c r="AV72" s="102">
        <v>24000</v>
      </c>
      <c r="AW72" s="102"/>
    </row>
    <row r="73" spans="1:49" ht="15" x14ac:dyDescent="0.25">
      <c r="A73" s="76">
        <f t="shared" si="3"/>
        <v>61</v>
      </c>
      <c r="B73" s="77">
        <f t="shared" si="3"/>
        <v>61</v>
      </c>
      <c r="C73" s="77" t="s">
        <v>545</v>
      </c>
      <c r="D73" s="77" t="s">
        <v>904</v>
      </c>
      <c r="E73" s="78" t="s">
        <v>587</v>
      </c>
      <c r="F73" s="78"/>
      <c r="G73" s="78" t="s">
        <v>573</v>
      </c>
      <c r="H73" s="78" t="s">
        <v>582</v>
      </c>
      <c r="I73" s="78" t="s">
        <v>575</v>
      </c>
      <c r="J73" s="44">
        <v>5167.2</v>
      </c>
      <c r="K73" s="44">
        <v>4337.6000000000004</v>
      </c>
      <c r="L73" s="44">
        <v>52.4</v>
      </c>
      <c r="M73" s="79">
        <v>187</v>
      </c>
      <c r="N73" s="72">
        <f t="shared" si="1"/>
        <v>510180.1</v>
      </c>
      <c r="O73" s="44">
        <v>0</v>
      </c>
      <c r="P73" s="44"/>
      <c r="Q73" s="44"/>
      <c r="R73" s="44">
        <f>+'[12]Приложение № 4'!E73</f>
        <v>510180.1</v>
      </c>
      <c r="S73" s="44"/>
      <c r="T73" s="44"/>
      <c r="U73" s="44">
        <v>2133.58</v>
      </c>
      <c r="V73" s="44">
        <v>2133.58</v>
      </c>
      <c r="W73" s="80" t="s">
        <v>1101</v>
      </c>
      <c r="X73" s="96" t="e">
        <f>+N73-#REF!</f>
        <v>#REF!</v>
      </c>
      <c r="Y73" s="94">
        <v>1674988.46</v>
      </c>
      <c r="Z73" s="94">
        <f t="shared" si="7"/>
        <v>485103.79200000007</v>
      </c>
      <c r="AB73" s="96" t="e">
        <f>+N73-#REF!</f>
        <v>#REF!</v>
      </c>
      <c r="AC73" s="27">
        <f>+N73-'[12]Приложение № 4'!E73</f>
        <v>0</v>
      </c>
      <c r="AE73" s="98" t="e">
        <f>+N73-#REF!</f>
        <v>#REF!</v>
      </c>
      <c r="AG73" s="101" t="s">
        <v>904</v>
      </c>
      <c r="AH73" s="102">
        <f t="shared" si="2"/>
        <v>596117.43028742494</v>
      </c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>
        <v>572117.43028742494</v>
      </c>
      <c r="AV73" s="102">
        <v>24000</v>
      </c>
      <c r="AW73" s="102"/>
    </row>
    <row r="74" spans="1:49" ht="15" x14ac:dyDescent="0.25">
      <c r="A74" s="76">
        <f t="shared" si="3"/>
        <v>62</v>
      </c>
      <c r="B74" s="77">
        <f t="shared" si="3"/>
        <v>62</v>
      </c>
      <c r="C74" s="77" t="s">
        <v>545</v>
      </c>
      <c r="D74" s="77" t="s">
        <v>906</v>
      </c>
      <c r="E74" s="78" t="s">
        <v>587</v>
      </c>
      <c r="F74" s="78"/>
      <c r="G74" s="78" t="s">
        <v>573</v>
      </c>
      <c r="H74" s="78" t="s">
        <v>582</v>
      </c>
      <c r="I74" s="78" t="s">
        <v>575</v>
      </c>
      <c r="J74" s="44">
        <v>5054.5</v>
      </c>
      <c r="K74" s="44">
        <v>4553</v>
      </c>
      <c r="L74" s="44">
        <v>0</v>
      </c>
      <c r="M74" s="79">
        <v>165</v>
      </c>
      <c r="N74" s="72">
        <f t="shared" si="1"/>
        <v>291856.58</v>
      </c>
      <c r="O74" s="44">
        <v>0</v>
      </c>
      <c r="P74" s="44"/>
      <c r="Q74" s="44"/>
      <c r="R74" s="44">
        <f>+'[12]Приложение № 4'!E74</f>
        <v>291856.58</v>
      </c>
      <c r="S74" s="44"/>
      <c r="T74" s="44"/>
      <c r="U74" s="44">
        <v>1459.97</v>
      </c>
      <c r="V74" s="44">
        <v>1459.97</v>
      </c>
      <c r="W74" s="80" t="s">
        <v>1101</v>
      </c>
      <c r="X74" s="96" t="e">
        <f>+N74-#REF!</f>
        <v>#REF!</v>
      </c>
      <c r="Y74" s="94">
        <v>1588079.23</v>
      </c>
      <c r="Z74" s="94">
        <f>+(K74*9.1+L74*18.19)*12</f>
        <v>497187.6</v>
      </c>
      <c r="AB74" s="96" t="e">
        <f>+N74-#REF!</f>
        <v>#REF!</v>
      </c>
      <c r="AC74" s="27">
        <f>+N74-'[12]Приложение № 4'!E74</f>
        <v>0</v>
      </c>
      <c r="AE74" s="98" t="e">
        <f>+N74-#REF!</f>
        <v>#REF!</v>
      </c>
      <c r="AG74" s="101" t="s">
        <v>906</v>
      </c>
      <c r="AH74" s="102">
        <f t="shared" si="2"/>
        <v>350421.86834857817</v>
      </c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>
        <v>326421.86834857817</v>
      </c>
      <c r="AV74" s="102">
        <v>24000</v>
      </c>
      <c r="AW74" s="102"/>
    </row>
    <row r="75" spans="1:49" ht="15" x14ac:dyDescent="0.25">
      <c r="A75" s="76">
        <f t="shared" si="3"/>
        <v>63</v>
      </c>
      <c r="B75" s="77">
        <f t="shared" si="3"/>
        <v>63</v>
      </c>
      <c r="C75" s="77" t="s">
        <v>545</v>
      </c>
      <c r="D75" s="77" t="s">
        <v>909</v>
      </c>
      <c r="E75" s="78" t="s">
        <v>599</v>
      </c>
      <c r="F75" s="78"/>
      <c r="G75" s="78" t="s">
        <v>573</v>
      </c>
      <c r="H75" s="78" t="s">
        <v>582</v>
      </c>
      <c r="I75" s="78" t="s">
        <v>583</v>
      </c>
      <c r="J75" s="44">
        <v>5149.1000000000004</v>
      </c>
      <c r="K75" s="44">
        <v>4753.8</v>
      </c>
      <c r="L75" s="44">
        <v>0</v>
      </c>
      <c r="M75" s="79">
        <v>197</v>
      </c>
      <c r="N75" s="72">
        <f t="shared" si="1"/>
        <v>628730.09</v>
      </c>
      <c r="O75" s="44">
        <v>0</v>
      </c>
      <c r="P75" s="44"/>
      <c r="Q75" s="44"/>
      <c r="R75" s="44">
        <f>+'[12]Приложение № 4'!E75</f>
        <v>628730.09</v>
      </c>
      <c r="S75" s="44"/>
      <c r="T75" s="44"/>
      <c r="U75" s="44">
        <v>2846.75</v>
      </c>
      <c r="V75" s="44">
        <v>2846.75</v>
      </c>
      <c r="W75" s="80" t="s">
        <v>1101</v>
      </c>
      <c r="X75" s="96" t="e">
        <f>+N75-#REF!</f>
        <v>#REF!</v>
      </c>
      <c r="Y75" s="94">
        <v>1682430.89</v>
      </c>
      <c r="Z75" s="94">
        <f>+(K75*9.1+L75*18.19)*12</f>
        <v>519114.96</v>
      </c>
      <c r="AB75" s="96" t="e">
        <f>+N75-#REF!</f>
        <v>#REF!</v>
      </c>
      <c r="AC75" s="27">
        <f>+N75-'[12]Приложение № 4'!E75</f>
        <v>0</v>
      </c>
      <c r="AE75" s="98" t="e">
        <f>+N75-#REF!</f>
        <v>#REF!</v>
      </c>
      <c r="AG75" s="101" t="s">
        <v>909</v>
      </c>
      <c r="AH75" s="102">
        <f t="shared" si="2"/>
        <v>758870.05977599998</v>
      </c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>
        <v>734870.05977599998</v>
      </c>
      <c r="AV75" s="102">
        <v>24000</v>
      </c>
      <c r="AW75" s="102"/>
    </row>
    <row r="76" spans="1:49" ht="15" x14ac:dyDescent="0.25">
      <c r="A76" s="76">
        <f t="shared" si="3"/>
        <v>64</v>
      </c>
      <c r="B76" s="77">
        <f t="shared" si="3"/>
        <v>64</v>
      </c>
      <c r="C76" s="77" t="s">
        <v>545</v>
      </c>
      <c r="D76" s="77" t="s">
        <v>910</v>
      </c>
      <c r="E76" s="78" t="s">
        <v>601</v>
      </c>
      <c r="F76" s="78"/>
      <c r="G76" s="78" t="s">
        <v>573</v>
      </c>
      <c r="H76" s="78" t="s">
        <v>582</v>
      </c>
      <c r="I76" s="78" t="s">
        <v>579</v>
      </c>
      <c r="J76" s="44">
        <v>5827.1</v>
      </c>
      <c r="K76" s="44">
        <v>4881.1000000000004</v>
      </c>
      <c r="L76" s="44">
        <v>0</v>
      </c>
      <c r="M76" s="79">
        <v>218</v>
      </c>
      <c r="N76" s="72">
        <f t="shared" si="1"/>
        <v>679433.91</v>
      </c>
      <c r="O76" s="44">
        <v>0</v>
      </c>
      <c r="P76" s="44"/>
      <c r="Q76" s="44"/>
      <c r="R76" s="44">
        <f>+'[12]Приложение № 4'!E76</f>
        <v>679433.91</v>
      </c>
      <c r="S76" s="44"/>
      <c r="T76" s="44"/>
      <c r="U76" s="44">
        <v>2235.6799999999998</v>
      </c>
      <c r="V76" s="44">
        <v>2235.6799999999998</v>
      </c>
      <c r="W76" s="80" t="s">
        <v>1101</v>
      </c>
      <c r="X76" s="96" t="e">
        <f>+N76-#REF!</f>
        <v>#REF!</v>
      </c>
      <c r="Y76" s="94">
        <v>1804336.89</v>
      </c>
      <c r="Z76" s="94">
        <f>+(K76*9.1+L76*18.19)*12</f>
        <v>533016.12</v>
      </c>
      <c r="AB76" s="96" t="e">
        <f>+N76-#REF!</f>
        <v>#REF!</v>
      </c>
      <c r="AC76" s="27">
        <f>+N76-'[12]Приложение № 4'!E76</f>
        <v>0</v>
      </c>
      <c r="AE76" s="98" t="e">
        <f>+N76-#REF!</f>
        <v>#REF!</v>
      </c>
      <c r="AG76" s="101" t="s">
        <v>910</v>
      </c>
      <c r="AH76" s="102">
        <f t="shared" si="2"/>
        <v>819091.30650210765</v>
      </c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>
        <v>795091.30650210765</v>
      </c>
      <c r="AV76" s="102">
        <v>24000</v>
      </c>
      <c r="AW76" s="102"/>
    </row>
    <row r="77" spans="1:49" ht="15" x14ac:dyDescent="0.25">
      <c r="A77" s="76">
        <f t="shared" si="3"/>
        <v>65</v>
      </c>
      <c r="B77" s="77">
        <f t="shared" si="3"/>
        <v>65</v>
      </c>
      <c r="C77" s="77" t="s">
        <v>545</v>
      </c>
      <c r="D77" s="77" t="s">
        <v>912</v>
      </c>
      <c r="E77" s="78" t="s">
        <v>586</v>
      </c>
      <c r="F77" s="78"/>
      <c r="G77" s="78" t="s">
        <v>570</v>
      </c>
      <c r="H77" s="78" t="s">
        <v>582</v>
      </c>
      <c r="I77" s="78" t="s">
        <v>572</v>
      </c>
      <c r="J77" s="44">
        <v>4389.3</v>
      </c>
      <c r="K77" s="44">
        <v>3138.9</v>
      </c>
      <c r="L77" s="44">
        <v>552.1</v>
      </c>
      <c r="M77" s="79">
        <v>201</v>
      </c>
      <c r="N77" s="72">
        <f t="shared" si="1"/>
        <v>352064.63038420893</v>
      </c>
      <c r="O77" s="44">
        <v>0</v>
      </c>
      <c r="P77" s="44"/>
      <c r="Q77" s="44"/>
      <c r="R77" s="44">
        <f>+'[12]Приложение № 4'!E77</f>
        <v>352064.63038420893</v>
      </c>
      <c r="S77" s="44"/>
      <c r="T77" s="44"/>
      <c r="U77" s="44">
        <v>1358.04</v>
      </c>
      <c r="V77" s="44">
        <v>1358.04</v>
      </c>
      <c r="W77" s="80" t="s">
        <v>1101</v>
      </c>
      <c r="X77" s="96" t="e">
        <f>+N77-#REF!</f>
        <v>#REF!</v>
      </c>
      <c r="Y77" s="94">
        <v>1634259.01</v>
      </c>
      <c r="Z77" s="94">
        <f t="shared" ref="Z77:Z83" si="8">+(K77*9.1+L77*18.19)*12</f>
        <v>463280.26799999998</v>
      </c>
      <c r="AB77" s="96" t="e">
        <f>+N77-#REF!</f>
        <v>#REF!</v>
      </c>
      <c r="AC77" s="27">
        <f>+N77-'[12]Приложение № 4'!E77</f>
        <v>0</v>
      </c>
      <c r="AE77" s="98" t="e">
        <f>+N77-#REF!</f>
        <v>#REF!</v>
      </c>
      <c r="AG77" s="101" t="s">
        <v>912</v>
      </c>
      <c r="AH77" s="102">
        <f t="shared" si="2"/>
        <v>352064.63038420893</v>
      </c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>
        <v>328064.63038420893</v>
      </c>
      <c r="AV77" s="102">
        <v>24000</v>
      </c>
      <c r="AW77" s="102"/>
    </row>
    <row r="78" spans="1:49" ht="15" x14ac:dyDescent="0.25">
      <c r="A78" s="76">
        <f t="shared" si="3"/>
        <v>66</v>
      </c>
      <c r="B78" s="77">
        <f t="shared" si="3"/>
        <v>66</v>
      </c>
      <c r="C78" s="77" t="s">
        <v>545</v>
      </c>
      <c r="D78" s="77" t="s">
        <v>913</v>
      </c>
      <c r="E78" s="78" t="s">
        <v>586</v>
      </c>
      <c r="F78" s="78"/>
      <c r="G78" s="78" t="s">
        <v>570</v>
      </c>
      <c r="H78" s="78" t="s">
        <v>582</v>
      </c>
      <c r="I78" s="78" t="s">
        <v>572</v>
      </c>
      <c r="J78" s="44">
        <v>4462.5</v>
      </c>
      <c r="K78" s="44">
        <v>3471</v>
      </c>
      <c r="L78" s="44">
        <v>170.1</v>
      </c>
      <c r="M78" s="79">
        <v>217</v>
      </c>
      <c r="N78" s="72">
        <f t="shared" si="1"/>
        <v>355412.14547568292</v>
      </c>
      <c r="O78" s="44">
        <v>0</v>
      </c>
      <c r="P78" s="44"/>
      <c r="Q78" s="44"/>
      <c r="R78" s="44">
        <f>+'[12]Приложение № 4'!E78</f>
        <v>355412.14547568292</v>
      </c>
      <c r="S78" s="44"/>
      <c r="T78" s="44"/>
      <c r="U78" s="44">
        <v>1358.04</v>
      </c>
      <c r="V78" s="44">
        <v>1358.04</v>
      </c>
      <c r="W78" s="80" t="s">
        <v>1101</v>
      </c>
      <c r="X78" s="96" t="e">
        <f>+N78-#REF!</f>
        <v>#REF!</v>
      </c>
      <c r="Y78" s="94">
        <v>1377063.59</v>
      </c>
      <c r="Z78" s="94">
        <f t="shared" si="8"/>
        <v>416162.62799999997</v>
      </c>
      <c r="AB78" s="96" t="e">
        <f>+N78-#REF!</f>
        <v>#REF!</v>
      </c>
      <c r="AC78" s="27">
        <f>+N78-'[12]Приложение № 4'!E78</f>
        <v>0</v>
      </c>
      <c r="AE78" s="98" t="e">
        <f>+N78-#REF!</f>
        <v>#REF!</v>
      </c>
      <c r="AG78" s="101" t="s">
        <v>913</v>
      </c>
      <c r="AH78" s="102">
        <f t="shared" si="2"/>
        <v>355412.14547568292</v>
      </c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>
        <v>331412.14547568292</v>
      </c>
      <c r="AV78" s="102">
        <v>24000</v>
      </c>
      <c r="AW78" s="102"/>
    </row>
    <row r="79" spans="1:49" ht="15" x14ac:dyDescent="0.25">
      <c r="A79" s="76">
        <f t="shared" ref="A79:B142" si="9">+A78+1</f>
        <v>67</v>
      </c>
      <c r="B79" s="77">
        <f t="shared" si="9"/>
        <v>67</v>
      </c>
      <c r="C79" s="77" t="s">
        <v>545</v>
      </c>
      <c r="D79" s="77" t="s">
        <v>914</v>
      </c>
      <c r="E79" s="78" t="s">
        <v>586</v>
      </c>
      <c r="F79" s="78"/>
      <c r="G79" s="78" t="s">
        <v>570</v>
      </c>
      <c r="H79" s="78" t="s">
        <v>582</v>
      </c>
      <c r="I79" s="78" t="s">
        <v>572</v>
      </c>
      <c r="J79" s="44">
        <v>4420.2</v>
      </c>
      <c r="K79" s="44">
        <v>3129.6</v>
      </c>
      <c r="L79" s="44">
        <v>511</v>
      </c>
      <c r="M79" s="79">
        <v>210</v>
      </c>
      <c r="N79" s="72">
        <f t="shared" si="1"/>
        <v>354985.9572117221</v>
      </c>
      <c r="O79" s="44">
        <v>0</v>
      </c>
      <c r="P79" s="44"/>
      <c r="Q79" s="44"/>
      <c r="R79" s="44">
        <f>+'[12]Приложение № 4'!E79</f>
        <v>354985.9572117221</v>
      </c>
      <c r="S79" s="44"/>
      <c r="T79" s="44"/>
      <c r="U79" s="44">
        <v>1358.04</v>
      </c>
      <c r="V79" s="44">
        <v>1358.04</v>
      </c>
      <c r="W79" s="80" t="s">
        <v>1101</v>
      </c>
      <c r="X79" s="96" t="e">
        <f>+N79-#REF!</f>
        <v>#REF!</v>
      </c>
      <c r="Y79" s="94">
        <v>1417117.69</v>
      </c>
      <c r="Z79" s="94">
        <f t="shared" si="8"/>
        <v>453293.39999999997</v>
      </c>
      <c r="AB79" s="96" t="e">
        <f>+N79-#REF!</f>
        <v>#REF!</v>
      </c>
      <c r="AC79" s="27">
        <f>+N79-'[12]Приложение № 4'!E79</f>
        <v>0</v>
      </c>
      <c r="AE79" s="98" t="e">
        <f>+N79-#REF!</f>
        <v>#REF!</v>
      </c>
      <c r="AG79" s="101" t="s">
        <v>914</v>
      </c>
      <c r="AH79" s="102">
        <f t="shared" si="2"/>
        <v>354985.9572117221</v>
      </c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>
        <v>330985.9572117221</v>
      </c>
      <c r="AV79" s="102">
        <v>24000</v>
      </c>
      <c r="AW79" s="102"/>
    </row>
    <row r="80" spans="1:49" ht="15" x14ac:dyDescent="0.25">
      <c r="A80" s="76">
        <f t="shared" si="9"/>
        <v>68</v>
      </c>
      <c r="B80" s="77">
        <f t="shared" si="9"/>
        <v>68</v>
      </c>
      <c r="C80" s="77" t="s">
        <v>545</v>
      </c>
      <c r="D80" s="77" t="s">
        <v>915</v>
      </c>
      <c r="E80" s="78" t="s">
        <v>586</v>
      </c>
      <c r="F80" s="78"/>
      <c r="G80" s="78" t="s">
        <v>570</v>
      </c>
      <c r="H80" s="78" t="s">
        <v>582</v>
      </c>
      <c r="I80" s="78" t="s">
        <v>572</v>
      </c>
      <c r="J80" s="44">
        <v>4500</v>
      </c>
      <c r="K80" s="44">
        <v>3129.6</v>
      </c>
      <c r="L80" s="44">
        <v>511</v>
      </c>
      <c r="M80" s="79">
        <v>197</v>
      </c>
      <c r="N80" s="72">
        <f t="shared" si="1"/>
        <v>330088.81371888478</v>
      </c>
      <c r="O80" s="44">
        <v>0</v>
      </c>
      <c r="P80" s="44"/>
      <c r="Q80" s="44"/>
      <c r="R80" s="44">
        <f>+'[12]Приложение № 4'!E80</f>
        <v>330088.81371888478</v>
      </c>
      <c r="S80" s="44"/>
      <c r="T80" s="44"/>
      <c r="U80" s="44">
        <v>1358.04</v>
      </c>
      <c r="V80" s="44">
        <v>1358.04</v>
      </c>
      <c r="W80" s="80" t="s">
        <v>1101</v>
      </c>
      <c r="X80" s="96" t="e">
        <f>+N80-#REF!</f>
        <v>#REF!</v>
      </c>
      <c r="Y80" s="94">
        <v>1770121.38</v>
      </c>
      <c r="Z80" s="94">
        <f t="shared" si="8"/>
        <v>453293.39999999997</v>
      </c>
      <c r="AB80" s="96" t="e">
        <f>+N80-#REF!</f>
        <v>#REF!</v>
      </c>
      <c r="AC80" s="27">
        <f>+N80-'[12]Приложение № 4'!E80</f>
        <v>0</v>
      </c>
      <c r="AE80" s="98" t="e">
        <f>+N80-#REF!</f>
        <v>#REF!</v>
      </c>
      <c r="AG80" s="101" t="s">
        <v>915</v>
      </c>
      <c r="AH80" s="102">
        <f t="shared" si="2"/>
        <v>330088.81371888478</v>
      </c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>
        <v>306088.81371888478</v>
      </c>
      <c r="AV80" s="102">
        <v>24000</v>
      </c>
      <c r="AW80" s="102"/>
    </row>
    <row r="81" spans="1:49" ht="15" x14ac:dyDescent="0.25">
      <c r="A81" s="76">
        <f t="shared" si="9"/>
        <v>69</v>
      </c>
      <c r="B81" s="77">
        <f t="shared" si="9"/>
        <v>69</v>
      </c>
      <c r="C81" s="77" t="s">
        <v>545</v>
      </c>
      <c r="D81" s="77" t="s">
        <v>916</v>
      </c>
      <c r="E81" s="78" t="s">
        <v>586</v>
      </c>
      <c r="F81" s="78"/>
      <c r="G81" s="78" t="s">
        <v>570</v>
      </c>
      <c r="H81" s="78" t="s">
        <v>582</v>
      </c>
      <c r="I81" s="78" t="s">
        <v>572</v>
      </c>
      <c r="J81" s="44">
        <v>4432.1000000000004</v>
      </c>
      <c r="K81" s="44">
        <v>2918.4</v>
      </c>
      <c r="L81" s="44">
        <v>866.1</v>
      </c>
      <c r="M81" s="79">
        <v>169</v>
      </c>
      <c r="N81" s="72">
        <f t="shared" si="1"/>
        <v>364408.59228401899</v>
      </c>
      <c r="O81" s="44">
        <v>0</v>
      </c>
      <c r="P81" s="44"/>
      <c r="Q81" s="44"/>
      <c r="R81" s="44">
        <f>+'[12]Приложение № 4'!E81</f>
        <v>364408.59228401899</v>
      </c>
      <c r="S81" s="44"/>
      <c r="T81" s="44"/>
      <c r="U81" s="44">
        <v>1358.04</v>
      </c>
      <c r="V81" s="44">
        <v>1358.04</v>
      </c>
      <c r="W81" s="80" t="s">
        <v>1101</v>
      </c>
      <c r="X81" s="96" t="e">
        <f>+N81-#REF!</f>
        <v>#REF!</v>
      </c>
      <c r="Y81" s="94">
        <v>1947108.45</v>
      </c>
      <c r="Z81" s="94">
        <f t="shared" si="8"/>
        <v>507741.58799999999</v>
      </c>
      <c r="AB81" s="96" t="e">
        <f>+N81-#REF!</f>
        <v>#REF!</v>
      </c>
      <c r="AC81" s="27">
        <f>+N81-'[12]Приложение № 4'!E81</f>
        <v>0</v>
      </c>
      <c r="AE81" s="98" t="e">
        <f>+N81-#REF!</f>
        <v>#REF!</v>
      </c>
      <c r="AG81" s="101" t="s">
        <v>916</v>
      </c>
      <c r="AH81" s="102">
        <f t="shared" si="2"/>
        <v>364408.59228401899</v>
      </c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>
        <v>340408.59228401899</v>
      </c>
      <c r="AV81" s="102">
        <v>24000</v>
      </c>
      <c r="AW81" s="102"/>
    </row>
    <row r="82" spans="1:49" ht="15" x14ac:dyDescent="0.25">
      <c r="A82" s="76">
        <f t="shared" si="9"/>
        <v>70</v>
      </c>
      <c r="B82" s="77">
        <f t="shared" si="9"/>
        <v>70</v>
      </c>
      <c r="C82" s="77" t="s">
        <v>545</v>
      </c>
      <c r="D82" s="77" t="s">
        <v>917</v>
      </c>
      <c r="E82" s="78" t="s">
        <v>625</v>
      </c>
      <c r="F82" s="78"/>
      <c r="G82" s="78" t="s">
        <v>573</v>
      </c>
      <c r="H82" s="78" t="s">
        <v>582</v>
      </c>
      <c r="I82" s="78" t="s">
        <v>579</v>
      </c>
      <c r="J82" s="44">
        <v>5739.5</v>
      </c>
      <c r="K82" s="44">
        <v>4789.3</v>
      </c>
      <c r="L82" s="44">
        <v>24</v>
      </c>
      <c r="M82" s="79">
        <v>191</v>
      </c>
      <c r="N82" s="72">
        <f t="shared" si="1"/>
        <v>382905.16293991776</v>
      </c>
      <c r="O82" s="44">
        <v>0</v>
      </c>
      <c r="P82" s="44"/>
      <c r="Q82" s="44"/>
      <c r="R82" s="44">
        <f>+'[12]Приложение № 4'!E82</f>
        <v>382905.16293991776</v>
      </c>
      <c r="S82" s="44"/>
      <c r="T82" s="44"/>
      <c r="U82" s="44">
        <v>1358.04</v>
      </c>
      <c r="V82" s="44">
        <v>1358.04</v>
      </c>
      <c r="W82" s="80" t="s">
        <v>1101</v>
      </c>
      <c r="X82" s="96" t="e">
        <f>+N82-#REF!</f>
        <v>#REF!</v>
      </c>
      <c r="Y82" s="94">
        <v>1841185.19</v>
      </c>
      <c r="Z82" s="94">
        <f t="shared" si="8"/>
        <v>528230.27999999991</v>
      </c>
      <c r="AB82" s="96" t="e">
        <f>+N82-#REF!</f>
        <v>#REF!</v>
      </c>
      <c r="AC82" s="27">
        <f>+N82-'[12]Приложение № 4'!E82</f>
        <v>0</v>
      </c>
      <c r="AE82" s="98" t="e">
        <f>+N82-#REF!</f>
        <v>#REF!</v>
      </c>
      <c r="AG82" s="101" t="s">
        <v>917</v>
      </c>
      <c r="AH82" s="102">
        <f t="shared" si="2"/>
        <v>382905.16293991776</v>
      </c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>
        <v>358905.16293991776</v>
      </c>
      <c r="AV82" s="102">
        <v>24000</v>
      </c>
      <c r="AW82" s="102"/>
    </row>
    <row r="83" spans="1:49" ht="15" x14ac:dyDescent="0.25">
      <c r="A83" s="76">
        <f t="shared" si="9"/>
        <v>71</v>
      </c>
      <c r="B83" s="77">
        <f t="shared" si="9"/>
        <v>71</v>
      </c>
      <c r="C83" s="77" t="s">
        <v>545</v>
      </c>
      <c r="D83" s="77" t="s">
        <v>918</v>
      </c>
      <c r="E83" s="78" t="s">
        <v>631</v>
      </c>
      <c r="F83" s="78"/>
      <c r="G83" s="78" t="s">
        <v>573</v>
      </c>
      <c r="H83" s="78" t="s">
        <v>582</v>
      </c>
      <c r="I83" s="78" t="s">
        <v>575</v>
      </c>
      <c r="J83" s="44">
        <v>4273.6000000000004</v>
      </c>
      <c r="K83" s="44">
        <v>3725.8</v>
      </c>
      <c r="L83" s="44">
        <v>0</v>
      </c>
      <c r="M83" s="79">
        <v>153</v>
      </c>
      <c r="N83" s="72">
        <f t="shared" si="1"/>
        <v>30258.98</v>
      </c>
      <c r="O83" s="44">
        <v>0</v>
      </c>
      <c r="P83" s="44"/>
      <c r="Q83" s="44"/>
      <c r="R83" s="44">
        <f>+'[12]Приложение № 4'!E83</f>
        <v>30258.98</v>
      </c>
      <c r="S83" s="44"/>
      <c r="T83" s="44"/>
      <c r="U83" s="44">
        <v>816.9</v>
      </c>
      <c r="V83" s="44">
        <v>816.9</v>
      </c>
      <c r="W83" s="80" t="s">
        <v>1101</v>
      </c>
      <c r="X83" s="96" t="e">
        <f>+N83-#REF!</f>
        <v>#REF!</v>
      </c>
      <c r="Y83" s="94">
        <v>1462553.87</v>
      </c>
      <c r="Z83" s="94">
        <f t="shared" si="8"/>
        <v>406857.36</v>
      </c>
      <c r="AB83" s="96" t="e">
        <f>+N83-#REF!</f>
        <v>#REF!</v>
      </c>
      <c r="AC83" s="27">
        <f>+N83-'[12]Приложение № 4'!E83</f>
        <v>0</v>
      </c>
      <c r="AE83" s="98" t="e">
        <f>+N83-#REF!</f>
        <v>#REF!</v>
      </c>
      <c r="AG83" s="101" t="s">
        <v>918</v>
      </c>
      <c r="AH83" s="102">
        <f t="shared" si="2"/>
        <v>253358.97561599998</v>
      </c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>
        <v>229358.97561599998</v>
      </c>
      <c r="AV83" s="102">
        <v>24000</v>
      </c>
      <c r="AW83" s="102"/>
    </row>
    <row r="84" spans="1:49" ht="15" x14ac:dyDescent="0.25">
      <c r="A84" s="76">
        <f t="shared" si="9"/>
        <v>72</v>
      </c>
      <c r="B84" s="77">
        <f t="shared" si="9"/>
        <v>72</v>
      </c>
      <c r="C84" s="77" t="s">
        <v>545</v>
      </c>
      <c r="D84" s="77" t="s">
        <v>919</v>
      </c>
      <c r="E84" s="78" t="s">
        <v>631</v>
      </c>
      <c r="F84" s="78"/>
      <c r="G84" s="78" t="s">
        <v>573</v>
      </c>
      <c r="H84" s="78" t="s">
        <v>571</v>
      </c>
      <c r="I84" s="78" t="s">
        <v>576</v>
      </c>
      <c r="J84" s="44">
        <v>3004.4</v>
      </c>
      <c r="K84" s="44">
        <v>2676.9</v>
      </c>
      <c r="L84" s="44">
        <v>0</v>
      </c>
      <c r="M84" s="79">
        <v>97</v>
      </c>
      <c r="N84" s="72">
        <f t="shared" si="1"/>
        <v>570579.72</v>
      </c>
      <c r="O84" s="44">
        <v>0</v>
      </c>
      <c r="P84" s="44"/>
      <c r="Q84" s="44"/>
      <c r="R84" s="44">
        <f>+'[12]Приложение № 4'!E84</f>
        <v>570579.72</v>
      </c>
      <c r="S84" s="44"/>
      <c r="T84" s="44"/>
      <c r="U84" s="44">
        <v>1144.18</v>
      </c>
      <c r="V84" s="44">
        <v>1144.18</v>
      </c>
      <c r="W84" s="80" t="s">
        <v>1101</v>
      </c>
      <c r="X84" s="96" t="e">
        <f>+N84-#REF!</f>
        <v>#REF!</v>
      </c>
      <c r="Y84" s="94">
        <v>1263411.33</v>
      </c>
      <c r="Z84" s="94">
        <f>+(K84*12.08+L84*20.47)*12</f>
        <v>388043.424</v>
      </c>
      <c r="AB84" s="96" t="e">
        <f>+N84-#REF!</f>
        <v>#REF!</v>
      </c>
      <c r="AC84" s="27">
        <f>+N84-'[12]Приложение № 4'!E84</f>
        <v>0</v>
      </c>
      <c r="AE84" s="98" t="e">
        <f>+N84-#REF!</f>
        <v>#REF!</v>
      </c>
      <c r="AG84" s="101" t="s">
        <v>919</v>
      </c>
      <c r="AH84" s="102">
        <f t="shared" si="2"/>
        <v>689804.44811015273</v>
      </c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>
        <v>665804.44811015273</v>
      </c>
      <c r="AV84" s="102">
        <v>24000</v>
      </c>
      <c r="AW84" s="102"/>
    </row>
    <row r="85" spans="1:49" ht="15" x14ac:dyDescent="0.25">
      <c r="A85" s="76">
        <f t="shared" si="9"/>
        <v>73</v>
      </c>
      <c r="B85" s="77">
        <f t="shared" si="9"/>
        <v>73</v>
      </c>
      <c r="C85" s="77" t="s">
        <v>545</v>
      </c>
      <c r="D85" s="77" t="s">
        <v>920</v>
      </c>
      <c r="E85" s="78" t="s">
        <v>587</v>
      </c>
      <c r="F85" s="78"/>
      <c r="G85" s="78" t="s">
        <v>573</v>
      </c>
      <c r="H85" s="78" t="s">
        <v>582</v>
      </c>
      <c r="I85" s="78" t="s">
        <v>574</v>
      </c>
      <c r="J85" s="44">
        <v>7607.3</v>
      </c>
      <c r="K85" s="44">
        <v>6394.7</v>
      </c>
      <c r="L85" s="44">
        <v>0</v>
      </c>
      <c r="M85" s="79">
        <v>267</v>
      </c>
      <c r="N85" s="72">
        <f t="shared" si="1"/>
        <v>356159.53</v>
      </c>
      <c r="O85" s="44">
        <v>0</v>
      </c>
      <c r="P85" s="44"/>
      <c r="Q85" s="44"/>
      <c r="R85" s="44">
        <f>+'[12]Приложение № 4'!E85</f>
        <v>356159.53</v>
      </c>
      <c r="S85" s="44"/>
      <c r="T85" s="44"/>
      <c r="U85" s="44">
        <v>1358.04</v>
      </c>
      <c r="V85" s="44">
        <v>1358.04</v>
      </c>
      <c r="W85" s="80" t="s">
        <v>1101</v>
      </c>
      <c r="X85" s="96" t="e">
        <f>+N85-#REF!</f>
        <v>#REF!</v>
      </c>
      <c r="Y85" s="94">
        <v>2384458.14</v>
      </c>
      <c r="Z85" s="94">
        <f>+(K85*9.1+L85*18.19)*12</f>
        <v>698301.24</v>
      </c>
      <c r="AB85" s="96" t="e">
        <f>+N85-#REF!</f>
        <v>#REF!</v>
      </c>
      <c r="AC85" s="27">
        <f>+N85-'[12]Приложение № 4'!E85</f>
        <v>0</v>
      </c>
      <c r="AE85" s="98" t="e">
        <f>+N85-#REF!</f>
        <v>#REF!</v>
      </c>
      <c r="AG85" s="101" t="s">
        <v>920</v>
      </c>
      <c r="AH85" s="102">
        <f t="shared" si="2"/>
        <v>437511.50286958611</v>
      </c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>
        <v>413511.50286958611</v>
      </c>
      <c r="AV85" s="102">
        <v>24000</v>
      </c>
      <c r="AW85" s="102"/>
    </row>
    <row r="86" spans="1:49" ht="15" x14ac:dyDescent="0.25">
      <c r="A86" s="76">
        <f t="shared" si="9"/>
        <v>74</v>
      </c>
      <c r="B86" s="77">
        <f t="shared" si="9"/>
        <v>74</v>
      </c>
      <c r="C86" s="77" t="s">
        <v>545</v>
      </c>
      <c r="D86" s="77" t="s">
        <v>921</v>
      </c>
      <c r="E86" s="78" t="s">
        <v>587</v>
      </c>
      <c r="F86" s="78"/>
      <c r="G86" s="78" t="s">
        <v>573</v>
      </c>
      <c r="H86" s="78" t="s">
        <v>582</v>
      </c>
      <c r="I86" s="78" t="s">
        <v>575</v>
      </c>
      <c r="J86" s="44">
        <v>5069.3</v>
      </c>
      <c r="K86" s="44">
        <v>4292.8999999999996</v>
      </c>
      <c r="L86" s="44">
        <v>0</v>
      </c>
      <c r="M86" s="79">
        <v>170</v>
      </c>
      <c r="N86" s="72">
        <f t="shared" si="1"/>
        <v>315921.42</v>
      </c>
      <c r="O86" s="44">
        <v>0</v>
      </c>
      <c r="P86" s="44"/>
      <c r="Q86" s="44"/>
      <c r="R86" s="44">
        <f>+'[12]Приложение № 4'!E86</f>
        <v>315921.42</v>
      </c>
      <c r="S86" s="44"/>
      <c r="T86" s="44"/>
      <c r="U86" s="44">
        <v>1358.04</v>
      </c>
      <c r="V86" s="44">
        <v>1358.04</v>
      </c>
      <c r="W86" s="80" t="s">
        <v>1101</v>
      </c>
      <c r="X86" s="96" t="e">
        <f>+N86-#REF!</f>
        <v>#REF!</v>
      </c>
      <c r="Y86" s="94">
        <v>1701147.27</v>
      </c>
      <c r="Z86" s="94">
        <f t="shared" ref="Z86:Z91" si="10">+(K86*9.1+L86*18.19)*12</f>
        <v>468784.67999999993</v>
      </c>
      <c r="AB86" s="96" t="e">
        <f>+N86-#REF!</f>
        <v>#REF!</v>
      </c>
      <c r="AC86" s="27">
        <f>+N86-'[12]Приложение № 4'!E86</f>
        <v>0</v>
      </c>
      <c r="AE86" s="98" t="e">
        <f>+N86-#REF!</f>
        <v>#REF!</v>
      </c>
      <c r="AG86" s="101" t="s">
        <v>921</v>
      </c>
      <c r="AH86" s="102">
        <f t="shared" si="2"/>
        <v>333544.8130957305</v>
      </c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>
        <v>309544.8130957305</v>
      </c>
      <c r="AV86" s="102">
        <v>24000</v>
      </c>
      <c r="AW86" s="102"/>
    </row>
    <row r="87" spans="1:49" ht="15" x14ac:dyDescent="0.25">
      <c r="A87" s="76">
        <f t="shared" si="9"/>
        <v>75</v>
      </c>
      <c r="B87" s="77">
        <f t="shared" si="9"/>
        <v>75</v>
      </c>
      <c r="C87" s="77" t="s">
        <v>545</v>
      </c>
      <c r="D87" s="77" t="s">
        <v>922</v>
      </c>
      <c r="E87" s="78" t="s">
        <v>625</v>
      </c>
      <c r="F87" s="78"/>
      <c r="G87" s="78" t="s">
        <v>573</v>
      </c>
      <c r="H87" s="78" t="s">
        <v>582</v>
      </c>
      <c r="I87" s="78" t="s">
        <v>582</v>
      </c>
      <c r="J87" s="44">
        <v>7124.7</v>
      </c>
      <c r="K87" s="44">
        <v>5719.3</v>
      </c>
      <c r="L87" s="44">
        <v>219.2</v>
      </c>
      <c r="M87" s="79">
        <v>248</v>
      </c>
      <c r="N87" s="72">
        <f t="shared" si="1"/>
        <v>398499.78</v>
      </c>
      <c r="O87" s="44">
        <v>0</v>
      </c>
      <c r="P87" s="44"/>
      <c r="Q87" s="44"/>
      <c r="R87" s="44">
        <f>+'[12]Приложение № 4'!E87</f>
        <v>398499.78</v>
      </c>
      <c r="S87" s="44"/>
      <c r="T87" s="44"/>
      <c r="U87" s="44">
        <v>1358.04</v>
      </c>
      <c r="V87" s="44">
        <v>1358.04</v>
      </c>
      <c r="W87" s="80" t="s">
        <v>1101</v>
      </c>
      <c r="X87" s="96" t="e">
        <f>+N87-#REF!</f>
        <v>#REF!</v>
      </c>
      <c r="Y87" s="94">
        <v>2371732.48</v>
      </c>
      <c r="Z87" s="94">
        <f t="shared" si="10"/>
        <v>672394.53599999996</v>
      </c>
      <c r="AB87" s="96" t="e">
        <f>+N87-#REF!</f>
        <v>#REF!</v>
      </c>
      <c r="AC87" s="27">
        <f>+N87-'[12]Приложение № 4'!E87</f>
        <v>0</v>
      </c>
      <c r="AE87" s="98" t="e">
        <f>+N87-#REF!</f>
        <v>#REF!</v>
      </c>
      <c r="AG87" s="101" t="s">
        <v>922</v>
      </c>
      <c r="AH87" s="102">
        <f t="shared" si="2"/>
        <v>416558.53803776787</v>
      </c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>
        <v>392558.53803776787</v>
      </c>
      <c r="AV87" s="102">
        <v>24000</v>
      </c>
      <c r="AW87" s="102"/>
    </row>
    <row r="88" spans="1:49" ht="15" x14ac:dyDescent="0.25">
      <c r="A88" s="76">
        <f t="shared" si="9"/>
        <v>76</v>
      </c>
      <c r="B88" s="77">
        <f t="shared" si="9"/>
        <v>76</v>
      </c>
      <c r="C88" s="77" t="s">
        <v>545</v>
      </c>
      <c r="D88" s="77" t="s">
        <v>924</v>
      </c>
      <c r="E88" s="78" t="s">
        <v>584</v>
      </c>
      <c r="F88" s="78"/>
      <c r="G88" s="78" t="s">
        <v>573</v>
      </c>
      <c r="H88" s="78" t="s">
        <v>582</v>
      </c>
      <c r="I88" s="78" t="s">
        <v>579</v>
      </c>
      <c r="J88" s="44">
        <v>4063.4</v>
      </c>
      <c r="K88" s="44">
        <v>3702.9</v>
      </c>
      <c r="L88" s="44">
        <v>122.3</v>
      </c>
      <c r="M88" s="79">
        <v>192</v>
      </c>
      <c r="N88" s="72">
        <f t="shared" si="1"/>
        <v>569954.38</v>
      </c>
      <c r="O88" s="44">
        <v>0</v>
      </c>
      <c r="P88" s="44"/>
      <c r="Q88" s="44"/>
      <c r="R88" s="44">
        <f>+'[12]Приложение № 4'!E88</f>
        <v>569954.38</v>
      </c>
      <c r="S88" s="44"/>
      <c r="T88" s="44"/>
      <c r="U88" s="44">
        <v>669.56</v>
      </c>
      <c r="V88" s="44">
        <v>669.56</v>
      </c>
      <c r="W88" s="80" t="s">
        <v>1101</v>
      </c>
      <c r="X88" s="96" t="e">
        <f>+N88-#REF!</f>
        <v>#REF!</v>
      </c>
      <c r="Y88" s="94">
        <v>1502168.03</v>
      </c>
      <c r="Z88" s="94">
        <f t="shared" si="10"/>
        <v>431052.32400000002</v>
      </c>
      <c r="AB88" s="96" t="e">
        <f>+N88-#REF!</f>
        <v>#REF!</v>
      </c>
      <c r="AC88" s="27">
        <f>+N88-'[12]Приложение № 4'!E88</f>
        <v>0</v>
      </c>
      <c r="AE88" s="98" t="e">
        <f>+N88-#REF!</f>
        <v>#REF!</v>
      </c>
      <c r="AG88" s="101" t="s">
        <v>924</v>
      </c>
      <c r="AH88" s="102">
        <f t="shared" si="2"/>
        <v>291003.76960208907</v>
      </c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>
        <v>267003.76960208907</v>
      </c>
      <c r="AV88" s="102">
        <v>24000</v>
      </c>
      <c r="AW88" s="102"/>
    </row>
    <row r="89" spans="1:49" ht="15" x14ac:dyDescent="0.25">
      <c r="A89" s="76">
        <f t="shared" si="9"/>
        <v>77</v>
      </c>
      <c r="B89" s="77">
        <f t="shared" si="9"/>
        <v>77</v>
      </c>
      <c r="C89" s="77" t="s">
        <v>545</v>
      </c>
      <c r="D89" s="77" t="s">
        <v>925</v>
      </c>
      <c r="E89" s="78" t="s">
        <v>587</v>
      </c>
      <c r="F89" s="78"/>
      <c r="G89" s="78" t="s">
        <v>573</v>
      </c>
      <c r="H89" s="78" t="s">
        <v>582</v>
      </c>
      <c r="I89" s="78" t="s">
        <v>579</v>
      </c>
      <c r="J89" s="44">
        <v>4471.8999999999996</v>
      </c>
      <c r="K89" s="44">
        <v>3757.6</v>
      </c>
      <c r="L89" s="44">
        <v>173.5</v>
      </c>
      <c r="M89" s="79">
        <v>156</v>
      </c>
      <c r="N89" s="72">
        <f t="shared" si="1"/>
        <v>335675.75441553449</v>
      </c>
      <c r="O89" s="44">
        <v>0</v>
      </c>
      <c r="P89" s="44"/>
      <c r="Q89" s="44"/>
      <c r="R89" s="44">
        <f>+'[12]Приложение № 4'!E89</f>
        <v>335675.75441553449</v>
      </c>
      <c r="S89" s="44"/>
      <c r="T89" s="44"/>
      <c r="U89" s="44">
        <v>1358.04</v>
      </c>
      <c r="V89" s="44">
        <v>1358.04</v>
      </c>
      <c r="W89" s="80" t="s">
        <v>1101</v>
      </c>
      <c r="X89" s="96" t="e">
        <f>+N89-#REF!</f>
        <v>#REF!</v>
      </c>
      <c r="Y89" s="94">
        <v>1401842.4</v>
      </c>
      <c r="Z89" s="94">
        <f t="shared" si="10"/>
        <v>448201.5</v>
      </c>
      <c r="AB89" s="96" t="e">
        <f>+N89-#REF!</f>
        <v>#REF!</v>
      </c>
      <c r="AC89" s="27">
        <f>+N89-'[12]Приложение № 4'!E89</f>
        <v>0</v>
      </c>
      <c r="AE89" s="98" t="e">
        <f>+N89-#REF!</f>
        <v>#REF!</v>
      </c>
      <c r="AG89" s="101" t="s">
        <v>925</v>
      </c>
      <c r="AH89" s="102">
        <f t="shared" si="2"/>
        <v>335675.75441553449</v>
      </c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>
        <v>311675.75441553449</v>
      </c>
      <c r="AV89" s="102">
        <v>24000</v>
      </c>
      <c r="AW89" s="102"/>
    </row>
    <row r="90" spans="1:49" ht="15" x14ac:dyDescent="0.25">
      <c r="A90" s="76">
        <f t="shared" si="9"/>
        <v>78</v>
      </c>
      <c r="B90" s="77">
        <f t="shared" si="9"/>
        <v>78</v>
      </c>
      <c r="C90" s="77" t="s">
        <v>545</v>
      </c>
      <c r="D90" s="77" t="s">
        <v>927</v>
      </c>
      <c r="E90" s="78" t="s">
        <v>587</v>
      </c>
      <c r="F90" s="78"/>
      <c r="G90" s="78" t="s">
        <v>573</v>
      </c>
      <c r="H90" s="78" t="s">
        <v>582</v>
      </c>
      <c r="I90" s="78" t="s">
        <v>575</v>
      </c>
      <c r="J90" s="44">
        <v>5101.8</v>
      </c>
      <c r="K90" s="44">
        <v>4168</v>
      </c>
      <c r="L90" s="44">
        <v>159.30000000000001</v>
      </c>
      <c r="M90" s="79">
        <v>188</v>
      </c>
      <c r="N90" s="72">
        <f t="shared" si="1"/>
        <v>349563.7261175625</v>
      </c>
      <c r="O90" s="44">
        <v>0</v>
      </c>
      <c r="P90" s="44"/>
      <c r="Q90" s="44"/>
      <c r="R90" s="44">
        <f>+'[12]Приложение № 4'!E90</f>
        <v>349563.7261175625</v>
      </c>
      <c r="S90" s="44"/>
      <c r="T90" s="44"/>
      <c r="U90" s="44">
        <v>757.54</v>
      </c>
      <c r="V90" s="44">
        <v>757.54</v>
      </c>
      <c r="W90" s="80" t="s">
        <v>1101</v>
      </c>
      <c r="X90" s="96" t="e">
        <f>+N90-#REF!</f>
        <v>#REF!</v>
      </c>
      <c r="Y90" s="94">
        <v>1684943.45</v>
      </c>
      <c r="Z90" s="94">
        <f t="shared" si="10"/>
        <v>489917.60399999993</v>
      </c>
      <c r="AB90" s="96" t="e">
        <f>+N90-#REF!</f>
        <v>#REF!</v>
      </c>
      <c r="AC90" s="27">
        <f>+N90-'[12]Приложение № 4'!E90</f>
        <v>0</v>
      </c>
      <c r="AE90" s="98" t="e">
        <f>+N90-#REF!</f>
        <v>#REF!</v>
      </c>
      <c r="AG90" s="101" t="s">
        <v>927</v>
      </c>
      <c r="AH90" s="102">
        <f t="shared" si="2"/>
        <v>349563.7261175625</v>
      </c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>
        <v>325563.7261175625</v>
      </c>
      <c r="AV90" s="102">
        <v>24000</v>
      </c>
      <c r="AW90" s="102"/>
    </row>
    <row r="91" spans="1:49" ht="15" x14ac:dyDescent="0.25">
      <c r="A91" s="76">
        <f t="shared" si="9"/>
        <v>79</v>
      </c>
      <c r="B91" s="77">
        <f t="shared" si="9"/>
        <v>79</v>
      </c>
      <c r="C91" s="77" t="s">
        <v>545</v>
      </c>
      <c r="D91" s="77" t="s">
        <v>928</v>
      </c>
      <c r="E91" s="78" t="s">
        <v>587</v>
      </c>
      <c r="F91" s="78"/>
      <c r="G91" s="78" t="s">
        <v>573</v>
      </c>
      <c r="H91" s="78" t="s">
        <v>582</v>
      </c>
      <c r="I91" s="78" t="s">
        <v>579</v>
      </c>
      <c r="J91" s="44">
        <v>4470.7</v>
      </c>
      <c r="K91" s="44">
        <v>3913.1</v>
      </c>
      <c r="L91" s="44">
        <v>0</v>
      </c>
      <c r="M91" s="79">
        <v>167</v>
      </c>
      <c r="N91" s="72">
        <f t="shared" si="1"/>
        <v>341642.39011098578</v>
      </c>
      <c r="O91" s="44">
        <v>0</v>
      </c>
      <c r="P91" s="44"/>
      <c r="Q91" s="44"/>
      <c r="R91" s="44">
        <f>+'[12]Приложение № 4'!E91</f>
        <v>341642.39011098578</v>
      </c>
      <c r="S91" s="44"/>
      <c r="T91" s="44"/>
      <c r="U91" s="44">
        <v>1358.04</v>
      </c>
      <c r="V91" s="44">
        <v>1358.04</v>
      </c>
      <c r="W91" s="80" t="s">
        <v>1101</v>
      </c>
      <c r="X91" s="96" t="e">
        <f>+N91-#REF!</f>
        <v>#REF!</v>
      </c>
      <c r="Y91" s="94">
        <v>1394719.15</v>
      </c>
      <c r="Z91" s="94">
        <f t="shared" si="10"/>
        <v>427310.52</v>
      </c>
      <c r="AB91" s="96" t="e">
        <f>+N91-#REF!</f>
        <v>#REF!</v>
      </c>
      <c r="AC91" s="27">
        <f>+N91-'[12]Приложение № 4'!E91</f>
        <v>0</v>
      </c>
      <c r="AE91" s="98" t="e">
        <f>+N91-#REF!</f>
        <v>#REF!</v>
      </c>
      <c r="AG91" s="101" t="s">
        <v>928</v>
      </c>
      <c r="AH91" s="102">
        <f t="shared" si="2"/>
        <v>341642.39011098578</v>
      </c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>
        <v>317642.39011098578</v>
      </c>
      <c r="AV91" s="102">
        <v>24000</v>
      </c>
      <c r="AW91" s="102"/>
    </row>
    <row r="92" spans="1:49" ht="15" x14ac:dyDescent="0.25">
      <c r="A92" s="76">
        <f t="shared" si="9"/>
        <v>80</v>
      </c>
      <c r="B92" s="77">
        <f t="shared" si="9"/>
        <v>80</v>
      </c>
      <c r="C92" s="77" t="s">
        <v>545</v>
      </c>
      <c r="D92" s="77" t="s">
        <v>929</v>
      </c>
      <c r="E92" s="78" t="s">
        <v>581</v>
      </c>
      <c r="F92" s="78"/>
      <c r="G92" s="78" t="s">
        <v>573</v>
      </c>
      <c r="H92" s="78" t="s">
        <v>571</v>
      </c>
      <c r="I92" s="78" t="s">
        <v>572</v>
      </c>
      <c r="J92" s="44">
        <v>5825.9</v>
      </c>
      <c r="K92" s="44">
        <v>4975.7</v>
      </c>
      <c r="L92" s="44">
        <v>0</v>
      </c>
      <c r="M92" s="79">
        <v>169</v>
      </c>
      <c r="N92" s="72">
        <f t="shared" si="1"/>
        <v>459705.43000000005</v>
      </c>
      <c r="O92" s="44">
        <v>0</v>
      </c>
      <c r="P92" s="44"/>
      <c r="Q92" s="44"/>
      <c r="R92" s="44">
        <f>+'[12]Приложение № 4'!E92</f>
        <v>459705.43000000005</v>
      </c>
      <c r="S92" s="44"/>
      <c r="T92" s="44"/>
      <c r="U92" s="44">
        <v>718.98</v>
      </c>
      <c r="V92" s="44">
        <v>718.98</v>
      </c>
      <c r="W92" s="80" t="s">
        <v>1101</v>
      </c>
      <c r="X92" s="96" t="e">
        <f>+N92-#REF!</f>
        <v>#REF!</v>
      </c>
      <c r="Y92" s="94">
        <v>2408877.7400000002</v>
      </c>
      <c r="Z92" s="94">
        <f>+(K92*12.08+L92*20.47)*12</f>
        <v>721277.47199999995</v>
      </c>
      <c r="AB92" s="96" t="e">
        <f>+N92-#REF!</f>
        <v>#REF!</v>
      </c>
      <c r="AC92" s="27">
        <f>+N92-'[12]Приложение № 4'!E92</f>
        <v>0</v>
      </c>
      <c r="AE92" s="98" t="e">
        <f>+N92-#REF!</f>
        <v>#REF!</v>
      </c>
      <c r="AG92" s="101" t="s">
        <v>929</v>
      </c>
      <c r="AH92" s="102">
        <f t="shared" si="2"/>
        <v>476076.3150912</v>
      </c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>
        <v>452076.3150912</v>
      </c>
      <c r="AV92" s="102">
        <v>24000</v>
      </c>
      <c r="AW92" s="102"/>
    </row>
    <row r="93" spans="1:49" ht="15" x14ac:dyDescent="0.25">
      <c r="A93" s="76">
        <f t="shared" si="9"/>
        <v>81</v>
      </c>
      <c r="B93" s="77">
        <f t="shared" si="9"/>
        <v>81</v>
      </c>
      <c r="C93" s="77" t="s">
        <v>545</v>
      </c>
      <c r="D93" s="77" t="s">
        <v>930</v>
      </c>
      <c r="E93" s="78" t="s">
        <v>569</v>
      </c>
      <c r="F93" s="78"/>
      <c r="G93" s="78" t="s">
        <v>570</v>
      </c>
      <c r="H93" s="78" t="s">
        <v>575</v>
      </c>
      <c r="I93" s="78" t="s">
        <v>572</v>
      </c>
      <c r="J93" s="44">
        <v>1216.0999999999999</v>
      </c>
      <c r="K93" s="44">
        <v>889.8</v>
      </c>
      <c r="L93" s="44">
        <v>166.2</v>
      </c>
      <c r="M93" s="79">
        <v>29</v>
      </c>
      <c r="N93" s="72">
        <f t="shared" si="1"/>
        <v>166703.26</v>
      </c>
      <c r="O93" s="44">
        <v>0</v>
      </c>
      <c r="P93" s="44"/>
      <c r="Q93" s="44"/>
      <c r="R93" s="44">
        <f>+'[12]Приложение № 4'!E93</f>
        <v>166703.26</v>
      </c>
      <c r="S93" s="44"/>
      <c r="T93" s="44"/>
      <c r="U93" s="44">
        <v>3470.13</v>
      </c>
      <c r="V93" s="44">
        <v>3470.13</v>
      </c>
      <c r="W93" s="80" t="s">
        <v>1101</v>
      </c>
      <c r="X93" s="96" t="e">
        <f>+N93-#REF!</f>
        <v>#REF!</v>
      </c>
      <c r="Y93" s="94">
        <v>425951.24</v>
      </c>
      <c r="Z93" s="94">
        <f>+(K93*9.1+L93*18.19)*12</f>
        <v>133444.296</v>
      </c>
      <c r="AB93" s="96" t="e">
        <f>+N93-#REF!</f>
        <v>#REF!</v>
      </c>
      <c r="AC93" s="27">
        <f>+N93-'[12]Приложение № 4'!E93</f>
        <v>0</v>
      </c>
      <c r="AE93" s="98" t="e">
        <f>+N93-#REF!</f>
        <v>#REF!</v>
      </c>
      <c r="AG93" s="101" t="s">
        <v>930</v>
      </c>
      <c r="AH93" s="102">
        <f t="shared" si="2"/>
        <v>183539.96989601065</v>
      </c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>
        <v>159539.96989601065</v>
      </c>
      <c r="AV93" s="102">
        <v>24000</v>
      </c>
      <c r="AW93" s="102"/>
    </row>
    <row r="94" spans="1:49" ht="15" x14ac:dyDescent="0.25">
      <c r="A94" s="76">
        <f t="shared" si="9"/>
        <v>82</v>
      </c>
      <c r="B94" s="77">
        <f t="shared" si="9"/>
        <v>82</v>
      </c>
      <c r="C94" s="77" t="s">
        <v>545</v>
      </c>
      <c r="D94" s="77" t="s">
        <v>932</v>
      </c>
      <c r="E94" s="78" t="s">
        <v>585</v>
      </c>
      <c r="F94" s="78"/>
      <c r="G94" s="78" t="s">
        <v>570</v>
      </c>
      <c r="H94" s="78" t="s">
        <v>579</v>
      </c>
      <c r="I94" s="78" t="s">
        <v>583</v>
      </c>
      <c r="J94" s="44">
        <v>4099.3999999999996</v>
      </c>
      <c r="K94" s="44">
        <v>3644.9</v>
      </c>
      <c r="L94" s="44">
        <v>0</v>
      </c>
      <c r="M94" s="79">
        <v>159</v>
      </c>
      <c r="N94" s="72">
        <f t="shared" si="1"/>
        <v>173573.47</v>
      </c>
      <c r="O94" s="44">
        <v>0</v>
      </c>
      <c r="P94" s="44"/>
      <c r="Q94" s="44"/>
      <c r="R94" s="44">
        <f>+'[12]Приложение № 4'!E94</f>
        <v>173573.47</v>
      </c>
      <c r="S94" s="44"/>
      <c r="T94" s="44"/>
      <c r="U94" s="44">
        <v>524.30999999999995</v>
      </c>
      <c r="V94" s="44">
        <v>524.30999999999995</v>
      </c>
      <c r="W94" s="80" t="s">
        <v>1101</v>
      </c>
      <c r="X94" s="96" t="e">
        <f>+N94-#REF!</f>
        <v>#REF!</v>
      </c>
      <c r="Y94" s="94">
        <v>1466210.72</v>
      </c>
      <c r="Z94" s="94">
        <f>+(K94*9.1+L94*18.19)*12</f>
        <v>398023.07999999996</v>
      </c>
      <c r="AB94" s="96" t="e">
        <f>+N94-#REF!</f>
        <v>#REF!</v>
      </c>
      <c r="AC94" s="27">
        <f>+N94-'[12]Приложение № 4'!E94</f>
        <v>0</v>
      </c>
      <c r="AE94" s="98" t="e">
        <f>+N94-#REF!</f>
        <v>#REF!</v>
      </c>
      <c r="AG94" s="101" t="s">
        <v>932</v>
      </c>
      <c r="AH94" s="102">
        <f t="shared" si="2"/>
        <v>190446.37900800002</v>
      </c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>
        <v>166446.37900800002</v>
      </c>
      <c r="AV94" s="102">
        <v>24000</v>
      </c>
      <c r="AW94" s="102"/>
    </row>
    <row r="95" spans="1:49" ht="15" x14ac:dyDescent="0.25">
      <c r="A95" s="76">
        <f t="shared" si="9"/>
        <v>83</v>
      </c>
      <c r="B95" s="77">
        <f t="shared" si="9"/>
        <v>83</v>
      </c>
      <c r="C95" s="77" t="s">
        <v>545</v>
      </c>
      <c r="D95" s="77" t="s">
        <v>933</v>
      </c>
      <c r="E95" s="78" t="s">
        <v>580</v>
      </c>
      <c r="F95" s="78"/>
      <c r="G95" s="78" t="s">
        <v>570</v>
      </c>
      <c r="H95" s="78" t="s">
        <v>575</v>
      </c>
      <c r="I95" s="78" t="s">
        <v>582</v>
      </c>
      <c r="J95" s="44">
        <v>2965.1</v>
      </c>
      <c r="K95" s="44">
        <v>2646.6</v>
      </c>
      <c r="L95" s="44">
        <v>0</v>
      </c>
      <c r="M95" s="79">
        <v>91</v>
      </c>
      <c r="N95" s="72">
        <f t="shared" si="1"/>
        <v>779598.42999999993</v>
      </c>
      <c r="O95" s="44">
        <v>0</v>
      </c>
      <c r="P95" s="44"/>
      <c r="Q95" s="44"/>
      <c r="R95" s="44">
        <f>+'[12]Приложение № 4'!E95</f>
        <v>779598.42999999993</v>
      </c>
      <c r="S95" s="44"/>
      <c r="T95" s="44"/>
      <c r="U95" s="44">
        <v>5417.13</v>
      </c>
      <c r="V95" s="44">
        <v>5417.13</v>
      </c>
      <c r="W95" s="80" t="s">
        <v>1101</v>
      </c>
      <c r="X95" s="96" t="e">
        <f>+N95-#REF!</f>
        <v>#REF!</v>
      </c>
      <c r="Y95" s="94">
        <v>880695.16</v>
      </c>
      <c r="Z95" s="94">
        <f>+(K95*9.1+L95*18.19)*12</f>
        <v>289008.71999999997</v>
      </c>
      <c r="AB95" s="96" t="e">
        <f>+N95-#REF!</f>
        <v>#REF!</v>
      </c>
      <c r="AC95" s="27">
        <f>+N95-'[12]Приложение № 4'!E95</f>
        <v>0</v>
      </c>
      <c r="AE95" s="98" t="e">
        <f>+N95-#REF!</f>
        <v>#REF!</v>
      </c>
      <c r="AG95" s="101" t="s">
        <v>933</v>
      </c>
      <c r="AH95" s="102">
        <f t="shared" si="2"/>
        <v>795645.28345037275</v>
      </c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>
        <v>771645.28345037275</v>
      </c>
      <c r="AV95" s="102">
        <v>24000</v>
      </c>
      <c r="AW95" s="102"/>
    </row>
    <row r="96" spans="1:49" ht="15" x14ac:dyDescent="0.25">
      <c r="A96" s="76">
        <f t="shared" si="9"/>
        <v>84</v>
      </c>
      <c r="B96" s="77">
        <f t="shared" si="9"/>
        <v>84</v>
      </c>
      <c r="C96" s="77" t="s">
        <v>545</v>
      </c>
      <c r="D96" s="77" t="s">
        <v>936</v>
      </c>
      <c r="E96" s="78" t="s">
        <v>569</v>
      </c>
      <c r="F96" s="78"/>
      <c r="G96" s="78" t="s">
        <v>573</v>
      </c>
      <c r="H96" s="78" t="s">
        <v>1088</v>
      </c>
      <c r="I96" s="78" t="s">
        <v>576</v>
      </c>
      <c r="J96" s="44">
        <v>3282.5</v>
      </c>
      <c r="K96" s="44">
        <v>2809.1</v>
      </c>
      <c r="L96" s="44">
        <v>0</v>
      </c>
      <c r="M96" s="79">
        <v>98</v>
      </c>
      <c r="N96" s="72">
        <f t="shared" si="1"/>
        <v>1035363.46</v>
      </c>
      <c r="O96" s="44">
        <v>0</v>
      </c>
      <c r="P96" s="44"/>
      <c r="Q96" s="44"/>
      <c r="R96" s="44">
        <f>+'[12]Приложение № 4'!E96</f>
        <v>1035363.46</v>
      </c>
      <c r="S96" s="44"/>
      <c r="T96" s="44"/>
      <c r="U96" s="44">
        <v>3289.39</v>
      </c>
      <c r="V96" s="44">
        <v>3289.39</v>
      </c>
      <c r="W96" s="80" t="s">
        <v>1101</v>
      </c>
      <c r="X96" s="96" t="e">
        <f>+N96-#REF!</f>
        <v>#REF!</v>
      </c>
      <c r="Y96" s="94">
        <v>1388938.36</v>
      </c>
      <c r="Z96" s="94">
        <f>+(K96*12.08+L96*20.47)*12</f>
        <v>407207.136</v>
      </c>
      <c r="AB96" s="96" t="e">
        <f>+N96-#REF!</f>
        <v>#REF!</v>
      </c>
      <c r="AC96" s="27">
        <f>+N96-'[12]Приложение № 4'!E96</f>
        <v>0</v>
      </c>
      <c r="AE96" s="98" t="e">
        <f>+N96-#REF!</f>
        <v>#REF!</v>
      </c>
      <c r="AG96" s="101" t="s">
        <v>936</v>
      </c>
      <c r="AH96" s="102">
        <f t="shared" si="2"/>
        <v>1065535.6985663997</v>
      </c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>
        <v>1041535.6985663997</v>
      </c>
      <c r="AV96" s="102">
        <v>24000</v>
      </c>
      <c r="AW96" s="102"/>
    </row>
    <row r="97" spans="1:49" ht="15" x14ac:dyDescent="0.25">
      <c r="A97" s="76">
        <f t="shared" si="9"/>
        <v>85</v>
      </c>
      <c r="B97" s="77">
        <f t="shared" si="9"/>
        <v>85</v>
      </c>
      <c r="C97" s="77" t="s">
        <v>545</v>
      </c>
      <c r="D97" s="77" t="s">
        <v>937</v>
      </c>
      <c r="E97" s="78" t="s">
        <v>597</v>
      </c>
      <c r="F97" s="78"/>
      <c r="G97" s="78" t="s">
        <v>573</v>
      </c>
      <c r="H97" s="78" t="s">
        <v>571</v>
      </c>
      <c r="I97" s="78" t="s">
        <v>576</v>
      </c>
      <c r="J97" s="44">
        <v>2767.8</v>
      </c>
      <c r="K97" s="44">
        <v>2151.1999999999998</v>
      </c>
      <c r="L97" s="44">
        <v>70</v>
      </c>
      <c r="M97" s="79">
        <v>94</v>
      </c>
      <c r="N97" s="72">
        <f t="shared" si="1"/>
        <v>412442.82787746476</v>
      </c>
      <c r="O97" s="44">
        <v>0</v>
      </c>
      <c r="P97" s="44"/>
      <c r="Q97" s="44"/>
      <c r="R97" s="44">
        <f>+'[12]Приложение № 4'!E97</f>
        <v>412442.82787746476</v>
      </c>
      <c r="S97" s="44"/>
      <c r="T97" s="44"/>
      <c r="U97" s="44">
        <v>714.76</v>
      </c>
      <c r="V97" s="44">
        <v>714.76</v>
      </c>
      <c r="W97" s="80" t="s">
        <v>1101</v>
      </c>
      <c r="X97" s="96" t="e">
        <f>+N97-#REF!</f>
        <v>#REF!</v>
      </c>
      <c r="Y97" s="94">
        <v>1058746.51</v>
      </c>
      <c r="Z97" s="94">
        <f>+(K97*12.08+L97*20.47)*12</f>
        <v>329032.75199999998</v>
      </c>
      <c r="AB97" s="96" t="e">
        <f>+N97-#REF!</f>
        <v>#REF!</v>
      </c>
      <c r="AC97" s="27">
        <f>+N97-'[12]Приложение № 4'!E97</f>
        <v>0</v>
      </c>
      <c r="AE97" s="98" t="e">
        <f>+N97-#REF!</f>
        <v>#REF!</v>
      </c>
      <c r="AG97" s="101" t="s">
        <v>937</v>
      </c>
      <c r="AH97" s="102">
        <f t="shared" si="2"/>
        <v>412442.82787746476</v>
      </c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>
        <v>388442.82787746476</v>
      </c>
      <c r="AV97" s="102">
        <v>24000</v>
      </c>
      <c r="AW97" s="102"/>
    </row>
    <row r="98" spans="1:49" ht="15" x14ac:dyDescent="0.25">
      <c r="A98" s="76">
        <f t="shared" si="9"/>
        <v>86</v>
      </c>
      <c r="B98" s="77">
        <f t="shared" si="9"/>
        <v>86</v>
      </c>
      <c r="C98" s="77" t="s">
        <v>545</v>
      </c>
      <c r="D98" s="77" t="s">
        <v>938</v>
      </c>
      <c r="E98" s="78" t="s">
        <v>599</v>
      </c>
      <c r="F98" s="78"/>
      <c r="G98" s="78" t="s">
        <v>573</v>
      </c>
      <c r="H98" s="78" t="s">
        <v>582</v>
      </c>
      <c r="I98" s="78" t="s">
        <v>583</v>
      </c>
      <c r="J98" s="44">
        <v>5142.8999999999996</v>
      </c>
      <c r="K98" s="44">
        <v>4554.5</v>
      </c>
      <c r="L98" s="44">
        <v>36.1</v>
      </c>
      <c r="M98" s="79">
        <v>203</v>
      </c>
      <c r="N98" s="72">
        <f t="shared" si="1"/>
        <v>314561.06</v>
      </c>
      <c r="O98" s="44">
        <v>0</v>
      </c>
      <c r="P98" s="44"/>
      <c r="Q98" s="44"/>
      <c r="R98" s="44">
        <f>+'[12]Приложение № 4'!E98</f>
        <v>314561.06</v>
      </c>
      <c r="S98" s="44"/>
      <c r="T98" s="44"/>
      <c r="U98" s="44">
        <v>757.54</v>
      </c>
      <c r="V98" s="44">
        <v>757.54</v>
      </c>
      <c r="W98" s="80" t="s">
        <v>1101</v>
      </c>
      <c r="X98" s="96" t="e">
        <f>+N98-#REF!</f>
        <v>#REF!</v>
      </c>
      <c r="Y98" s="94">
        <v>1766007.43</v>
      </c>
      <c r="Z98" s="94">
        <f>+(K98*9.1+L98*18.19)*12</f>
        <v>505231.30799999996</v>
      </c>
      <c r="AB98" s="96" t="e">
        <f>+N98-#REF!</f>
        <v>#REF!</v>
      </c>
      <c r="AC98" s="27">
        <f>+N98-'[12]Приложение № 4'!E98</f>
        <v>0</v>
      </c>
      <c r="AE98" s="98" t="e">
        <f>+N98-#REF!</f>
        <v>#REF!</v>
      </c>
      <c r="AG98" s="101" t="s">
        <v>938</v>
      </c>
      <c r="AH98" s="102">
        <f t="shared" si="2"/>
        <v>335396.21088825248</v>
      </c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>
        <v>311396.21088825248</v>
      </c>
      <c r="AV98" s="102">
        <v>24000</v>
      </c>
      <c r="AW98" s="102"/>
    </row>
    <row r="99" spans="1:49" ht="15" x14ac:dyDescent="0.25">
      <c r="A99" s="76">
        <f t="shared" si="9"/>
        <v>87</v>
      </c>
      <c r="B99" s="77">
        <f t="shared" si="9"/>
        <v>87</v>
      </c>
      <c r="C99" s="77" t="s">
        <v>545</v>
      </c>
      <c r="D99" s="77" t="s">
        <v>939</v>
      </c>
      <c r="E99" s="78" t="s">
        <v>601</v>
      </c>
      <c r="F99" s="78"/>
      <c r="G99" s="78" t="s">
        <v>573</v>
      </c>
      <c r="H99" s="78" t="s">
        <v>582</v>
      </c>
      <c r="I99" s="78" t="s">
        <v>574</v>
      </c>
      <c r="J99" s="44">
        <v>6799</v>
      </c>
      <c r="K99" s="44">
        <v>6062.4</v>
      </c>
      <c r="L99" s="44">
        <v>0</v>
      </c>
      <c r="M99" s="79">
        <v>253</v>
      </c>
      <c r="N99" s="72">
        <f t="shared" si="1"/>
        <v>816121.81</v>
      </c>
      <c r="O99" s="44">
        <v>0</v>
      </c>
      <c r="P99" s="44"/>
      <c r="Q99" s="44"/>
      <c r="R99" s="44">
        <f>+'[12]Приложение № 4'!E99</f>
        <v>816121.81</v>
      </c>
      <c r="S99" s="44"/>
      <c r="T99" s="44"/>
      <c r="U99" s="44">
        <v>2846.75</v>
      </c>
      <c r="V99" s="44">
        <v>2846.75</v>
      </c>
      <c r="W99" s="80" t="s">
        <v>1101</v>
      </c>
      <c r="X99" s="96" t="e">
        <f>+N99-#REF!</f>
        <v>#REF!</v>
      </c>
      <c r="Y99" s="94">
        <v>2296069.29</v>
      </c>
      <c r="Z99" s="94">
        <f>+(K99*9.1+L99*18.19)*12</f>
        <v>662014.07999999996</v>
      </c>
      <c r="AB99" s="96" t="e">
        <f>+N99-#REF!</f>
        <v>#REF!</v>
      </c>
      <c r="AC99" s="27">
        <f>+N99-'[12]Приложение № 4'!E99</f>
        <v>0</v>
      </c>
      <c r="AE99" s="98" t="e">
        <f>+N99-#REF!</f>
        <v>#REF!</v>
      </c>
      <c r="AG99" s="101" t="s">
        <v>939</v>
      </c>
      <c r="AH99" s="102">
        <f t="shared" si="2"/>
        <v>842836.14182399993</v>
      </c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>
        <v>818836.14182399993</v>
      </c>
      <c r="AV99" s="102">
        <v>24000</v>
      </c>
      <c r="AW99" s="102"/>
    </row>
    <row r="100" spans="1:49" ht="15" x14ac:dyDescent="0.25">
      <c r="A100" s="76">
        <f t="shared" si="9"/>
        <v>88</v>
      </c>
      <c r="B100" s="77">
        <f t="shared" si="9"/>
        <v>88</v>
      </c>
      <c r="C100" s="77" t="s">
        <v>545</v>
      </c>
      <c r="D100" s="77" t="s">
        <v>940</v>
      </c>
      <c r="E100" s="78" t="s">
        <v>581</v>
      </c>
      <c r="F100" s="78"/>
      <c r="G100" s="78" t="s">
        <v>570</v>
      </c>
      <c r="H100" s="78" t="s">
        <v>572</v>
      </c>
      <c r="I100" s="78" t="s">
        <v>574</v>
      </c>
      <c r="J100" s="44">
        <v>981.5</v>
      </c>
      <c r="K100" s="44">
        <v>927.4</v>
      </c>
      <c r="L100" s="44">
        <v>54.1</v>
      </c>
      <c r="M100" s="79">
        <v>39</v>
      </c>
      <c r="N100" s="72">
        <f t="shared" si="1"/>
        <v>527866.23</v>
      </c>
      <c r="O100" s="44">
        <v>0</v>
      </c>
      <c r="P100" s="44"/>
      <c r="Q100" s="44"/>
      <c r="R100" s="44">
        <f>+'[12]Приложение № 4'!E100</f>
        <v>527866.23</v>
      </c>
      <c r="S100" s="44"/>
      <c r="T100" s="44"/>
      <c r="U100" s="44">
        <v>8887.26</v>
      </c>
      <c r="V100" s="44">
        <v>8887.26</v>
      </c>
      <c r="W100" s="80" t="s">
        <v>1101</v>
      </c>
      <c r="X100" s="96" t="e">
        <f>+N100-#REF!</f>
        <v>#REF!</v>
      </c>
      <c r="Y100" s="94">
        <v>353471.06</v>
      </c>
      <c r="Z100" s="94">
        <f>+(K100*9.1+L100*18.19)*12</f>
        <v>113081.02799999999</v>
      </c>
      <c r="AB100" s="96" t="e">
        <f>+N100-#REF!</f>
        <v>#REF!</v>
      </c>
      <c r="AC100" s="27">
        <f>+N100-'[12]Приложение № 4'!E100</f>
        <v>0</v>
      </c>
      <c r="AE100" s="98" t="e">
        <f>+N100-#REF!</f>
        <v>#REF!</v>
      </c>
      <c r="AG100" s="101" t="s">
        <v>940</v>
      </c>
      <c r="AH100" s="102">
        <f t="shared" si="2"/>
        <v>548002.59525529738</v>
      </c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>
        <v>524002.59525529738</v>
      </c>
      <c r="AV100" s="102">
        <v>24000</v>
      </c>
      <c r="AW100" s="102"/>
    </row>
    <row r="101" spans="1:49" ht="15" x14ac:dyDescent="0.25">
      <c r="A101" s="76">
        <f t="shared" si="9"/>
        <v>89</v>
      </c>
      <c r="B101" s="77">
        <f t="shared" si="9"/>
        <v>89</v>
      </c>
      <c r="C101" s="77" t="s">
        <v>545</v>
      </c>
      <c r="D101" s="77" t="s">
        <v>941</v>
      </c>
      <c r="E101" s="78" t="s">
        <v>578</v>
      </c>
      <c r="F101" s="78"/>
      <c r="G101" s="78" t="s">
        <v>573</v>
      </c>
      <c r="H101" s="78" t="s">
        <v>571</v>
      </c>
      <c r="I101" s="78" t="s">
        <v>576</v>
      </c>
      <c r="J101" s="44">
        <v>4523.2</v>
      </c>
      <c r="K101" s="44">
        <v>3829.6</v>
      </c>
      <c r="L101" s="44">
        <v>51.1</v>
      </c>
      <c r="M101" s="79">
        <v>160</v>
      </c>
      <c r="N101" s="72">
        <f t="shared" si="1"/>
        <v>425235.56999999995</v>
      </c>
      <c r="O101" s="44">
        <v>0</v>
      </c>
      <c r="P101" s="44"/>
      <c r="Q101" s="44"/>
      <c r="R101" s="44">
        <f>+'[12]Приложение № 4'!E101</f>
        <v>425235.56999999995</v>
      </c>
      <c r="S101" s="44"/>
      <c r="T101" s="44"/>
      <c r="U101" s="44">
        <v>728.66</v>
      </c>
      <c r="V101" s="44">
        <v>728.66</v>
      </c>
      <c r="W101" s="80" t="s">
        <v>1101</v>
      </c>
      <c r="X101" s="96" t="e">
        <f>+N101-#REF!</f>
        <v>#REF!</v>
      </c>
      <c r="Y101" s="94">
        <v>1838984.34</v>
      </c>
      <c r="Z101" s="94">
        <f t="shared" ref="Z101:Z104" si="11">+(K101*12.08+L101*20.47)*12</f>
        <v>567691.02</v>
      </c>
      <c r="AB101" s="96" t="e">
        <f>+N101-#REF!</f>
        <v>#REF!</v>
      </c>
      <c r="AC101" s="27">
        <f>+N101-'[12]Приложение № 4'!E101</f>
        <v>0</v>
      </c>
      <c r="AE101" s="98" t="e">
        <f>+N101-#REF!</f>
        <v>#REF!</v>
      </c>
      <c r="AG101" s="101" t="s">
        <v>941</v>
      </c>
      <c r="AH101" s="102">
        <f t="shared" si="2"/>
        <v>447816.29157670558</v>
      </c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>
        <v>423816.29157670558</v>
      </c>
      <c r="AV101" s="102">
        <v>24000</v>
      </c>
      <c r="AW101" s="102"/>
    </row>
    <row r="102" spans="1:49" ht="15" x14ac:dyDescent="0.25">
      <c r="A102" s="76">
        <f t="shared" si="9"/>
        <v>90</v>
      </c>
      <c r="B102" s="77">
        <f t="shared" si="9"/>
        <v>90</v>
      </c>
      <c r="C102" s="77" t="s">
        <v>545</v>
      </c>
      <c r="D102" s="77" t="s">
        <v>942</v>
      </c>
      <c r="E102" s="78" t="s">
        <v>581</v>
      </c>
      <c r="F102" s="78"/>
      <c r="G102" s="78" t="s">
        <v>573</v>
      </c>
      <c r="H102" s="78" t="s">
        <v>571</v>
      </c>
      <c r="I102" s="78" t="s">
        <v>576</v>
      </c>
      <c r="J102" s="44">
        <v>3271</v>
      </c>
      <c r="K102" s="44">
        <v>2823.5</v>
      </c>
      <c r="L102" s="44">
        <v>0</v>
      </c>
      <c r="M102" s="79">
        <v>93</v>
      </c>
      <c r="N102" s="72">
        <f t="shared" si="1"/>
        <v>894975.79999999993</v>
      </c>
      <c r="O102" s="44">
        <v>0</v>
      </c>
      <c r="P102" s="44"/>
      <c r="Q102" s="44"/>
      <c r="R102" s="44">
        <f>+'[12]Приложение № 4'!E102</f>
        <v>894975.79999999993</v>
      </c>
      <c r="S102" s="44"/>
      <c r="T102" s="44"/>
      <c r="U102" s="44">
        <v>5637.81</v>
      </c>
      <c r="V102" s="44">
        <v>5637.81</v>
      </c>
      <c r="W102" s="80" t="s">
        <v>1101</v>
      </c>
      <c r="X102" s="96" t="e">
        <f>+N102-#REF!</f>
        <v>#REF!</v>
      </c>
      <c r="Y102" s="94">
        <v>1347380.71</v>
      </c>
      <c r="Z102" s="94">
        <f t="shared" si="11"/>
        <v>409294.55999999994</v>
      </c>
      <c r="AB102" s="96" t="e">
        <f>+N102-#REF!</f>
        <v>#REF!</v>
      </c>
      <c r="AC102" s="27">
        <f>+N102-'[12]Приложение № 4'!E102</f>
        <v>0</v>
      </c>
      <c r="AE102" s="98" t="e">
        <f>+N102-#REF!</f>
        <v>#REF!</v>
      </c>
      <c r="AG102" s="101" t="s">
        <v>942</v>
      </c>
      <c r="AH102" s="102">
        <f t="shared" si="2"/>
        <v>922933.82307000202</v>
      </c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>
        <v>898933.82307000202</v>
      </c>
      <c r="AV102" s="102">
        <v>24000</v>
      </c>
      <c r="AW102" s="102"/>
    </row>
    <row r="103" spans="1:49" ht="15" x14ac:dyDescent="0.25">
      <c r="A103" s="76">
        <f t="shared" si="9"/>
        <v>91</v>
      </c>
      <c r="B103" s="77">
        <f t="shared" si="9"/>
        <v>91</v>
      </c>
      <c r="C103" s="77" t="s">
        <v>545</v>
      </c>
      <c r="D103" s="77" t="s">
        <v>943</v>
      </c>
      <c r="E103" s="78" t="s">
        <v>601</v>
      </c>
      <c r="F103" s="78"/>
      <c r="G103" s="78" t="s">
        <v>573</v>
      </c>
      <c r="H103" s="78" t="s">
        <v>571</v>
      </c>
      <c r="I103" s="78" t="s">
        <v>576</v>
      </c>
      <c r="J103" s="44">
        <v>3239.5</v>
      </c>
      <c r="K103" s="44">
        <v>2723.8</v>
      </c>
      <c r="L103" s="44">
        <v>63.8</v>
      </c>
      <c r="M103" s="79">
        <v>112</v>
      </c>
      <c r="N103" s="72">
        <f t="shared" si="1"/>
        <v>298717.92</v>
      </c>
      <c r="O103" s="44">
        <v>0</v>
      </c>
      <c r="P103" s="44"/>
      <c r="Q103" s="44"/>
      <c r="R103" s="44">
        <f>+'[12]Приложение № 4'!E103</f>
        <v>298717.92</v>
      </c>
      <c r="S103" s="44"/>
      <c r="T103" s="44"/>
      <c r="U103" s="44">
        <v>415.51</v>
      </c>
      <c r="V103" s="44">
        <v>415.51</v>
      </c>
      <c r="W103" s="80" t="s">
        <v>1101</v>
      </c>
      <c r="X103" s="96" t="e">
        <f>+N103-#REF!</f>
        <v>#REF!</v>
      </c>
      <c r="Y103" s="94">
        <v>1250845.8700000001</v>
      </c>
      <c r="Z103" s="94">
        <f t="shared" si="11"/>
        <v>410513.88</v>
      </c>
      <c r="AB103" s="96" t="e">
        <f>+N103-#REF!</f>
        <v>#REF!</v>
      </c>
      <c r="AC103" s="27">
        <f>+N103-'[12]Приложение № 4'!E103</f>
        <v>0</v>
      </c>
      <c r="AE103" s="98" t="e">
        <f>+N103-#REF!</f>
        <v>#REF!</v>
      </c>
      <c r="AG103" s="101" t="s">
        <v>943</v>
      </c>
      <c r="AH103" s="102">
        <f t="shared" si="2"/>
        <v>300157.17216000007</v>
      </c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>
        <v>276157.17216000007</v>
      </c>
      <c r="AV103" s="102">
        <v>24000</v>
      </c>
      <c r="AW103" s="102"/>
    </row>
    <row r="104" spans="1:49" ht="15" x14ac:dyDescent="0.25">
      <c r="A104" s="76">
        <f t="shared" si="9"/>
        <v>92</v>
      </c>
      <c r="B104" s="77">
        <f t="shared" si="9"/>
        <v>92</v>
      </c>
      <c r="C104" s="77" t="s">
        <v>545</v>
      </c>
      <c r="D104" s="77" t="s">
        <v>944</v>
      </c>
      <c r="E104" s="78" t="s">
        <v>601</v>
      </c>
      <c r="F104" s="78"/>
      <c r="G104" s="78" t="s">
        <v>573</v>
      </c>
      <c r="H104" s="78" t="s">
        <v>571</v>
      </c>
      <c r="I104" s="78" t="s">
        <v>575</v>
      </c>
      <c r="J104" s="44">
        <v>12198.52</v>
      </c>
      <c r="K104" s="44">
        <v>10149.6</v>
      </c>
      <c r="L104" s="44">
        <v>188.7</v>
      </c>
      <c r="M104" s="79">
        <v>390</v>
      </c>
      <c r="N104" s="72">
        <f t="shared" si="1"/>
        <v>658104.89</v>
      </c>
      <c r="O104" s="44">
        <v>0</v>
      </c>
      <c r="P104" s="44"/>
      <c r="Q104" s="44"/>
      <c r="R104" s="44">
        <f>+'[12]Приложение № 4'!E104</f>
        <v>658104.89</v>
      </c>
      <c r="S104" s="44"/>
      <c r="T104" s="44"/>
      <c r="U104" s="44">
        <v>728.66</v>
      </c>
      <c r="V104" s="44">
        <v>728.66</v>
      </c>
      <c r="W104" s="80" t="s">
        <v>1101</v>
      </c>
      <c r="X104" s="96" t="e">
        <f>+N104-#REF!</f>
        <v>#REF!</v>
      </c>
      <c r="Y104" s="94">
        <v>4921838.62</v>
      </c>
      <c r="Z104" s="94">
        <f t="shared" si="11"/>
        <v>1517638.284</v>
      </c>
      <c r="AB104" s="96" t="e">
        <f>+N104-#REF!</f>
        <v>#REF!</v>
      </c>
      <c r="AC104" s="27">
        <f>+N104-'[12]Приложение № 4'!E104</f>
        <v>0</v>
      </c>
      <c r="AE104" s="98" t="e">
        <f>+N104-#REF!</f>
        <v>#REF!</v>
      </c>
      <c r="AG104" s="101" t="s">
        <v>944</v>
      </c>
      <c r="AH104" s="102">
        <f t="shared" si="2"/>
        <v>661426.99034079188</v>
      </c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>
        <v>637426.99034079188</v>
      </c>
      <c r="AV104" s="102">
        <v>24000</v>
      </c>
      <c r="AW104" s="102"/>
    </row>
    <row r="105" spans="1:49" ht="15" x14ac:dyDescent="0.25">
      <c r="A105" s="76">
        <f t="shared" si="9"/>
        <v>93</v>
      </c>
      <c r="B105" s="77">
        <f t="shared" si="9"/>
        <v>93</v>
      </c>
      <c r="C105" s="77" t="s">
        <v>54</v>
      </c>
      <c r="D105" s="77" t="s">
        <v>1063</v>
      </c>
      <c r="E105" s="78" t="s">
        <v>584</v>
      </c>
      <c r="F105" s="78"/>
      <c r="G105" s="78" t="s">
        <v>570</v>
      </c>
      <c r="H105" s="78" t="s">
        <v>579</v>
      </c>
      <c r="I105" s="78" t="s">
        <v>579</v>
      </c>
      <c r="J105" s="44">
        <v>4161.7</v>
      </c>
      <c r="K105" s="44">
        <v>2417.1999999999998</v>
      </c>
      <c r="L105" s="44">
        <v>0</v>
      </c>
      <c r="M105" s="79">
        <v>90</v>
      </c>
      <c r="N105" s="72">
        <f>+P105+Q105+R105+S105+T105</f>
        <v>1389861.8</v>
      </c>
      <c r="O105" s="44">
        <v>0</v>
      </c>
      <c r="P105" s="44"/>
      <c r="Q105" s="44"/>
      <c r="R105" s="44">
        <f>+'[12]Приложение № 4'!E105</f>
        <v>1389861.8</v>
      </c>
      <c r="S105" s="44"/>
      <c r="T105" s="44"/>
      <c r="U105" s="44">
        <v>6184.2</v>
      </c>
      <c r="V105" s="44">
        <v>6184.2</v>
      </c>
      <c r="W105" s="80" t="s">
        <v>1101</v>
      </c>
      <c r="X105" s="96" t="e">
        <f>+N105-#REF!</f>
        <v>#REF!</v>
      </c>
      <c r="Y105" s="94">
        <v>950647.93</v>
      </c>
      <c r="Z105" s="94">
        <f t="shared" ref="Z105:Z123" si="12">+(K105*9.1+L105*18.19)*12</f>
        <v>263958.24</v>
      </c>
      <c r="AB105" s="96" t="e">
        <f>+N105-#REF!</f>
        <v>#REF!</v>
      </c>
      <c r="AC105" s="27">
        <f>+N105-'[12]Приложение № 4'!E105</f>
        <v>0</v>
      </c>
      <c r="AE105" s="98" t="e">
        <f>+N105-#REF!</f>
        <v>#REF!</v>
      </c>
      <c r="AG105" s="101" t="s">
        <v>1063</v>
      </c>
      <c r="AH105" s="102">
        <f>SUM(AI105:AW105)</f>
        <v>1397101.1565641023</v>
      </c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>
        <v>1373101.1565641023</v>
      </c>
      <c r="AV105" s="102">
        <v>24000</v>
      </c>
      <c r="AW105" s="102"/>
    </row>
    <row r="106" spans="1:49" ht="15" x14ac:dyDescent="0.25">
      <c r="A106" s="76">
        <f t="shared" si="9"/>
        <v>94</v>
      </c>
      <c r="B106" s="77">
        <f t="shared" si="9"/>
        <v>94</v>
      </c>
      <c r="C106" s="77" t="s">
        <v>59</v>
      </c>
      <c r="D106" s="77" t="s">
        <v>563</v>
      </c>
      <c r="E106" s="78" t="s">
        <v>584</v>
      </c>
      <c r="F106" s="78"/>
      <c r="G106" s="78" t="s">
        <v>570</v>
      </c>
      <c r="H106" s="78" t="s">
        <v>582</v>
      </c>
      <c r="I106" s="78" t="s">
        <v>579</v>
      </c>
      <c r="J106" s="44">
        <v>3725.6</v>
      </c>
      <c r="K106" s="44">
        <v>3168.4</v>
      </c>
      <c r="L106" s="44">
        <v>0</v>
      </c>
      <c r="M106" s="79">
        <v>150</v>
      </c>
      <c r="N106" s="72">
        <f t="shared" si="1"/>
        <v>409917.87</v>
      </c>
      <c r="O106" s="44">
        <v>0</v>
      </c>
      <c r="P106" s="44"/>
      <c r="Q106" s="44"/>
      <c r="R106" s="44">
        <f>+'[12]Приложение № 4'!E106</f>
        <v>409917.87</v>
      </c>
      <c r="S106" s="44"/>
      <c r="T106" s="44"/>
      <c r="U106" s="44">
        <v>877.64</v>
      </c>
      <c r="V106" s="44">
        <v>877.64</v>
      </c>
      <c r="W106" s="80" t="s">
        <v>1101</v>
      </c>
      <c r="X106" s="96" t="e">
        <f>+N106-#REF!</f>
        <v>#REF!</v>
      </c>
      <c r="Y106" s="94">
        <v>1326436.8899999999</v>
      </c>
      <c r="Z106" s="94">
        <f t="shared" si="12"/>
        <v>345989.27999999997</v>
      </c>
      <c r="AB106" s="96" t="e">
        <f>+N106-#REF!</f>
        <v>#REF!</v>
      </c>
      <c r="AC106" s="27">
        <f>+N106-'[12]Приложение № 4'!E106</f>
        <v>0</v>
      </c>
      <c r="AE106" s="98" t="e">
        <f>+N106-#REF!</f>
        <v>#REF!</v>
      </c>
      <c r="AG106" s="101" t="s">
        <v>563</v>
      </c>
      <c r="AH106" s="102">
        <f t="shared" si="2"/>
        <v>411939.71159538999</v>
      </c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>
        <v>387939.71159538999</v>
      </c>
      <c r="AV106" s="102">
        <v>24000</v>
      </c>
      <c r="AW106" s="102"/>
    </row>
    <row r="107" spans="1:49" ht="15" x14ac:dyDescent="0.25">
      <c r="A107" s="76">
        <f t="shared" si="9"/>
        <v>95</v>
      </c>
      <c r="B107" s="77">
        <f t="shared" si="9"/>
        <v>95</v>
      </c>
      <c r="C107" s="77" t="s">
        <v>275</v>
      </c>
      <c r="D107" s="77" t="s">
        <v>945</v>
      </c>
      <c r="E107" s="78" t="s">
        <v>577</v>
      </c>
      <c r="F107" s="78"/>
      <c r="G107" s="78" t="s">
        <v>570</v>
      </c>
      <c r="H107" s="78" t="s">
        <v>575</v>
      </c>
      <c r="I107" s="78" t="s">
        <v>572</v>
      </c>
      <c r="J107" s="44">
        <v>1781.6</v>
      </c>
      <c r="K107" s="44">
        <v>1204</v>
      </c>
      <c r="L107" s="44">
        <v>0</v>
      </c>
      <c r="M107" s="79">
        <v>67</v>
      </c>
      <c r="N107" s="72">
        <f t="shared" si="1"/>
        <v>181853.98</v>
      </c>
      <c r="O107" s="44">
        <v>0</v>
      </c>
      <c r="P107" s="44"/>
      <c r="Q107" s="44"/>
      <c r="R107" s="44">
        <f>+'[12]Приложение № 4'!E107</f>
        <v>181853.98</v>
      </c>
      <c r="S107" s="44"/>
      <c r="T107" s="44"/>
      <c r="U107" s="44">
        <v>3203.85</v>
      </c>
      <c r="V107" s="44">
        <v>3203.85</v>
      </c>
      <c r="W107" s="80" t="s">
        <v>1101</v>
      </c>
      <c r="X107" s="96" t="e">
        <f>+N107-#REF!</f>
        <v>#REF!</v>
      </c>
      <c r="Y107" s="94">
        <v>469712.72</v>
      </c>
      <c r="Z107" s="94">
        <f t="shared" si="12"/>
        <v>131476.79999999999</v>
      </c>
      <c r="AB107" s="96" t="e">
        <f>+N107-#REF!</f>
        <v>#REF!</v>
      </c>
      <c r="AC107" s="27">
        <f>+N107-'[12]Приложение № 4'!E107</f>
        <v>0</v>
      </c>
      <c r="AE107" s="98" t="e">
        <f>+N107-#REF!</f>
        <v>#REF!</v>
      </c>
      <c r="AG107" s="101" t="s">
        <v>945</v>
      </c>
      <c r="AH107" s="102">
        <f t="shared" si="2"/>
        <v>182687.22092593682</v>
      </c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>
        <v>158687.22092593682</v>
      </c>
      <c r="AV107" s="102">
        <v>24000</v>
      </c>
      <c r="AW107" s="102"/>
    </row>
    <row r="108" spans="1:49" ht="15" x14ac:dyDescent="0.25">
      <c r="A108" s="76">
        <f t="shared" si="9"/>
        <v>96</v>
      </c>
      <c r="B108" s="77">
        <f t="shared" si="9"/>
        <v>96</v>
      </c>
      <c r="C108" s="77" t="s">
        <v>275</v>
      </c>
      <c r="D108" s="77" t="s">
        <v>946</v>
      </c>
      <c r="E108" s="78" t="s">
        <v>620</v>
      </c>
      <c r="F108" s="78"/>
      <c r="G108" s="78" t="s">
        <v>570</v>
      </c>
      <c r="H108" s="78" t="s">
        <v>575</v>
      </c>
      <c r="I108" s="78" t="s">
        <v>572</v>
      </c>
      <c r="J108" s="44">
        <v>1304.7</v>
      </c>
      <c r="K108" s="44">
        <v>939.3</v>
      </c>
      <c r="L108" s="44">
        <v>0</v>
      </c>
      <c r="M108" s="79">
        <v>33</v>
      </c>
      <c r="N108" s="72">
        <f t="shared" si="1"/>
        <v>316118.53000000003</v>
      </c>
      <c r="O108" s="44">
        <v>0</v>
      </c>
      <c r="P108" s="44"/>
      <c r="Q108" s="44"/>
      <c r="R108" s="44">
        <f>+'[12]Приложение № 4'!E108</f>
        <v>316118.53000000003</v>
      </c>
      <c r="S108" s="44"/>
      <c r="T108" s="44"/>
      <c r="U108" s="44">
        <v>5618.57</v>
      </c>
      <c r="V108" s="44">
        <v>5618.57</v>
      </c>
      <c r="W108" s="80" t="s">
        <v>1101</v>
      </c>
      <c r="X108" s="96" t="e">
        <f>+N108-#REF!</f>
        <v>#REF!</v>
      </c>
      <c r="Y108" s="94">
        <v>369443.53</v>
      </c>
      <c r="Z108" s="94">
        <f t="shared" si="12"/>
        <v>102571.56</v>
      </c>
      <c r="AB108" s="96" t="e">
        <f>+N108-#REF!</f>
        <v>#REF!</v>
      </c>
      <c r="AC108" s="27">
        <f>+N108-'[12]Приложение № 4'!E108</f>
        <v>0</v>
      </c>
      <c r="AE108" s="98" t="e">
        <f>+N108-#REF!</f>
        <v>#REF!</v>
      </c>
      <c r="AG108" s="101" t="s">
        <v>946</v>
      </c>
      <c r="AH108" s="102">
        <f t="shared" si="2"/>
        <v>317660.48215997242</v>
      </c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>
        <v>276192.52413917246</v>
      </c>
      <c r="AV108" s="102">
        <v>41467.958020799997</v>
      </c>
      <c r="AW108" s="102"/>
    </row>
    <row r="109" spans="1:49" ht="15" x14ac:dyDescent="0.25">
      <c r="A109" s="76">
        <f t="shared" si="9"/>
        <v>97</v>
      </c>
      <c r="B109" s="77">
        <f t="shared" si="9"/>
        <v>97</v>
      </c>
      <c r="C109" s="77" t="s">
        <v>275</v>
      </c>
      <c r="D109" s="77" t="s">
        <v>947</v>
      </c>
      <c r="E109" s="78" t="s">
        <v>627</v>
      </c>
      <c r="F109" s="78"/>
      <c r="G109" s="78" t="s">
        <v>570</v>
      </c>
      <c r="H109" s="78" t="s">
        <v>575</v>
      </c>
      <c r="I109" s="78" t="s">
        <v>579</v>
      </c>
      <c r="J109" s="44">
        <v>2740.5</v>
      </c>
      <c r="K109" s="44">
        <v>1843.1</v>
      </c>
      <c r="L109" s="44">
        <v>0</v>
      </c>
      <c r="M109" s="79">
        <v>67</v>
      </c>
      <c r="N109" s="72">
        <f t="shared" ref="N109:N172" si="13">+P109+Q109+R109+S109+T109</f>
        <v>344861.6</v>
      </c>
      <c r="O109" s="44">
        <v>0</v>
      </c>
      <c r="P109" s="44"/>
      <c r="Q109" s="44"/>
      <c r="R109" s="44">
        <f>+'[12]Приложение № 4'!E109</f>
        <v>344861.6</v>
      </c>
      <c r="S109" s="44"/>
      <c r="T109" s="44"/>
      <c r="U109" s="44">
        <v>4012.82</v>
      </c>
      <c r="V109" s="44">
        <v>4012.82</v>
      </c>
      <c r="W109" s="80" t="s">
        <v>1101</v>
      </c>
      <c r="X109" s="96" t="e">
        <f>+N109-#REF!</f>
        <v>#REF!</v>
      </c>
      <c r="Y109" s="94">
        <v>738837.87</v>
      </c>
      <c r="Z109" s="94">
        <f t="shared" si="12"/>
        <v>201266.52</v>
      </c>
      <c r="AB109" s="96" t="e">
        <f>+N109-#REF!</f>
        <v>#REF!</v>
      </c>
      <c r="AC109" s="27">
        <f>+N109-'[12]Приложение № 4'!E109</f>
        <v>0</v>
      </c>
      <c r="AE109" s="98" t="e">
        <f>+N109-#REF!</f>
        <v>#REF!</v>
      </c>
      <c r="AG109" s="101" t="s">
        <v>947</v>
      </c>
      <c r="AH109" s="102">
        <f t="shared" ref="AH109:AH132" si="14">SUM(AI109:AW109)</f>
        <v>346555.265163659</v>
      </c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>
        <v>301911.79997165903</v>
      </c>
      <c r="AV109" s="102">
        <v>44643.465192000003</v>
      </c>
      <c r="AW109" s="102"/>
    </row>
    <row r="110" spans="1:49" ht="15" x14ac:dyDescent="0.25">
      <c r="A110" s="76">
        <f t="shared" si="9"/>
        <v>98</v>
      </c>
      <c r="B110" s="77">
        <f t="shared" si="9"/>
        <v>98</v>
      </c>
      <c r="C110" s="77" t="s">
        <v>275</v>
      </c>
      <c r="D110" s="77" t="s">
        <v>948</v>
      </c>
      <c r="E110" s="78" t="s">
        <v>577</v>
      </c>
      <c r="F110" s="78"/>
      <c r="G110" s="78" t="s">
        <v>570</v>
      </c>
      <c r="H110" s="78" t="s">
        <v>575</v>
      </c>
      <c r="I110" s="78" t="s">
        <v>576</v>
      </c>
      <c r="J110" s="44">
        <v>1347.5</v>
      </c>
      <c r="K110" s="44">
        <v>868.2</v>
      </c>
      <c r="L110" s="44">
        <v>0</v>
      </c>
      <c r="M110" s="79">
        <v>37</v>
      </c>
      <c r="N110" s="72">
        <f t="shared" si="13"/>
        <v>284554.5</v>
      </c>
      <c r="O110" s="44">
        <v>0</v>
      </c>
      <c r="P110" s="44"/>
      <c r="Q110" s="44"/>
      <c r="R110" s="44">
        <f>+'[12]Приложение № 4'!E110</f>
        <v>284554.5</v>
      </c>
      <c r="S110" s="44"/>
      <c r="T110" s="44"/>
      <c r="U110" s="44">
        <v>4353.28</v>
      </c>
      <c r="V110" s="44">
        <v>4353.28</v>
      </c>
      <c r="W110" s="80" t="s">
        <v>1101</v>
      </c>
      <c r="X110" s="96" t="e">
        <f>+N110-#REF!</f>
        <v>#REF!</v>
      </c>
      <c r="Y110" s="94">
        <v>359975.76</v>
      </c>
      <c r="Z110" s="94">
        <f t="shared" si="12"/>
        <v>94807.44</v>
      </c>
      <c r="AB110" s="96" t="e">
        <f>+N110-#REF!</f>
        <v>#REF!</v>
      </c>
      <c r="AC110" s="27">
        <f>+N110-'[12]Приложение № 4'!E110</f>
        <v>0</v>
      </c>
      <c r="AE110" s="98" t="e">
        <f>+N110-#REF!</f>
        <v>#REF!</v>
      </c>
      <c r="AG110" s="101" t="s">
        <v>948</v>
      </c>
      <c r="AH110" s="102">
        <f t="shared" si="14"/>
        <v>285929.85103617836</v>
      </c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>
        <v>244367.23379617836</v>
      </c>
      <c r="AV110" s="102">
        <v>41562.61724</v>
      </c>
      <c r="AW110" s="102"/>
    </row>
    <row r="111" spans="1:49" ht="15" x14ac:dyDescent="0.25">
      <c r="A111" s="76">
        <f t="shared" si="9"/>
        <v>99</v>
      </c>
      <c r="B111" s="77">
        <f t="shared" si="9"/>
        <v>99</v>
      </c>
      <c r="C111" s="77" t="s">
        <v>275</v>
      </c>
      <c r="D111" s="77" t="s">
        <v>949</v>
      </c>
      <c r="E111" s="78" t="s">
        <v>605</v>
      </c>
      <c r="F111" s="78"/>
      <c r="G111" s="78" t="s">
        <v>570</v>
      </c>
      <c r="H111" s="78" t="s">
        <v>572</v>
      </c>
      <c r="I111" s="78" t="s">
        <v>1121</v>
      </c>
      <c r="J111" s="44">
        <v>867.9</v>
      </c>
      <c r="K111" s="44">
        <v>867.9</v>
      </c>
      <c r="L111" s="44">
        <v>0</v>
      </c>
      <c r="M111" s="79">
        <v>31</v>
      </c>
      <c r="N111" s="72">
        <f t="shared" si="13"/>
        <v>316646.27999999997</v>
      </c>
      <c r="O111" s="44">
        <v>0</v>
      </c>
      <c r="P111" s="44"/>
      <c r="Q111" s="44"/>
      <c r="R111" s="44">
        <f>+'[12]Приложение № 4'!E111</f>
        <v>316646.27999999997</v>
      </c>
      <c r="S111" s="44"/>
      <c r="T111" s="44"/>
      <c r="U111" s="44">
        <v>3325.32</v>
      </c>
      <c r="V111" s="44">
        <v>3325.32</v>
      </c>
      <c r="W111" s="80" t="s">
        <v>1101</v>
      </c>
      <c r="X111" s="96" t="e">
        <f>+N111-#REF!</f>
        <v>#REF!</v>
      </c>
      <c r="Y111" s="94">
        <v>332535.69</v>
      </c>
      <c r="Z111" s="94">
        <f t="shared" si="12"/>
        <v>94774.68</v>
      </c>
      <c r="AB111" s="96" t="e">
        <f>+N111-#REF!</f>
        <v>#REF!</v>
      </c>
      <c r="AC111" s="27">
        <f>+N111-'[12]Приложение № 4'!E111</f>
        <v>0</v>
      </c>
      <c r="AE111" s="98" t="e">
        <f>+N111-#REF!</f>
        <v>#REF!</v>
      </c>
      <c r="AG111" s="101" t="s">
        <v>949</v>
      </c>
      <c r="AH111" s="102">
        <f t="shared" si="14"/>
        <v>146188.50008610624</v>
      </c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>
        <v>122188.50008610624</v>
      </c>
      <c r="AV111" s="102">
        <v>24000</v>
      </c>
      <c r="AW111" s="102"/>
    </row>
    <row r="112" spans="1:49" ht="15" x14ac:dyDescent="0.25">
      <c r="A112" s="76">
        <f t="shared" si="9"/>
        <v>100</v>
      </c>
      <c r="B112" s="77">
        <f t="shared" si="9"/>
        <v>100</v>
      </c>
      <c r="C112" s="77" t="s">
        <v>275</v>
      </c>
      <c r="D112" s="77" t="s">
        <v>950</v>
      </c>
      <c r="E112" s="78" t="s">
        <v>620</v>
      </c>
      <c r="F112" s="78"/>
      <c r="G112" s="78" t="s">
        <v>570</v>
      </c>
      <c r="H112" s="78" t="s">
        <v>572</v>
      </c>
      <c r="I112" s="78" t="s">
        <v>1121</v>
      </c>
      <c r="J112" s="44">
        <v>932.6</v>
      </c>
      <c r="K112" s="44">
        <v>614.9</v>
      </c>
      <c r="L112" s="44">
        <v>0</v>
      </c>
      <c r="M112" s="79">
        <v>35</v>
      </c>
      <c r="N112" s="72">
        <f t="shared" si="13"/>
        <v>213070.32</v>
      </c>
      <c r="O112" s="44">
        <v>0</v>
      </c>
      <c r="P112" s="44"/>
      <c r="Q112" s="44"/>
      <c r="R112" s="44">
        <f>+'[12]Приложение № 4'!E112</f>
        <v>213070.32</v>
      </c>
      <c r="S112" s="44"/>
      <c r="T112" s="44"/>
      <c r="U112" s="44">
        <v>4353.28</v>
      </c>
      <c r="V112" s="44">
        <v>4353.28</v>
      </c>
      <c r="W112" s="80" t="s">
        <v>1101</v>
      </c>
      <c r="X112" s="96" t="e">
        <f>+N112-#REF!</f>
        <v>#REF!</v>
      </c>
      <c r="Y112" s="94">
        <v>237814.81</v>
      </c>
      <c r="Z112" s="94">
        <f t="shared" si="12"/>
        <v>67147.079999999987</v>
      </c>
      <c r="AB112" s="96" t="e">
        <f>+N112-#REF!</f>
        <v>#REF!</v>
      </c>
      <c r="AC112" s="27">
        <f>+N112-'[12]Приложение № 4'!E112</f>
        <v>0</v>
      </c>
      <c r="AE112" s="98" t="e">
        <f>+N112-#REF!</f>
        <v>#REF!</v>
      </c>
      <c r="AG112" s="101" t="s">
        <v>950</v>
      </c>
      <c r="AH112" s="102">
        <f t="shared" si="14"/>
        <v>214068.34323319409</v>
      </c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>
        <v>172630.03852279409</v>
      </c>
      <c r="AV112" s="102">
        <v>41438.3047104</v>
      </c>
      <c r="AW112" s="102"/>
    </row>
    <row r="113" spans="1:49" ht="15" x14ac:dyDescent="0.25">
      <c r="A113" s="76">
        <f t="shared" si="9"/>
        <v>101</v>
      </c>
      <c r="B113" s="77">
        <f t="shared" si="9"/>
        <v>101</v>
      </c>
      <c r="C113" s="77" t="s">
        <v>60</v>
      </c>
      <c r="D113" s="77" t="s">
        <v>1064</v>
      </c>
      <c r="E113" s="78" t="s">
        <v>591</v>
      </c>
      <c r="F113" s="78"/>
      <c r="G113" s="78" t="s">
        <v>570</v>
      </c>
      <c r="H113" s="78" t="s">
        <v>579</v>
      </c>
      <c r="I113" s="78" t="s">
        <v>572</v>
      </c>
      <c r="J113" s="44">
        <v>1530.5</v>
      </c>
      <c r="K113" s="44">
        <v>2772.4</v>
      </c>
      <c r="L113" s="44">
        <v>471.4</v>
      </c>
      <c r="M113" s="79">
        <v>77</v>
      </c>
      <c r="N113" s="72">
        <f t="shared" si="13"/>
        <v>777051.21</v>
      </c>
      <c r="O113" s="44">
        <v>0</v>
      </c>
      <c r="P113" s="44"/>
      <c r="Q113" s="44"/>
      <c r="R113" s="44">
        <f>+'[12]Приложение № 4'!E113</f>
        <v>777051.21</v>
      </c>
      <c r="S113" s="44"/>
      <c r="T113" s="44"/>
      <c r="U113" s="44">
        <v>4050.85</v>
      </c>
      <c r="V113" s="44">
        <v>4050.85</v>
      </c>
      <c r="W113" s="80" t="s">
        <v>1101</v>
      </c>
      <c r="X113" s="96" t="e">
        <f>+N113-#REF!</f>
        <v>#REF!</v>
      </c>
      <c r="Y113" s="94">
        <v>460756.76</v>
      </c>
      <c r="Z113" s="94">
        <f t="shared" si="12"/>
        <v>405643.272</v>
      </c>
      <c r="AB113" s="96" t="e">
        <f>+N113-#REF!</f>
        <v>#REF!</v>
      </c>
      <c r="AC113" s="27">
        <f>+N113-'[12]Приложение № 4'!E113</f>
        <v>0</v>
      </c>
      <c r="AE113" s="98" t="e">
        <f>+N113-#REF!</f>
        <v>#REF!</v>
      </c>
      <c r="AG113" s="101" t="s">
        <v>1064</v>
      </c>
      <c r="AH113" s="102">
        <f t="shared" si="14"/>
        <v>781042.58647428337</v>
      </c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>
        <v>739726.18698228337</v>
      </c>
      <c r="AV113" s="102">
        <v>41316.399491999997</v>
      </c>
      <c r="AW113" s="102"/>
    </row>
    <row r="114" spans="1:49" ht="15" x14ac:dyDescent="0.25">
      <c r="A114" s="76">
        <f t="shared" si="9"/>
        <v>102</v>
      </c>
      <c r="B114" s="77">
        <f t="shared" si="9"/>
        <v>102</v>
      </c>
      <c r="C114" s="77" t="s">
        <v>60</v>
      </c>
      <c r="D114" s="77" t="s">
        <v>1065</v>
      </c>
      <c r="E114" s="78" t="s">
        <v>585</v>
      </c>
      <c r="F114" s="78"/>
      <c r="G114" s="78" t="s">
        <v>570</v>
      </c>
      <c r="H114" s="78" t="s">
        <v>572</v>
      </c>
      <c r="I114" s="78" t="s">
        <v>572</v>
      </c>
      <c r="J114" s="44">
        <v>622.4</v>
      </c>
      <c r="K114" s="44">
        <v>577</v>
      </c>
      <c r="L114" s="44">
        <v>0</v>
      </c>
      <c r="M114" s="79">
        <v>28</v>
      </c>
      <c r="N114" s="72">
        <f t="shared" si="13"/>
        <v>112633.63</v>
      </c>
      <c r="O114" s="44">
        <v>0</v>
      </c>
      <c r="P114" s="44"/>
      <c r="Q114" s="44"/>
      <c r="R114" s="44">
        <f>+'[12]Приложение № 4'!E114</f>
        <v>112633.63</v>
      </c>
      <c r="S114" s="44"/>
      <c r="T114" s="44"/>
      <c r="U114" s="44">
        <v>904.09</v>
      </c>
      <c r="V114" s="44">
        <v>904.09</v>
      </c>
      <c r="W114" s="80" t="s">
        <v>1101</v>
      </c>
      <c r="X114" s="96" t="e">
        <f>+N114-#REF!</f>
        <v>#REF!</v>
      </c>
      <c r="Y114" s="94">
        <v>205108.83</v>
      </c>
      <c r="Z114" s="94">
        <f t="shared" si="12"/>
        <v>63008.399999999994</v>
      </c>
      <c r="AB114" s="96" t="e">
        <f>+N114-#REF!</f>
        <v>#REF!</v>
      </c>
      <c r="AC114" s="27">
        <f>+N114-'[12]Приложение № 4'!E114</f>
        <v>0</v>
      </c>
      <c r="AE114" s="98" t="e">
        <f>+N114-#REF!</f>
        <v>#REF!</v>
      </c>
      <c r="AG114" s="101" t="s">
        <v>1065</v>
      </c>
      <c r="AH114" s="102">
        <f t="shared" si="14"/>
        <v>113103.420864</v>
      </c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>
        <v>89103.420864</v>
      </c>
      <c r="AV114" s="102">
        <v>24000</v>
      </c>
      <c r="AW114" s="102"/>
    </row>
    <row r="115" spans="1:49" ht="15" x14ac:dyDescent="0.25">
      <c r="A115" s="76">
        <f t="shared" si="9"/>
        <v>103</v>
      </c>
      <c r="B115" s="77">
        <f t="shared" si="9"/>
        <v>103</v>
      </c>
      <c r="C115" s="77" t="s">
        <v>60</v>
      </c>
      <c r="D115" s="77" t="s">
        <v>1066</v>
      </c>
      <c r="E115" s="78" t="s">
        <v>605</v>
      </c>
      <c r="F115" s="78"/>
      <c r="G115" s="78" t="s">
        <v>570</v>
      </c>
      <c r="H115" s="78" t="s">
        <v>575</v>
      </c>
      <c r="I115" s="78" t="s">
        <v>576</v>
      </c>
      <c r="J115" s="44">
        <v>1090</v>
      </c>
      <c r="K115" s="44">
        <v>938</v>
      </c>
      <c r="L115" s="44">
        <v>0</v>
      </c>
      <c r="M115" s="79">
        <v>33</v>
      </c>
      <c r="N115" s="72">
        <f t="shared" si="13"/>
        <v>495351.51</v>
      </c>
      <c r="O115" s="44">
        <v>0</v>
      </c>
      <c r="P115" s="44"/>
      <c r="Q115" s="44"/>
      <c r="R115" s="44">
        <f>+'[12]Приложение № 4'!E115</f>
        <v>495351.51</v>
      </c>
      <c r="S115" s="44"/>
      <c r="T115" s="44"/>
      <c r="U115" s="44">
        <v>8772.26</v>
      </c>
      <c r="V115" s="44">
        <v>8772.26</v>
      </c>
      <c r="W115" s="80" t="s">
        <v>1101</v>
      </c>
      <c r="X115" s="96" t="e">
        <f>+N115-#REF!</f>
        <v>#REF!</v>
      </c>
      <c r="Y115" s="94">
        <v>406300.67</v>
      </c>
      <c r="Z115" s="94">
        <f t="shared" si="12"/>
        <v>102429.59999999999</v>
      </c>
      <c r="AB115" s="96" t="e">
        <f>+N115-#REF!</f>
        <v>#REF!</v>
      </c>
      <c r="AC115" s="27">
        <f>+N115-'[12]Приложение № 4'!E115</f>
        <v>0</v>
      </c>
      <c r="AE115" s="98" t="e">
        <f>+N115-#REF!</f>
        <v>#REF!</v>
      </c>
      <c r="AG115" s="101" t="s">
        <v>1066</v>
      </c>
      <c r="AH115" s="102">
        <f t="shared" si="14"/>
        <v>497849.77016469662</v>
      </c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>
        <v>456856.65640469664</v>
      </c>
      <c r="AV115" s="102">
        <v>40993.11376</v>
      </c>
      <c r="AW115" s="102"/>
    </row>
    <row r="116" spans="1:49" ht="15" x14ac:dyDescent="0.25">
      <c r="A116" s="76">
        <f t="shared" si="9"/>
        <v>104</v>
      </c>
      <c r="B116" s="77">
        <f t="shared" si="9"/>
        <v>104</v>
      </c>
      <c r="C116" s="77" t="s">
        <v>60</v>
      </c>
      <c r="D116" s="77" t="s">
        <v>1067</v>
      </c>
      <c r="E116" s="78" t="s">
        <v>591</v>
      </c>
      <c r="F116" s="78"/>
      <c r="G116" s="78" t="s">
        <v>570</v>
      </c>
      <c r="H116" s="78" t="s">
        <v>579</v>
      </c>
      <c r="I116" s="78" t="s">
        <v>572</v>
      </c>
      <c r="J116" s="44">
        <v>1550.6</v>
      </c>
      <c r="K116" s="44">
        <v>1422.7</v>
      </c>
      <c r="L116" s="44">
        <v>0</v>
      </c>
      <c r="M116" s="79">
        <v>61</v>
      </c>
      <c r="N116" s="72">
        <f t="shared" si="13"/>
        <v>219585.07</v>
      </c>
      <c r="O116" s="44">
        <v>0</v>
      </c>
      <c r="P116" s="44"/>
      <c r="Q116" s="44"/>
      <c r="R116" s="44">
        <f>+'[12]Приложение № 4'!E116</f>
        <v>219585.07</v>
      </c>
      <c r="S116" s="44"/>
      <c r="T116" s="44"/>
      <c r="U116" s="44">
        <v>1161.1300000000001</v>
      </c>
      <c r="V116" s="44">
        <v>1161.1300000000001</v>
      </c>
      <c r="W116" s="80" t="s">
        <v>1101</v>
      </c>
      <c r="X116" s="96" t="e">
        <f>+N116-#REF!</f>
        <v>#REF!</v>
      </c>
      <c r="Y116" s="94">
        <v>534785.07999999996</v>
      </c>
      <c r="Z116" s="94">
        <f t="shared" si="12"/>
        <v>155358.84</v>
      </c>
      <c r="AB116" s="96" t="e">
        <f>+N116-#REF!</f>
        <v>#REF!</v>
      </c>
      <c r="AC116" s="27">
        <f>+N116-'[12]Приложение № 4'!E116</f>
        <v>0</v>
      </c>
      <c r="AE116" s="98" t="e">
        <f>+N116-#REF!</f>
        <v>#REF!</v>
      </c>
      <c r="AG116" s="101" t="s">
        <v>1067</v>
      </c>
      <c r="AH116" s="102">
        <f t="shared" si="14"/>
        <v>220621.71978239997</v>
      </c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>
        <v>196621.71978239997</v>
      </c>
      <c r="AV116" s="102">
        <v>24000</v>
      </c>
      <c r="AW116" s="102"/>
    </row>
    <row r="117" spans="1:49" ht="15" x14ac:dyDescent="0.25">
      <c r="A117" s="76">
        <f t="shared" si="9"/>
        <v>105</v>
      </c>
      <c r="B117" s="77">
        <f t="shared" si="9"/>
        <v>105</v>
      </c>
      <c r="C117" s="77" t="s">
        <v>60</v>
      </c>
      <c r="D117" s="77" t="s">
        <v>951</v>
      </c>
      <c r="E117" s="78" t="s">
        <v>592</v>
      </c>
      <c r="F117" s="78"/>
      <c r="G117" s="78" t="s">
        <v>570</v>
      </c>
      <c r="H117" s="78" t="s">
        <v>579</v>
      </c>
      <c r="I117" s="78" t="s">
        <v>579</v>
      </c>
      <c r="J117" s="44">
        <v>2346.1999999999998</v>
      </c>
      <c r="K117" s="44">
        <v>2061.1999999999998</v>
      </c>
      <c r="L117" s="44">
        <v>0</v>
      </c>
      <c r="M117" s="79">
        <v>76</v>
      </c>
      <c r="N117" s="72">
        <f t="shared" si="13"/>
        <v>979401.28</v>
      </c>
      <c r="O117" s="44">
        <v>0</v>
      </c>
      <c r="P117" s="44"/>
      <c r="Q117" s="44"/>
      <c r="R117" s="44">
        <f>+'[12]Приложение № 4'!E117</f>
        <v>979401.28</v>
      </c>
      <c r="S117" s="44"/>
      <c r="T117" s="44"/>
      <c r="U117" s="44">
        <v>4867.75</v>
      </c>
      <c r="V117" s="44">
        <v>4867.75</v>
      </c>
      <c r="W117" s="80" t="s">
        <v>1101</v>
      </c>
      <c r="X117" s="96" t="e">
        <f>+N117-#REF!</f>
        <v>#REF!</v>
      </c>
      <c r="Y117" s="94">
        <v>325686.58</v>
      </c>
      <c r="Z117" s="94">
        <f t="shared" si="12"/>
        <v>225083.03999999998</v>
      </c>
      <c r="AB117" s="96" t="e">
        <f>+N117-#REF!</f>
        <v>#REF!</v>
      </c>
      <c r="AC117" s="27">
        <f>+N117-'[12]Приложение № 4'!E117</f>
        <v>0</v>
      </c>
      <c r="AE117" s="98" t="e">
        <f>+N117-#REF!</f>
        <v>#REF!</v>
      </c>
      <c r="AG117" s="101" t="s">
        <v>951</v>
      </c>
      <c r="AH117" s="102">
        <f t="shared" si="14"/>
        <v>984444.43867041601</v>
      </c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>
        <v>941670.91837761598</v>
      </c>
      <c r="AV117" s="102">
        <v>42773.5202928</v>
      </c>
      <c r="AW117" s="102"/>
    </row>
    <row r="118" spans="1:49" ht="15" x14ac:dyDescent="0.25">
      <c r="A118" s="76">
        <f t="shared" si="9"/>
        <v>106</v>
      </c>
      <c r="B118" s="77">
        <f t="shared" si="9"/>
        <v>106</v>
      </c>
      <c r="C118" s="77" t="s">
        <v>60</v>
      </c>
      <c r="D118" s="77" t="s">
        <v>952</v>
      </c>
      <c r="E118" s="78" t="s">
        <v>626</v>
      </c>
      <c r="F118" s="78"/>
      <c r="G118" s="78" t="s">
        <v>570</v>
      </c>
      <c r="H118" s="78" t="s">
        <v>579</v>
      </c>
      <c r="I118" s="78" t="s">
        <v>579</v>
      </c>
      <c r="J118" s="44">
        <v>2357.3000000000002</v>
      </c>
      <c r="K118" s="44">
        <v>2077</v>
      </c>
      <c r="L118" s="44">
        <v>0</v>
      </c>
      <c r="M118" s="79">
        <v>74</v>
      </c>
      <c r="N118" s="72">
        <f t="shared" si="13"/>
        <v>1060519.5599999998</v>
      </c>
      <c r="O118" s="44">
        <v>0</v>
      </c>
      <c r="P118" s="44"/>
      <c r="Q118" s="44"/>
      <c r="R118" s="44">
        <f>+'[12]Приложение № 4'!E118</f>
        <v>1060519.5599999998</v>
      </c>
      <c r="S118" s="44"/>
      <c r="T118" s="44"/>
      <c r="U118" s="44">
        <v>5789.61</v>
      </c>
      <c r="V118" s="44">
        <v>5789.61</v>
      </c>
      <c r="W118" s="80" t="s">
        <v>1101</v>
      </c>
      <c r="X118" s="96" t="e">
        <f>+N118-#REF!</f>
        <v>#REF!</v>
      </c>
      <c r="Y118" s="94">
        <v>304582.27</v>
      </c>
      <c r="Z118" s="94">
        <f t="shared" si="12"/>
        <v>226808.40000000002</v>
      </c>
      <c r="AB118" s="96" t="e">
        <f>+N118-#REF!</f>
        <v>#REF!</v>
      </c>
      <c r="AC118" s="27">
        <f>+N118-'[12]Приложение № 4'!E118</f>
        <v>0</v>
      </c>
      <c r="AE118" s="98" t="e">
        <f>+N118-#REF!</f>
        <v>#REF!</v>
      </c>
      <c r="AG118" s="101" t="s">
        <v>952</v>
      </c>
      <c r="AH118" s="102">
        <f t="shared" si="14"/>
        <v>1065990.8748491961</v>
      </c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>
        <v>1023197.526137996</v>
      </c>
      <c r="AV118" s="102">
        <v>42793.3487112</v>
      </c>
      <c r="AW118" s="102"/>
    </row>
    <row r="119" spans="1:49" ht="15" x14ac:dyDescent="0.25">
      <c r="A119" s="76">
        <f t="shared" si="9"/>
        <v>107</v>
      </c>
      <c r="B119" s="77">
        <f t="shared" si="9"/>
        <v>107</v>
      </c>
      <c r="C119" s="77" t="s">
        <v>60</v>
      </c>
      <c r="D119" s="77" t="s">
        <v>953</v>
      </c>
      <c r="E119" s="78" t="s">
        <v>609</v>
      </c>
      <c r="F119" s="78"/>
      <c r="G119" s="78" t="s">
        <v>570</v>
      </c>
      <c r="H119" s="78" t="s">
        <v>579</v>
      </c>
      <c r="I119" s="78" t="s">
        <v>579</v>
      </c>
      <c r="J119" s="44">
        <v>2308.9</v>
      </c>
      <c r="K119" s="44">
        <v>2086</v>
      </c>
      <c r="L119" s="44">
        <v>0</v>
      </c>
      <c r="M119" s="79">
        <v>71</v>
      </c>
      <c r="N119" s="72">
        <f t="shared" si="13"/>
        <v>1130630.8899999999</v>
      </c>
      <c r="O119" s="44">
        <v>0</v>
      </c>
      <c r="P119" s="44"/>
      <c r="Q119" s="44"/>
      <c r="R119" s="44">
        <f>+'[12]Приложение № 4'!E119</f>
        <v>1130630.8899999999</v>
      </c>
      <c r="S119" s="44"/>
      <c r="T119" s="44"/>
      <c r="U119" s="44">
        <v>5772.79</v>
      </c>
      <c r="V119" s="44">
        <v>5772.79</v>
      </c>
      <c r="W119" s="80" t="s">
        <v>1101</v>
      </c>
      <c r="X119" s="96" t="e">
        <f>+N119-#REF!</f>
        <v>#REF!</v>
      </c>
      <c r="Y119" s="94">
        <v>346415.08</v>
      </c>
      <c r="Z119" s="94">
        <f t="shared" si="12"/>
        <v>227791.19999999998</v>
      </c>
      <c r="AB119" s="96" t="e">
        <f>+N119-#REF!</f>
        <v>#REF!</v>
      </c>
      <c r="AC119" s="27">
        <f>+N119-'[12]Приложение № 4'!E119</f>
        <v>0</v>
      </c>
      <c r="AE119" s="98" t="e">
        <f>+N119-#REF!</f>
        <v>#REF!</v>
      </c>
      <c r="AG119" s="101" t="s">
        <v>953</v>
      </c>
      <c r="AH119" s="102">
        <f t="shared" si="14"/>
        <v>1136472.2892434057</v>
      </c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>
        <v>1093765.3995818056</v>
      </c>
      <c r="AV119" s="102">
        <v>42706.889661599998</v>
      </c>
      <c r="AW119" s="102"/>
    </row>
    <row r="120" spans="1:49" ht="15" x14ac:dyDescent="0.25">
      <c r="A120" s="76">
        <f t="shared" si="9"/>
        <v>108</v>
      </c>
      <c r="B120" s="77">
        <f t="shared" si="9"/>
        <v>108</v>
      </c>
      <c r="C120" s="77" t="s">
        <v>60</v>
      </c>
      <c r="D120" s="77" t="s">
        <v>954</v>
      </c>
      <c r="E120" s="78" t="s">
        <v>610</v>
      </c>
      <c r="F120" s="78"/>
      <c r="G120" s="78" t="s">
        <v>570</v>
      </c>
      <c r="H120" s="78" t="s">
        <v>582</v>
      </c>
      <c r="I120" s="78" t="s">
        <v>579</v>
      </c>
      <c r="J120" s="44">
        <v>3459.2</v>
      </c>
      <c r="K120" s="44">
        <v>3025</v>
      </c>
      <c r="L120" s="44">
        <v>108</v>
      </c>
      <c r="M120" s="79">
        <v>131</v>
      </c>
      <c r="N120" s="72">
        <f t="shared" si="13"/>
        <v>1051018.73</v>
      </c>
      <c r="O120" s="44">
        <v>0</v>
      </c>
      <c r="P120" s="44"/>
      <c r="Q120" s="44"/>
      <c r="R120" s="44">
        <f>+'[12]Приложение № 4'!E120</f>
        <v>1051018.73</v>
      </c>
      <c r="S120" s="44"/>
      <c r="T120" s="44"/>
      <c r="U120" s="44">
        <v>4549.0200000000004</v>
      </c>
      <c r="V120" s="44">
        <v>4549.0200000000004</v>
      </c>
      <c r="W120" s="80" t="s">
        <v>1101</v>
      </c>
      <c r="X120" s="96" t="e">
        <f>+N120-#REF!</f>
        <v>#REF!</v>
      </c>
      <c r="Y120" s="94">
        <v>980873.14</v>
      </c>
      <c r="Z120" s="94">
        <f t="shared" si="12"/>
        <v>353904.24</v>
      </c>
      <c r="AB120" s="96" t="e">
        <f>+N120-#REF!</f>
        <v>#REF!</v>
      </c>
      <c r="AC120" s="27">
        <f>+N120-'[12]Приложение № 4'!E120</f>
        <v>0</v>
      </c>
      <c r="AE120" s="98" t="e">
        <f>+N120-#REF!</f>
        <v>#REF!</v>
      </c>
      <c r="AG120" s="101" t="s">
        <v>954</v>
      </c>
      <c r="AH120" s="102">
        <f t="shared" si="14"/>
        <v>1063018.7138930743</v>
      </c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>
        <v>1039018.7138930743</v>
      </c>
      <c r="AV120" s="102">
        <v>24000</v>
      </c>
      <c r="AW120" s="102"/>
    </row>
    <row r="121" spans="1:49" ht="15" x14ac:dyDescent="0.25">
      <c r="A121" s="76">
        <f t="shared" si="9"/>
        <v>109</v>
      </c>
      <c r="B121" s="77">
        <f t="shared" si="9"/>
        <v>109</v>
      </c>
      <c r="C121" s="77" t="s">
        <v>60</v>
      </c>
      <c r="D121" s="77" t="s">
        <v>955</v>
      </c>
      <c r="E121" s="78" t="s">
        <v>1120</v>
      </c>
      <c r="F121" s="78"/>
      <c r="G121" s="78" t="s">
        <v>570</v>
      </c>
      <c r="H121" s="78" t="s">
        <v>582</v>
      </c>
      <c r="I121" s="78" t="s">
        <v>575</v>
      </c>
      <c r="J121" s="44">
        <v>5104.3</v>
      </c>
      <c r="K121" s="44">
        <v>8567.7000000000007</v>
      </c>
      <c r="L121" s="44">
        <v>547.70000000000005</v>
      </c>
      <c r="M121" s="79">
        <v>144</v>
      </c>
      <c r="N121" s="72">
        <f t="shared" si="13"/>
        <v>865571.13</v>
      </c>
      <c r="O121" s="44">
        <v>0</v>
      </c>
      <c r="P121" s="44"/>
      <c r="Q121" s="44"/>
      <c r="R121" s="44">
        <f>+'[12]Приложение № 4'!E121</f>
        <v>865571.13</v>
      </c>
      <c r="S121" s="44"/>
      <c r="T121" s="44"/>
      <c r="U121" s="44">
        <v>1864.25</v>
      </c>
      <c r="V121" s="44">
        <v>1864.25</v>
      </c>
      <c r="W121" s="80" t="s">
        <v>1101</v>
      </c>
      <c r="X121" s="96" t="e">
        <f>+N121-#REF!</f>
        <v>#REF!</v>
      </c>
      <c r="Y121" s="94">
        <v>1455916.43</v>
      </c>
      <c r="Z121" s="94">
        <f t="shared" si="12"/>
        <v>1055144.7960000001</v>
      </c>
      <c r="AB121" s="96" t="e">
        <f>+N121-#REF!</f>
        <v>#REF!</v>
      </c>
      <c r="AC121" s="27">
        <f>+N121-'[12]Приложение № 4'!E121</f>
        <v>0</v>
      </c>
      <c r="AE121" s="98" t="e">
        <f>+N121-#REF!</f>
        <v>#REF!</v>
      </c>
      <c r="AG121" s="101" t="s">
        <v>955</v>
      </c>
      <c r="AH121" s="102">
        <f t="shared" si="14"/>
        <v>751643.04666558723</v>
      </c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>
        <v>705245.18751198729</v>
      </c>
      <c r="AV121" s="102">
        <v>46397.859153600002</v>
      </c>
      <c r="AW121" s="102"/>
    </row>
    <row r="122" spans="1:49" ht="15" x14ac:dyDescent="0.25">
      <c r="A122" s="76">
        <f t="shared" si="9"/>
        <v>110</v>
      </c>
      <c r="B122" s="77">
        <f t="shared" si="9"/>
        <v>110</v>
      </c>
      <c r="C122" s="77" t="s">
        <v>60</v>
      </c>
      <c r="D122" s="77" t="s">
        <v>956</v>
      </c>
      <c r="E122" s="78" t="s">
        <v>1122</v>
      </c>
      <c r="F122" s="78"/>
      <c r="G122" s="78" t="s">
        <v>570</v>
      </c>
      <c r="H122" s="78" t="s">
        <v>572</v>
      </c>
      <c r="I122" s="78" t="s">
        <v>572</v>
      </c>
      <c r="J122" s="44">
        <v>620.9</v>
      </c>
      <c r="K122" s="44">
        <v>1710.4</v>
      </c>
      <c r="L122" s="44">
        <v>325</v>
      </c>
      <c r="M122" s="79">
        <v>43</v>
      </c>
      <c r="N122" s="72">
        <f t="shared" si="13"/>
        <v>206798.07999999999</v>
      </c>
      <c r="O122" s="44">
        <v>0</v>
      </c>
      <c r="P122" s="44"/>
      <c r="Q122" s="44"/>
      <c r="R122" s="44">
        <f>+'[12]Приложение № 4'!E122</f>
        <v>206798.07999999999</v>
      </c>
      <c r="S122" s="44"/>
      <c r="T122" s="44"/>
      <c r="U122" s="44">
        <v>2935.68</v>
      </c>
      <c r="V122" s="44">
        <v>2935.68</v>
      </c>
      <c r="W122" s="80" t="s">
        <v>1101</v>
      </c>
      <c r="X122" s="96" t="e">
        <f>+N122-#REF!</f>
        <v>#REF!</v>
      </c>
      <c r="Y122" s="94">
        <v>309304.64</v>
      </c>
      <c r="Z122" s="94">
        <f t="shared" si="12"/>
        <v>257716.68</v>
      </c>
      <c r="AB122" s="96" t="e">
        <f>+N122-#REF!</f>
        <v>#REF!</v>
      </c>
      <c r="AC122" s="27">
        <f>+N122-'[12]Приложение № 4'!E122</f>
        <v>0</v>
      </c>
      <c r="AE122" s="98" t="e">
        <f>+N122-#REF!</f>
        <v>#REF!</v>
      </c>
      <c r="AG122" s="101" t="s">
        <v>956</v>
      </c>
      <c r="AH122" s="102">
        <f t="shared" si="14"/>
        <v>220798.07952000003</v>
      </c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>
        <v>196798.07952000003</v>
      </c>
      <c r="AV122" s="102">
        <v>24000</v>
      </c>
      <c r="AW122" s="102"/>
    </row>
    <row r="123" spans="1:49" ht="15" x14ac:dyDescent="0.25">
      <c r="A123" s="76">
        <f t="shared" si="9"/>
        <v>111</v>
      </c>
      <c r="B123" s="77">
        <f t="shared" si="9"/>
        <v>111</v>
      </c>
      <c r="C123" s="77" t="s">
        <v>568</v>
      </c>
      <c r="D123" s="77" t="s">
        <v>1006</v>
      </c>
      <c r="E123" s="78" t="s">
        <v>584</v>
      </c>
      <c r="F123" s="78"/>
      <c r="G123" s="78" t="s">
        <v>570</v>
      </c>
      <c r="H123" s="78" t="s">
        <v>582</v>
      </c>
      <c r="I123" s="78" t="s">
        <v>579</v>
      </c>
      <c r="J123" s="44">
        <v>2793.1</v>
      </c>
      <c r="K123" s="44">
        <v>2478.8000000000002</v>
      </c>
      <c r="L123" s="44">
        <v>0</v>
      </c>
      <c r="M123" s="79">
        <v>97</v>
      </c>
      <c r="N123" s="72">
        <f t="shared" si="13"/>
        <v>630100.6</v>
      </c>
      <c r="O123" s="44">
        <v>0</v>
      </c>
      <c r="P123" s="44"/>
      <c r="Q123" s="44"/>
      <c r="R123" s="44">
        <f>+'[12]Приложение № 4'!E123</f>
        <v>630100.6</v>
      </c>
      <c r="S123" s="44"/>
      <c r="T123" s="44"/>
      <c r="U123" s="44">
        <v>1961.28</v>
      </c>
      <c r="V123" s="44">
        <v>1961.28</v>
      </c>
      <c r="W123" s="80" t="s">
        <v>1101</v>
      </c>
      <c r="X123" s="96" t="e">
        <f>+N123-#REF!</f>
        <v>#REF!</v>
      </c>
      <c r="Y123" s="94">
        <v>828198.71</v>
      </c>
      <c r="Z123" s="94">
        <f t="shared" si="12"/>
        <v>270684.96000000002</v>
      </c>
      <c r="AB123" s="96" t="e">
        <f>+N123-#REF!</f>
        <v>#REF!</v>
      </c>
      <c r="AC123" s="27">
        <f>+N123-'[12]Приложение № 4'!E123</f>
        <v>0</v>
      </c>
      <c r="AE123" s="98" t="e">
        <f>+N123-#REF!</f>
        <v>#REF!</v>
      </c>
      <c r="AG123" s="101" t="s">
        <v>1006</v>
      </c>
      <c r="AH123" s="102">
        <f t="shared" si="14"/>
        <v>659811.70527286374</v>
      </c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>
        <v>616952.64462166373</v>
      </c>
      <c r="AV123" s="102">
        <v>42859.060651200001</v>
      </c>
      <c r="AW123" s="102"/>
    </row>
    <row r="124" spans="1:49" ht="15" x14ac:dyDescent="0.25">
      <c r="A124" s="76">
        <f t="shared" si="9"/>
        <v>112</v>
      </c>
      <c r="B124" s="77">
        <f t="shared" si="9"/>
        <v>112</v>
      </c>
      <c r="C124" s="77" t="s">
        <v>568</v>
      </c>
      <c r="D124" s="77" t="s">
        <v>1156</v>
      </c>
      <c r="E124" s="78">
        <v>1980</v>
      </c>
      <c r="F124" s="78">
        <v>2013</v>
      </c>
      <c r="G124" s="78" t="s">
        <v>51</v>
      </c>
      <c r="H124" s="78">
        <v>4</v>
      </c>
      <c r="I124" s="78">
        <v>4</v>
      </c>
      <c r="J124" s="44">
        <v>3666.2</v>
      </c>
      <c r="K124" s="44">
        <v>3438.3</v>
      </c>
      <c r="L124" s="44">
        <v>0</v>
      </c>
      <c r="M124" s="79">
        <v>147</v>
      </c>
      <c r="N124" s="72">
        <f t="shared" si="13"/>
        <v>24000</v>
      </c>
      <c r="O124" s="44"/>
      <c r="P124" s="44"/>
      <c r="Q124" s="44"/>
      <c r="R124" s="44">
        <f>+'[12]Приложение № 4'!E124</f>
        <v>24000</v>
      </c>
      <c r="S124" s="44"/>
      <c r="T124" s="44"/>
      <c r="U124" s="44">
        <f t="shared" ref="U124:V128" si="15">$N124/($K124+$L124)</f>
        <v>6.9801937003751853</v>
      </c>
      <c r="V124" s="44">
        <f t="shared" si="15"/>
        <v>6.9801937003751853</v>
      </c>
      <c r="W124" s="80" t="s">
        <v>1101</v>
      </c>
      <c r="AC124" s="27">
        <f>+N124-'[12]Приложение № 4'!E124</f>
        <v>0</v>
      </c>
      <c r="AG124" s="107" t="s">
        <v>1156</v>
      </c>
      <c r="AH124" s="102">
        <f t="shared" si="14"/>
        <v>626853.32070000004</v>
      </c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6">
        <v>626853.32070000004</v>
      </c>
      <c r="AW124" s="106"/>
    </row>
    <row r="125" spans="1:49" ht="15" x14ac:dyDescent="0.25">
      <c r="A125" s="76">
        <f t="shared" si="9"/>
        <v>113</v>
      </c>
      <c r="B125" s="77">
        <f t="shared" si="9"/>
        <v>113</v>
      </c>
      <c r="C125" s="77" t="s">
        <v>568</v>
      </c>
      <c r="D125" s="77" t="s">
        <v>1157</v>
      </c>
      <c r="E125" s="78">
        <v>1987</v>
      </c>
      <c r="F125" s="78">
        <v>1987</v>
      </c>
      <c r="G125" s="78" t="s">
        <v>44</v>
      </c>
      <c r="H125" s="78">
        <v>2</v>
      </c>
      <c r="I125" s="78">
        <v>3</v>
      </c>
      <c r="J125" s="44">
        <v>921.2</v>
      </c>
      <c r="K125" s="44">
        <v>834.2</v>
      </c>
      <c r="L125" s="44">
        <v>0</v>
      </c>
      <c r="M125" s="79">
        <v>40</v>
      </c>
      <c r="N125" s="72">
        <f t="shared" si="13"/>
        <v>24000</v>
      </c>
      <c r="O125" s="44"/>
      <c r="P125" s="44"/>
      <c r="Q125" s="44"/>
      <c r="R125" s="44">
        <f>+'[12]Приложение № 4'!E125</f>
        <v>24000</v>
      </c>
      <c r="S125" s="44"/>
      <c r="T125" s="44"/>
      <c r="U125" s="44">
        <f t="shared" si="15"/>
        <v>28.770079117717572</v>
      </c>
      <c r="V125" s="44">
        <f t="shared" si="15"/>
        <v>28.770079117717572</v>
      </c>
      <c r="W125" s="80" t="s">
        <v>1101</v>
      </c>
      <c r="AC125" s="27">
        <f>+N125-'[12]Приложение № 4'!E125</f>
        <v>0</v>
      </c>
      <c r="AG125" s="107" t="s">
        <v>1157</v>
      </c>
      <c r="AH125" s="102">
        <f t="shared" si="14"/>
        <v>266070.50920000003</v>
      </c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6">
        <v>266070.50920000003</v>
      </c>
      <c r="AW125" s="106"/>
    </row>
    <row r="126" spans="1:49" ht="15" x14ac:dyDescent="0.25">
      <c r="A126" s="76">
        <f t="shared" si="9"/>
        <v>114</v>
      </c>
      <c r="B126" s="77">
        <f t="shared" si="9"/>
        <v>114</v>
      </c>
      <c r="C126" s="77" t="s">
        <v>568</v>
      </c>
      <c r="D126" s="77" t="s">
        <v>1158</v>
      </c>
      <c r="E126" s="78">
        <v>1993</v>
      </c>
      <c r="F126" s="78">
        <v>2005</v>
      </c>
      <c r="G126" s="78" t="s">
        <v>44</v>
      </c>
      <c r="H126" s="78">
        <v>2</v>
      </c>
      <c r="I126" s="78">
        <v>3</v>
      </c>
      <c r="J126" s="44">
        <v>1053</v>
      </c>
      <c r="K126" s="44">
        <v>899.4</v>
      </c>
      <c r="L126" s="44">
        <v>0</v>
      </c>
      <c r="M126" s="79">
        <v>34</v>
      </c>
      <c r="N126" s="72">
        <f t="shared" si="13"/>
        <v>24000</v>
      </c>
      <c r="O126" s="44"/>
      <c r="P126" s="44"/>
      <c r="Q126" s="44"/>
      <c r="R126" s="44">
        <f>+'[12]Приложение № 4'!E126</f>
        <v>24000</v>
      </c>
      <c r="S126" s="44"/>
      <c r="T126" s="44"/>
      <c r="U126" s="44">
        <f t="shared" si="15"/>
        <v>26.684456304202804</v>
      </c>
      <c r="V126" s="44">
        <f t="shared" si="15"/>
        <v>26.684456304202804</v>
      </c>
      <c r="W126" s="80" t="s">
        <v>1101</v>
      </c>
      <c r="AC126" s="27">
        <f>+N126-'[12]Приложение № 4'!E126</f>
        <v>0</v>
      </c>
      <c r="AG126" s="107" t="s">
        <v>1158</v>
      </c>
      <c r="AH126" s="102">
        <f t="shared" si="14"/>
        <v>286866.23820000002</v>
      </c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6">
        <v>286866.23820000002</v>
      </c>
      <c r="AW126" s="106"/>
    </row>
    <row r="127" spans="1:49" ht="15" x14ac:dyDescent="0.25">
      <c r="A127" s="76">
        <f t="shared" si="9"/>
        <v>115</v>
      </c>
      <c r="B127" s="77">
        <f t="shared" si="9"/>
        <v>115</v>
      </c>
      <c r="C127" s="77" t="s">
        <v>568</v>
      </c>
      <c r="D127" s="77" t="s">
        <v>1159</v>
      </c>
      <c r="E127" s="78">
        <v>1978</v>
      </c>
      <c r="F127" s="78">
        <v>1996</v>
      </c>
      <c r="G127" s="78" t="s">
        <v>44</v>
      </c>
      <c r="H127" s="78">
        <v>2</v>
      </c>
      <c r="I127" s="78">
        <v>2</v>
      </c>
      <c r="J127" s="44">
        <v>686.4</v>
      </c>
      <c r="K127" s="44">
        <v>611</v>
      </c>
      <c r="L127" s="44">
        <v>0</v>
      </c>
      <c r="M127" s="79">
        <v>32</v>
      </c>
      <c r="N127" s="72">
        <f t="shared" si="13"/>
        <v>24000</v>
      </c>
      <c r="O127" s="44"/>
      <c r="P127" s="44"/>
      <c r="Q127" s="44"/>
      <c r="R127" s="44">
        <f>+'[12]Приложение № 4'!E127</f>
        <v>24000</v>
      </c>
      <c r="S127" s="44"/>
      <c r="T127" s="44"/>
      <c r="U127" s="44">
        <f t="shared" si="15"/>
        <v>39.279869067103107</v>
      </c>
      <c r="V127" s="44">
        <f t="shared" si="15"/>
        <v>39.279869067103107</v>
      </c>
      <c r="W127" s="80" t="s">
        <v>1101</v>
      </c>
      <c r="AC127" s="27">
        <f>+N127-'[12]Приложение № 4'!E127</f>
        <v>0</v>
      </c>
      <c r="AG127" s="107" t="s">
        <v>1159</v>
      </c>
      <c r="AH127" s="102">
        <f t="shared" si="14"/>
        <v>194880.2219</v>
      </c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6">
        <v>194880.2219</v>
      </c>
      <c r="AW127" s="106"/>
    </row>
    <row r="128" spans="1:49" ht="15" x14ac:dyDescent="0.25">
      <c r="A128" s="76">
        <f t="shared" si="9"/>
        <v>116</v>
      </c>
      <c r="B128" s="77">
        <f t="shared" si="9"/>
        <v>116</v>
      </c>
      <c r="C128" s="77" t="s">
        <v>568</v>
      </c>
      <c r="D128" s="77" t="s">
        <v>1160</v>
      </c>
      <c r="E128" s="78">
        <v>1979</v>
      </c>
      <c r="F128" s="78">
        <v>1996</v>
      </c>
      <c r="G128" s="78" t="s">
        <v>44</v>
      </c>
      <c r="H128" s="78">
        <v>2</v>
      </c>
      <c r="I128" s="78">
        <v>2</v>
      </c>
      <c r="J128" s="44">
        <v>686.8</v>
      </c>
      <c r="K128" s="44">
        <v>610.6</v>
      </c>
      <c r="L128" s="44">
        <v>0</v>
      </c>
      <c r="M128" s="79">
        <v>28</v>
      </c>
      <c r="N128" s="72">
        <f t="shared" si="13"/>
        <v>24000</v>
      </c>
      <c r="O128" s="44"/>
      <c r="P128" s="44"/>
      <c r="Q128" s="44"/>
      <c r="R128" s="44">
        <f>+'[12]Приложение № 4'!E128</f>
        <v>24000</v>
      </c>
      <c r="S128" s="44"/>
      <c r="T128" s="44"/>
      <c r="U128" s="44">
        <f t="shared" si="15"/>
        <v>39.305601048149363</v>
      </c>
      <c r="V128" s="44">
        <f t="shared" si="15"/>
        <v>39.305601048149363</v>
      </c>
      <c r="W128" s="80" t="s">
        <v>1101</v>
      </c>
      <c r="AC128" s="27">
        <f>+N128-'[12]Приложение № 4'!E128</f>
        <v>0</v>
      </c>
      <c r="AG128" s="107" t="s">
        <v>1160</v>
      </c>
      <c r="AH128" s="102">
        <f t="shared" si="14"/>
        <v>194752.64080000002</v>
      </c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6">
        <v>194752.64080000002</v>
      </c>
      <c r="AW128" s="106"/>
    </row>
    <row r="129" spans="1:49" ht="15" x14ac:dyDescent="0.25">
      <c r="A129" s="76">
        <f t="shared" si="9"/>
        <v>117</v>
      </c>
      <c r="B129" s="77">
        <f t="shared" si="9"/>
        <v>117</v>
      </c>
      <c r="C129" s="77" t="s">
        <v>568</v>
      </c>
      <c r="D129" s="77" t="s">
        <v>851</v>
      </c>
      <c r="E129" s="78" t="s">
        <v>1103</v>
      </c>
      <c r="F129" s="78"/>
      <c r="G129" s="78" t="s">
        <v>570</v>
      </c>
      <c r="H129" s="78" t="s">
        <v>579</v>
      </c>
      <c r="I129" s="78" t="s">
        <v>572</v>
      </c>
      <c r="J129" s="44">
        <v>1357.6</v>
      </c>
      <c r="K129" s="44">
        <v>1259.3</v>
      </c>
      <c r="L129" s="44">
        <v>0</v>
      </c>
      <c r="M129" s="79">
        <v>70</v>
      </c>
      <c r="N129" s="72">
        <f>+P129+Q129+R129+S129+T129</f>
        <v>1182275.27</v>
      </c>
      <c r="O129" s="44">
        <v>0</v>
      </c>
      <c r="P129" s="44"/>
      <c r="Q129" s="44"/>
      <c r="R129" s="44">
        <f>+'[12]Приложение № 4'!E129</f>
        <v>1182275.27</v>
      </c>
      <c r="S129" s="44"/>
      <c r="T129" s="44"/>
      <c r="U129" s="44">
        <v>7042.17</v>
      </c>
      <c r="V129" s="44">
        <v>7042.17</v>
      </c>
      <c r="W129" s="80" t="s">
        <v>1101</v>
      </c>
      <c r="X129" s="96" t="e">
        <f>+N129-#REF!</f>
        <v>#REF!</v>
      </c>
      <c r="Y129" s="94">
        <v>471220.78</v>
      </c>
      <c r="Z129" s="94">
        <f>+(K129*9.1+L129*18.19)*12</f>
        <v>137515.56</v>
      </c>
      <c r="AB129" s="96" t="e">
        <f>+N129-#REF!</f>
        <v>#REF!</v>
      </c>
      <c r="AC129" s="27">
        <f>+N129-'[12]Приложение № 4'!E129</f>
        <v>0</v>
      </c>
      <c r="AE129" s="98" t="e">
        <f>+N129-#REF!</f>
        <v>#REF!</v>
      </c>
      <c r="AG129" s="101" t="s">
        <v>851</v>
      </c>
      <c r="AH129" s="102">
        <f>SUM(AI129:AW129)</f>
        <v>1200341.336603638</v>
      </c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>
        <v>1159333.795989238</v>
      </c>
      <c r="AV129" s="102">
        <v>41007.540614400001</v>
      </c>
      <c r="AW129" s="102"/>
    </row>
    <row r="130" spans="1:49" ht="15" x14ac:dyDescent="0.25">
      <c r="A130" s="76">
        <f t="shared" si="9"/>
        <v>118</v>
      </c>
      <c r="B130" s="77">
        <f t="shared" si="9"/>
        <v>118</v>
      </c>
      <c r="C130" s="77" t="s">
        <v>568</v>
      </c>
      <c r="D130" s="77" t="s">
        <v>852</v>
      </c>
      <c r="E130" s="78" t="s">
        <v>1108</v>
      </c>
      <c r="F130" s="78"/>
      <c r="G130" s="78" t="s">
        <v>570</v>
      </c>
      <c r="H130" s="78" t="s">
        <v>579</v>
      </c>
      <c r="I130" s="78" t="s">
        <v>572</v>
      </c>
      <c r="J130" s="44">
        <v>1296.0999999999999</v>
      </c>
      <c r="K130" s="44">
        <v>1199.4000000000001</v>
      </c>
      <c r="L130" s="44">
        <v>0</v>
      </c>
      <c r="M130" s="79">
        <v>75</v>
      </c>
      <c r="N130" s="72">
        <f>+P130+Q130+R130+S130+T130</f>
        <v>1178062.1200000001</v>
      </c>
      <c r="O130" s="44">
        <v>0</v>
      </c>
      <c r="P130" s="44"/>
      <c r="Q130" s="44"/>
      <c r="R130" s="44">
        <f>+'[12]Приложение № 4'!E130</f>
        <v>1178062.1200000001</v>
      </c>
      <c r="S130" s="44"/>
      <c r="T130" s="44"/>
      <c r="U130" s="44">
        <v>7042.17</v>
      </c>
      <c r="V130" s="44">
        <v>7042.17</v>
      </c>
      <c r="W130" s="80" t="s">
        <v>1101</v>
      </c>
      <c r="X130" s="96" t="e">
        <f>+N130-#REF!</f>
        <v>#REF!</v>
      </c>
      <c r="Y130" s="94">
        <v>429688.15</v>
      </c>
      <c r="Z130" s="94">
        <f>+(K130*9.1+L130*18.19)*12</f>
        <v>130974.48000000001</v>
      </c>
      <c r="AB130" s="96" t="e">
        <f>+N130-#REF!</f>
        <v>#REF!</v>
      </c>
      <c r="AC130" s="27">
        <f>+N130-'[12]Приложение № 4'!E130</f>
        <v>0</v>
      </c>
      <c r="AE130" s="98" t="e">
        <f>+N130-#REF!</f>
        <v>#REF!</v>
      </c>
      <c r="AG130" s="101" t="s">
        <v>852</v>
      </c>
      <c r="AH130" s="102">
        <f>SUM(AI130:AW130)</f>
        <v>1196106.3779590626</v>
      </c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>
        <v>1155208.6975006626</v>
      </c>
      <c r="AV130" s="102">
        <v>40897.680458400006</v>
      </c>
      <c r="AW130" s="102"/>
    </row>
    <row r="131" spans="1:49" ht="15" x14ac:dyDescent="0.25">
      <c r="A131" s="76">
        <f t="shared" si="9"/>
        <v>119</v>
      </c>
      <c r="B131" s="77">
        <f t="shared" si="9"/>
        <v>119</v>
      </c>
      <c r="C131" s="77" t="s">
        <v>568</v>
      </c>
      <c r="D131" s="77" t="s">
        <v>853</v>
      </c>
      <c r="E131" s="78" t="s">
        <v>599</v>
      </c>
      <c r="F131" s="78"/>
      <c r="G131" s="78" t="s">
        <v>570</v>
      </c>
      <c r="H131" s="78" t="s">
        <v>572</v>
      </c>
      <c r="I131" s="78" t="s">
        <v>572</v>
      </c>
      <c r="J131" s="44">
        <v>679.4</v>
      </c>
      <c r="K131" s="44">
        <v>425.1</v>
      </c>
      <c r="L131" s="44">
        <v>0</v>
      </c>
      <c r="M131" s="79">
        <v>38</v>
      </c>
      <c r="N131" s="72">
        <f>+P131+Q131+R131+S131+T131</f>
        <v>125146.44</v>
      </c>
      <c r="O131" s="44">
        <v>0</v>
      </c>
      <c r="P131" s="44"/>
      <c r="Q131" s="44"/>
      <c r="R131" s="44">
        <f>+'[12]Приложение № 4'!E131</f>
        <v>125146.44</v>
      </c>
      <c r="S131" s="44"/>
      <c r="T131" s="44"/>
      <c r="U131" s="44">
        <v>2840.95</v>
      </c>
      <c r="V131" s="44">
        <v>2840.95</v>
      </c>
      <c r="W131" s="80" t="s">
        <v>1101</v>
      </c>
      <c r="X131" s="96" t="e">
        <f>+N131-#REF!</f>
        <v>#REF!</v>
      </c>
      <c r="Y131" s="94">
        <v>107212.06</v>
      </c>
      <c r="Z131" s="94">
        <f>+(K131*9.1+L131*18.19)*12</f>
        <v>46420.92</v>
      </c>
      <c r="AB131" s="96" t="e">
        <f>+N131-#REF!</f>
        <v>#REF!</v>
      </c>
      <c r="AC131" s="27">
        <f>+N131-'[12]Приложение № 4'!E131</f>
        <v>0</v>
      </c>
      <c r="AE131" s="98" t="e">
        <f>+N131-#REF!</f>
        <v>#REF!</v>
      </c>
      <c r="AG131" s="101" t="s">
        <v>853</v>
      </c>
      <c r="AH131" s="102">
        <f>SUM(AI131:AW131)</f>
        <v>126763.06889982734</v>
      </c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>
        <v>86154.066735667337</v>
      </c>
      <c r="AV131" s="102">
        <v>40609.002164160003</v>
      </c>
      <c r="AW131" s="102"/>
    </row>
    <row r="132" spans="1:49" ht="15" x14ac:dyDescent="0.25">
      <c r="A132" s="76">
        <f t="shared" si="9"/>
        <v>120</v>
      </c>
      <c r="B132" s="77">
        <f t="shared" si="9"/>
        <v>120</v>
      </c>
      <c r="C132" s="77" t="s">
        <v>568</v>
      </c>
      <c r="D132" s="77" t="s">
        <v>1007</v>
      </c>
      <c r="E132" s="78" t="s">
        <v>599</v>
      </c>
      <c r="F132" s="78"/>
      <c r="G132" s="78" t="s">
        <v>573</v>
      </c>
      <c r="H132" s="78" t="s">
        <v>572</v>
      </c>
      <c r="I132" s="78" t="s">
        <v>575</v>
      </c>
      <c r="J132" s="44">
        <v>1010.3</v>
      </c>
      <c r="K132" s="44">
        <v>556.1</v>
      </c>
      <c r="L132" s="44">
        <v>0</v>
      </c>
      <c r="M132" s="79">
        <v>60</v>
      </c>
      <c r="N132" s="72">
        <f t="shared" si="13"/>
        <v>124408.54</v>
      </c>
      <c r="O132" s="44">
        <v>0</v>
      </c>
      <c r="P132" s="44"/>
      <c r="Q132" s="44"/>
      <c r="R132" s="44">
        <f>+'[12]Приложение № 4'!E132</f>
        <v>124408.54</v>
      </c>
      <c r="S132" s="44"/>
      <c r="T132" s="44"/>
      <c r="U132" s="44">
        <v>944.83</v>
      </c>
      <c r="V132" s="44">
        <v>944.83</v>
      </c>
      <c r="W132" s="80" t="s">
        <v>1101</v>
      </c>
      <c r="X132" s="96" t="e">
        <f>+N132-#REF!</f>
        <v>#REF!</v>
      </c>
      <c r="Y132" s="94">
        <v>207033.64</v>
      </c>
      <c r="Z132" s="94">
        <f>+(K132*9.1+L132*18.19)*12</f>
        <v>60726.12</v>
      </c>
      <c r="AB132" s="96" t="e">
        <f>+N132-#REF!</f>
        <v>#REF!</v>
      </c>
      <c r="AC132" s="27">
        <f>+N132-'[12]Приложение № 4'!E132</f>
        <v>0</v>
      </c>
      <c r="AE132" s="98" t="e">
        <f>+N132-#REF!</f>
        <v>#REF!</v>
      </c>
      <c r="AG132" s="101" t="s">
        <v>1007</v>
      </c>
      <c r="AH132" s="102">
        <f t="shared" si="14"/>
        <v>129330.57048885871</v>
      </c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>
        <v>87679.435650458705</v>
      </c>
      <c r="AV132" s="102">
        <v>41651.134838400001</v>
      </c>
      <c r="AW132" s="102"/>
    </row>
    <row r="133" spans="1:49" ht="15" x14ac:dyDescent="0.25">
      <c r="A133" s="76">
        <f t="shared" si="9"/>
        <v>121</v>
      </c>
      <c r="B133" s="77">
        <f t="shared" si="9"/>
        <v>121</v>
      </c>
      <c r="C133" s="77" t="s">
        <v>568</v>
      </c>
      <c r="D133" s="77" t="s">
        <v>822</v>
      </c>
      <c r="E133" s="78" t="s">
        <v>625</v>
      </c>
      <c r="F133" s="78"/>
      <c r="G133" s="78" t="s">
        <v>573</v>
      </c>
      <c r="H133" s="78" t="s">
        <v>582</v>
      </c>
      <c r="I133" s="78" t="s">
        <v>579</v>
      </c>
      <c r="J133" s="44">
        <v>4793.1000000000004</v>
      </c>
      <c r="K133" s="44">
        <v>4227.7</v>
      </c>
      <c r="L133" s="44">
        <v>0</v>
      </c>
      <c r="M133" s="79">
        <v>193</v>
      </c>
      <c r="N133" s="72">
        <f t="shared" si="13"/>
        <v>253995.31</v>
      </c>
      <c r="O133" s="44">
        <v>0</v>
      </c>
      <c r="P133" s="44"/>
      <c r="Q133" s="44"/>
      <c r="R133" s="44">
        <f>+'[12]Приложение № 4'!E133</f>
        <v>253995.31</v>
      </c>
      <c r="S133" s="44"/>
      <c r="T133" s="44"/>
      <c r="U133" s="44">
        <v>224.97</v>
      </c>
      <c r="V133" s="44">
        <v>224.97</v>
      </c>
      <c r="W133" s="80" t="s">
        <v>1101</v>
      </c>
      <c r="X133" s="96" t="e">
        <f>+N133-#REF!</f>
        <v>#REF!</v>
      </c>
      <c r="Y133" s="94">
        <v>1598386.44</v>
      </c>
      <c r="Z133" s="94">
        <f t="shared" ref="Z133:Z145" si="16">+(K133*9.1+L133*18.19)*12</f>
        <v>461664.83999999997</v>
      </c>
      <c r="AB133" s="96" t="e">
        <f>+N133-#REF!</f>
        <v>#REF!</v>
      </c>
      <c r="AC133" s="27">
        <f>+N133-'[12]Приложение № 4'!E133</f>
        <v>0</v>
      </c>
      <c r="AE133" s="98" t="e">
        <f>+N133-#REF!</f>
        <v>#REF!</v>
      </c>
      <c r="AG133" s="101" t="s">
        <v>822</v>
      </c>
      <c r="AH133" s="102">
        <f t="shared" ref="AH133:AH191" si="17">SUM(AI133:AW133)</f>
        <v>257671.33981440004</v>
      </c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>
        <v>233671.33981440004</v>
      </c>
      <c r="AV133" s="102">
        <v>24000</v>
      </c>
      <c r="AW133" s="102"/>
    </row>
    <row r="134" spans="1:49" ht="15" x14ac:dyDescent="0.25">
      <c r="A134" s="76">
        <f t="shared" si="9"/>
        <v>122</v>
      </c>
      <c r="B134" s="77">
        <f t="shared" si="9"/>
        <v>122</v>
      </c>
      <c r="C134" s="77" t="s">
        <v>568</v>
      </c>
      <c r="D134" s="77" t="s">
        <v>823</v>
      </c>
      <c r="E134" s="78" t="s">
        <v>1110</v>
      </c>
      <c r="F134" s="78"/>
      <c r="G134" s="78" t="s">
        <v>570</v>
      </c>
      <c r="H134" s="78" t="s">
        <v>575</v>
      </c>
      <c r="I134" s="78" t="s">
        <v>579</v>
      </c>
      <c r="J134" s="44">
        <v>2475.3000000000002</v>
      </c>
      <c r="K134" s="44">
        <v>2305.3000000000002</v>
      </c>
      <c r="L134" s="44">
        <v>0</v>
      </c>
      <c r="M134" s="79">
        <v>67</v>
      </c>
      <c r="N134" s="72">
        <f t="shared" si="13"/>
        <v>278945.83999999997</v>
      </c>
      <c r="O134" s="44">
        <v>0</v>
      </c>
      <c r="P134" s="44"/>
      <c r="Q134" s="44"/>
      <c r="R134" s="44">
        <f>+'[12]Приложение № 4'!E134</f>
        <v>278945.83999999997</v>
      </c>
      <c r="S134" s="44"/>
      <c r="T134" s="44"/>
      <c r="U134" s="44">
        <v>7369.31</v>
      </c>
      <c r="V134" s="44">
        <v>7369.31</v>
      </c>
      <c r="W134" s="80" t="s">
        <v>1101</v>
      </c>
      <c r="X134" s="96" t="e">
        <f>+N134-#REF!</f>
        <v>#REF!</v>
      </c>
      <c r="Y134" s="94">
        <v>940432.91</v>
      </c>
      <c r="Z134" s="94">
        <f t="shared" si="16"/>
        <v>251738.76</v>
      </c>
      <c r="AB134" s="96" t="e">
        <f>+N134-#REF!</f>
        <v>#REF!</v>
      </c>
      <c r="AC134" s="27">
        <f>+N134-'[12]Приложение № 4'!E134</f>
        <v>0</v>
      </c>
      <c r="AE134" s="98" t="e">
        <f>+N134-#REF!</f>
        <v>#REF!</v>
      </c>
      <c r="AG134" s="101" t="s">
        <v>823</v>
      </c>
      <c r="AH134" s="102">
        <f t="shared" si="17"/>
        <v>488461.96841352008</v>
      </c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>
        <v>444405.03651432006</v>
      </c>
      <c r="AV134" s="102">
        <v>44056.931899200004</v>
      </c>
      <c r="AW134" s="102"/>
    </row>
    <row r="135" spans="1:49" ht="15" x14ac:dyDescent="0.25">
      <c r="A135" s="76">
        <f t="shared" si="9"/>
        <v>123</v>
      </c>
      <c r="B135" s="77">
        <f t="shared" si="9"/>
        <v>123</v>
      </c>
      <c r="C135" s="77" t="s">
        <v>568</v>
      </c>
      <c r="D135" s="77" t="s">
        <v>824</v>
      </c>
      <c r="E135" s="78" t="s">
        <v>1107</v>
      </c>
      <c r="F135" s="78"/>
      <c r="G135" s="78" t="s">
        <v>570</v>
      </c>
      <c r="H135" s="78" t="s">
        <v>582</v>
      </c>
      <c r="I135" s="78" t="s">
        <v>622</v>
      </c>
      <c r="J135" s="44">
        <v>5522.53</v>
      </c>
      <c r="K135" s="44">
        <v>5226.03</v>
      </c>
      <c r="L135" s="44">
        <v>0</v>
      </c>
      <c r="M135" s="79">
        <v>210</v>
      </c>
      <c r="N135" s="72">
        <f t="shared" si="13"/>
        <v>428137.96</v>
      </c>
      <c r="O135" s="44">
        <v>0</v>
      </c>
      <c r="P135" s="44"/>
      <c r="Q135" s="44"/>
      <c r="R135" s="44">
        <f>+'[12]Приложение № 4'!E135</f>
        <v>428137.96</v>
      </c>
      <c r="S135" s="44"/>
      <c r="T135" s="44"/>
      <c r="U135" s="44">
        <v>1961.28</v>
      </c>
      <c r="V135" s="44">
        <v>1961.28</v>
      </c>
      <c r="W135" s="80" t="s">
        <v>1101</v>
      </c>
      <c r="X135" s="96" t="e">
        <f>+N135-#REF!</f>
        <v>#REF!</v>
      </c>
      <c r="Y135" s="94">
        <v>2629325.5099999998</v>
      </c>
      <c r="Z135" s="94">
        <f t="shared" si="16"/>
        <v>570682.47599999991</v>
      </c>
      <c r="AB135" s="96" t="e">
        <f>+N135-#REF!</f>
        <v>#REF!</v>
      </c>
      <c r="AC135" s="27">
        <f>+N135-'[12]Приложение № 4'!E135</f>
        <v>0</v>
      </c>
      <c r="AE135" s="98" t="e">
        <f>+N135-#REF!</f>
        <v>#REF!</v>
      </c>
      <c r="AG135" s="101" t="s">
        <v>824</v>
      </c>
      <c r="AH135" s="102">
        <f t="shared" si="17"/>
        <v>736031.94226167211</v>
      </c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>
        <v>687674.05543287215</v>
      </c>
      <c r="AV135" s="102">
        <v>48357.886828799994</v>
      </c>
      <c r="AW135" s="102"/>
    </row>
    <row r="136" spans="1:49" ht="15" x14ac:dyDescent="0.25">
      <c r="A136" s="76">
        <f t="shared" si="9"/>
        <v>124</v>
      </c>
      <c r="B136" s="77">
        <f t="shared" si="9"/>
        <v>124</v>
      </c>
      <c r="C136" s="77" t="s">
        <v>568</v>
      </c>
      <c r="D136" s="77" t="s">
        <v>825</v>
      </c>
      <c r="E136" s="78" t="s">
        <v>625</v>
      </c>
      <c r="F136" s="78"/>
      <c r="G136" s="78" t="s">
        <v>570</v>
      </c>
      <c r="H136" s="78" t="s">
        <v>582</v>
      </c>
      <c r="I136" s="78" t="s">
        <v>575</v>
      </c>
      <c r="J136" s="44">
        <v>1900.32</v>
      </c>
      <c r="K136" s="44">
        <v>1698.12</v>
      </c>
      <c r="L136" s="44">
        <v>0</v>
      </c>
      <c r="M136" s="79">
        <v>63</v>
      </c>
      <c r="N136" s="72">
        <f t="shared" si="13"/>
        <v>218514.1</v>
      </c>
      <c r="O136" s="44">
        <v>0</v>
      </c>
      <c r="P136" s="44"/>
      <c r="Q136" s="44"/>
      <c r="R136" s="44">
        <f>+'[12]Приложение № 4'!E136</f>
        <v>218514.1</v>
      </c>
      <c r="S136" s="44"/>
      <c r="T136" s="44"/>
      <c r="U136" s="44">
        <v>208.23</v>
      </c>
      <c r="V136" s="44">
        <v>208.23</v>
      </c>
      <c r="W136" s="80" t="s">
        <v>1101</v>
      </c>
      <c r="X136" s="96" t="e">
        <f>+N136-#REF!</f>
        <v>#REF!</v>
      </c>
      <c r="Y136" s="94">
        <v>840201.67</v>
      </c>
      <c r="Z136" s="94">
        <f t="shared" si="16"/>
        <v>185434.70399999997</v>
      </c>
      <c r="AB136" s="96" t="e">
        <f>+N136-#REF!</f>
        <v>#REF!</v>
      </c>
      <c r="AC136" s="27">
        <f>+N136-'[12]Приложение № 4'!E136</f>
        <v>0</v>
      </c>
      <c r="AE136" s="98" t="e">
        <f>+N136-#REF!</f>
        <v>#REF!</v>
      </c>
      <c r="AG136" s="101" t="s">
        <v>825</v>
      </c>
      <c r="AH136" s="102">
        <f t="shared" si="17"/>
        <v>235599.758592</v>
      </c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>
        <v>211599.758592</v>
      </c>
      <c r="AV136" s="102">
        <v>24000</v>
      </c>
      <c r="AW136" s="102"/>
    </row>
    <row r="137" spans="1:49" ht="15" x14ac:dyDescent="0.25">
      <c r="A137" s="76">
        <f t="shared" si="9"/>
        <v>125</v>
      </c>
      <c r="B137" s="77">
        <f t="shared" si="9"/>
        <v>125</v>
      </c>
      <c r="C137" s="77" t="s">
        <v>568</v>
      </c>
      <c r="D137" s="77" t="s">
        <v>826</v>
      </c>
      <c r="E137" s="78" t="s">
        <v>1113</v>
      </c>
      <c r="F137" s="78"/>
      <c r="G137" s="78" t="s">
        <v>570</v>
      </c>
      <c r="H137" s="78" t="s">
        <v>575</v>
      </c>
      <c r="I137" s="78" t="s">
        <v>575</v>
      </c>
      <c r="J137" s="44">
        <v>1780.9</v>
      </c>
      <c r="K137" s="44">
        <v>1626.2</v>
      </c>
      <c r="L137" s="44">
        <v>0</v>
      </c>
      <c r="M137" s="79">
        <v>35</v>
      </c>
      <c r="N137" s="72">
        <f t="shared" si="13"/>
        <v>960875.90000000014</v>
      </c>
      <c r="O137" s="44">
        <v>0</v>
      </c>
      <c r="P137" s="44"/>
      <c r="Q137" s="44"/>
      <c r="R137" s="44">
        <f>+'[12]Приложение № 4'!E137</f>
        <v>960875.90000000014</v>
      </c>
      <c r="S137" s="44"/>
      <c r="T137" s="44"/>
      <c r="U137" s="44">
        <v>11472.14</v>
      </c>
      <c r="V137" s="44">
        <v>11472.14</v>
      </c>
      <c r="W137" s="80" t="s">
        <v>1101</v>
      </c>
      <c r="X137" s="96" t="e">
        <f>+N137-#REF!</f>
        <v>#REF!</v>
      </c>
      <c r="Y137" s="94">
        <v>719661.19</v>
      </c>
      <c r="Z137" s="94">
        <f t="shared" si="16"/>
        <v>177581.04</v>
      </c>
      <c r="AB137" s="96" t="e">
        <f>+N137-#REF!</f>
        <v>#REF!</v>
      </c>
      <c r="AC137" s="27">
        <f>+N137-'[12]Приложение № 4'!E137</f>
        <v>0</v>
      </c>
      <c r="AE137" s="98" t="e">
        <f>+N137-#REF!</f>
        <v>#REF!</v>
      </c>
      <c r="AG137" s="101" t="s">
        <v>826</v>
      </c>
      <c r="AH137" s="102">
        <f t="shared" si="17"/>
        <v>1155452.4011761721</v>
      </c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>
        <v>1112883.919148972</v>
      </c>
      <c r="AV137" s="102">
        <v>42568.4820272</v>
      </c>
      <c r="AW137" s="102"/>
    </row>
    <row r="138" spans="1:49" ht="15" x14ac:dyDescent="0.25">
      <c r="A138" s="76">
        <f t="shared" si="9"/>
        <v>126</v>
      </c>
      <c r="B138" s="77">
        <f t="shared" si="9"/>
        <v>126</v>
      </c>
      <c r="C138" s="77" t="s">
        <v>568</v>
      </c>
      <c r="D138" s="77" t="s">
        <v>827</v>
      </c>
      <c r="E138" s="78" t="s">
        <v>1110</v>
      </c>
      <c r="F138" s="78"/>
      <c r="G138" s="78" t="s">
        <v>570</v>
      </c>
      <c r="H138" s="78" t="s">
        <v>579</v>
      </c>
      <c r="I138" s="78" t="s">
        <v>579</v>
      </c>
      <c r="J138" s="44">
        <v>3669.7</v>
      </c>
      <c r="K138" s="44">
        <v>3319.8</v>
      </c>
      <c r="L138" s="44">
        <v>0</v>
      </c>
      <c r="M138" s="79">
        <v>80</v>
      </c>
      <c r="N138" s="72">
        <f t="shared" si="13"/>
        <v>1217591.97</v>
      </c>
      <c r="O138" s="44">
        <v>0</v>
      </c>
      <c r="P138" s="44"/>
      <c r="Q138" s="44"/>
      <c r="R138" s="44">
        <f>+'[12]Приложение № 4'!E138</f>
        <v>1217591.97</v>
      </c>
      <c r="S138" s="44"/>
      <c r="T138" s="44"/>
      <c r="U138" s="44">
        <v>6833.94</v>
      </c>
      <c r="V138" s="44">
        <v>6833.94</v>
      </c>
      <c r="W138" s="80" t="s">
        <v>1101</v>
      </c>
      <c r="X138" s="96" t="e">
        <f>+N138-#REF!</f>
        <v>#REF!</v>
      </c>
      <c r="Y138" s="94">
        <v>1641154.91</v>
      </c>
      <c r="Z138" s="94">
        <f t="shared" si="16"/>
        <v>362522.16000000003</v>
      </c>
      <c r="AB138" s="96" t="e">
        <f>+N138-#REF!</f>
        <v>#REF!</v>
      </c>
      <c r="AC138" s="27">
        <f>+N138-'[12]Приложение № 4'!E138</f>
        <v>0</v>
      </c>
      <c r="AE138" s="98" t="e">
        <f>+N138-#REF!</f>
        <v>#REF!</v>
      </c>
      <c r="AG138" s="101" t="s">
        <v>827</v>
      </c>
      <c r="AH138" s="102">
        <f t="shared" si="17"/>
        <v>1461780.2868848629</v>
      </c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>
        <v>1415921.2146008629</v>
      </c>
      <c r="AV138" s="102">
        <v>45859.072284000002</v>
      </c>
      <c r="AW138" s="102"/>
    </row>
    <row r="139" spans="1:49" ht="15" x14ac:dyDescent="0.25">
      <c r="A139" s="76">
        <f t="shared" si="9"/>
        <v>127</v>
      </c>
      <c r="B139" s="77">
        <f t="shared" si="9"/>
        <v>127</v>
      </c>
      <c r="C139" s="77" t="s">
        <v>568</v>
      </c>
      <c r="D139" s="77" t="s">
        <v>828</v>
      </c>
      <c r="E139" s="78" t="s">
        <v>1114</v>
      </c>
      <c r="F139" s="78"/>
      <c r="G139" s="78" t="s">
        <v>570</v>
      </c>
      <c r="H139" s="78" t="s">
        <v>575</v>
      </c>
      <c r="I139" s="78" t="s">
        <v>572</v>
      </c>
      <c r="J139" s="44">
        <v>1026.9000000000001</v>
      </c>
      <c r="K139" s="44">
        <v>892.5</v>
      </c>
      <c r="L139" s="44">
        <v>0</v>
      </c>
      <c r="M139" s="79">
        <v>25</v>
      </c>
      <c r="N139" s="72">
        <f t="shared" si="13"/>
        <v>967772.2200000002</v>
      </c>
      <c r="O139" s="44">
        <v>0</v>
      </c>
      <c r="P139" s="44"/>
      <c r="Q139" s="44"/>
      <c r="R139" s="44">
        <f>+'[12]Приложение № 4'!E139</f>
        <v>967772.2200000002</v>
      </c>
      <c r="S139" s="44"/>
      <c r="T139" s="44"/>
      <c r="U139" s="44">
        <v>15202.87</v>
      </c>
      <c r="V139" s="44">
        <v>15202.87</v>
      </c>
      <c r="W139" s="80" t="s">
        <v>1101</v>
      </c>
      <c r="X139" s="96" t="e">
        <f>+N139-#REF!</f>
        <v>#REF!</v>
      </c>
      <c r="Y139" s="94">
        <v>449051.69</v>
      </c>
      <c r="Z139" s="94">
        <f t="shared" si="16"/>
        <v>97461</v>
      </c>
      <c r="AB139" s="96" t="e">
        <f>+N139-#REF!</f>
        <v>#REF!</v>
      </c>
      <c r="AC139" s="27">
        <f>+N139-'[12]Приложение № 4'!E139</f>
        <v>0</v>
      </c>
      <c r="AE139" s="98" t="e">
        <f>+N139-#REF!</f>
        <v>#REF!</v>
      </c>
      <c r="AG139" s="101" t="s">
        <v>828</v>
      </c>
      <c r="AH139" s="102">
        <f t="shared" si="17"/>
        <v>1142151.1611197295</v>
      </c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>
        <v>1100584.5628845296</v>
      </c>
      <c r="AV139" s="102">
        <v>41566.598235199999</v>
      </c>
      <c r="AW139" s="102"/>
    </row>
    <row r="140" spans="1:49" ht="15" x14ac:dyDescent="0.25">
      <c r="A140" s="76">
        <f t="shared" si="9"/>
        <v>128</v>
      </c>
      <c r="B140" s="77">
        <f t="shared" si="9"/>
        <v>128</v>
      </c>
      <c r="C140" s="77" t="s">
        <v>568</v>
      </c>
      <c r="D140" s="77" t="s">
        <v>829</v>
      </c>
      <c r="E140" s="78" t="s">
        <v>1109</v>
      </c>
      <c r="F140" s="78"/>
      <c r="G140" s="78" t="s">
        <v>570</v>
      </c>
      <c r="H140" s="78" t="s">
        <v>579</v>
      </c>
      <c r="I140" s="78" t="s">
        <v>575</v>
      </c>
      <c r="J140" s="44">
        <v>1578.9</v>
      </c>
      <c r="K140" s="44">
        <v>1438.4</v>
      </c>
      <c r="L140" s="44">
        <v>0</v>
      </c>
      <c r="M140" s="79">
        <v>64</v>
      </c>
      <c r="N140" s="72">
        <f t="shared" si="13"/>
        <v>1355397.4700000002</v>
      </c>
      <c r="O140" s="44">
        <v>0</v>
      </c>
      <c r="P140" s="44"/>
      <c r="Q140" s="44"/>
      <c r="R140" s="44">
        <f>+'[12]Приложение № 4'!E140</f>
        <v>1355397.4700000002</v>
      </c>
      <c r="S140" s="44"/>
      <c r="T140" s="44"/>
      <c r="U140" s="44">
        <v>7042.17</v>
      </c>
      <c r="V140" s="44">
        <v>7042.17</v>
      </c>
      <c r="W140" s="80" t="s">
        <v>1101</v>
      </c>
      <c r="X140" s="96" t="e">
        <f>+N140-#REF!</f>
        <v>#REF!</v>
      </c>
      <c r="Y140" s="94">
        <v>958093.02</v>
      </c>
      <c r="Z140" s="94">
        <f t="shared" si="16"/>
        <v>157073.28</v>
      </c>
      <c r="AB140" s="96" t="e">
        <f>+N140-#REF!</f>
        <v>#REF!</v>
      </c>
      <c r="AC140" s="27">
        <f>+N140-'[12]Приложение № 4'!E140</f>
        <v>0</v>
      </c>
      <c r="AE140" s="98" t="e">
        <f>+N140-#REF!</f>
        <v>#REF!</v>
      </c>
      <c r="AG140" s="101" t="s">
        <v>829</v>
      </c>
      <c r="AH140" s="102">
        <f t="shared" si="17"/>
        <v>1374325.5893615938</v>
      </c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>
        <v>1332256.7817767938</v>
      </c>
      <c r="AV140" s="102">
        <v>42068.807584800001</v>
      </c>
      <c r="AW140" s="102"/>
    </row>
    <row r="141" spans="1:49" ht="15" x14ac:dyDescent="0.25">
      <c r="A141" s="76">
        <f t="shared" si="9"/>
        <v>129</v>
      </c>
      <c r="B141" s="77">
        <f t="shared" si="9"/>
        <v>129</v>
      </c>
      <c r="C141" s="77" t="s">
        <v>568</v>
      </c>
      <c r="D141" s="77" t="s">
        <v>830</v>
      </c>
      <c r="E141" s="78" t="s">
        <v>1114</v>
      </c>
      <c r="F141" s="78"/>
      <c r="G141" s="78" t="s">
        <v>570</v>
      </c>
      <c r="H141" s="78" t="s">
        <v>579</v>
      </c>
      <c r="I141" s="78" t="s">
        <v>575</v>
      </c>
      <c r="J141" s="44">
        <v>1913.5</v>
      </c>
      <c r="K141" s="44">
        <v>1720</v>
      </c>
      <c r="L141" s="44">
        <v>0</v>
      </c>
      <c r="M141" s="79">
        <v>74</v>
      </c>
      <c r="N141" s="72">
        <f t="shared" si="13"/>
        <v>158258.59</v>
      </c>
      <c r="O141" s="44">
        <v>0</v>
      </c>
      <c r="P141" s="44"/>
      <c r="Q141" s="44"/>
      <c r="R141" s="44">
        <f>+'[12]Приложение № 4'!E141</f>
        <v>158258.59</v>
      </c>
      <c r="S141" s="44"/>
      <c r="T141" s="44"/>
      <c r="U141" s="44">
        <v>5308.67</v>
      </c>
      <c r="V141" s="44">
        <v>5308.67</v>
      </c>
      <c r="W141" s="80" t="s">
        <v>1101</v>
      </c>
      <c r="X141" s="96" t="e">
        <f>+N141-#REF!</f>
        <v>#REF!</v>
      </c>
      <c r="Y141" s="94">
        <v>337981.63</v>
      </c>
      <c r="Z141" s="94">
        <f t="shared" si="16"/>
        <v>187824</v>
      </c>
      <c r="AB141" s="96" t="e">
        <f>+N141-#REF!</f>
        <v>#REF!</v>
      </c>
      <c r="AC141" s="27">
        <f>+N141-'[12]Приложение № 4'!E141</f>
        <v>0</v>
      </c>
      <c r="AE141" s="98" t="e">
        <f>+N141-#REF!</f>
        <v>#REF!</v>
      </c>
      <c r="AG141" s="101" t="s">
        <v>830</v>
      </c>
      <c r="AH141" s="102">
        <f t="shared" si="17"/>
        <v>851726.98183086386</v>
      </c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>
        <v>827726.98183086386</v>
      </c>
      <c r="AV141" s="102">
        <v>24000</v>
      </c>
      <c r="AW141" s="102"/>
    </row>
    <row r="142" spans="1:49" ht="15" x14ac:dyDescent="0.25">
      <c r="A142" s="76">
        <f t="shared" si="9"/>
        <v>130</v>
      </c>
      <c r="B142" s="77">
        <f t="shared" si="9"/>
        <v>130</v>
      </c>
      <c r="C142" s="77" t="s">
        <v>568</v>
      </c>
      <c r="D142" s="77" t="s">
        <v>831</v>
      </c>
      <c r="E142" s="78" t="s">
        <v>1109</v>
      </c>
      <c r="F142" s="78"/>
      <c r="G142" s="78" t="s">
        <v>570</v>
      </c>
      <c r="H142" s="78" t="s">
        <v>582</v>
      </c>
      <c r="I142" s="78" t="s">
        <v>579</v>
      </c>
      <c r="J142" s="44">
        <v>2744.29</v>
      </c>
      <c r="K142" s="44">
        <v>2487.9899999999998</v>
      </c>
      <c r="L142" s="44">
        <v>0</v>
      </c>
      <c r="M142" s="79">
        <v>136</v>
      </c>
      <c r="N142" s="72">
        <f t="shared" si="13"/>
        <v>375445.14</v>
      </c>
      <c r="O142" s="44">
        <v>0</v>
      </c>
      <c r="P142" s="44"/>
      <c r="Q142" s="44"/>
      <c r="R142" s="44">
        <f>+'[12]Приложение № 4'!E142</f>
        <v>375445.14</v>
      </c>
      <c r="S142" s="44"/>
      <c r="T142" s="44"/>
      <c r="U142" s="44">
        <v>1961.28</v>
      </c>
      <c r="V142" s="44">
        <v>1961.28</v>
      </c>
      <c r="W142" s="80" t="s">
        <v>1101</v>
      </c>
      <c r="X142" s="96" t="e">
        <f>+N142-#REF!</f>
        <v>#REF!</v>
      </c>
      <c r="Y142" s="94">
        <v>1517463.12</v>
      </c>
      <c r="Z142" s="94">
        <f t="shared" si="16"/>
        <v>271688.50799999997</v>
      </c>
      <c r="AB142" s="96" t="e">
        <f>+N142-#REF!</f>
        <v>#REF!</v>
      </c>
      <c r="AC142" s="27">
        <f>+N142-'[12]Приложение № 4'!E142</f>
        <v>0</v>
      </c>
      <c r="AE142" s="98" t="e">
        <f>+N142-#REF!</f>
        <v>#REF!</v>
      </c>
      <c r="AG142" s="101" t="s">
        <v>831</v>
      </c>
      <c r="AH142" s="102">
        <f t="shared" si="17"/>
        <v>646414.18358029891</v>
      </c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>
        <v>602887.84688749886</v>
      </c>
      <c r="AV142" s="102">
        <v>43526.336692800003</v>
      </c>
      <c r="AW142" s="102"/>
    </row>
    <row r="143" spans="1:49" ht="15" x14ac:dyDescent="0.25">
      <c r="A143" s="76">
        <f t="shared" ref="A143:B206" si="18">+A142+1</f>
        <v>131</v>
      </c>
      <c r="B143" s="77">
        <f t="shared" si="18"/>
        <v>131</v>
      </c>
      <c r="C143" s="77" t="s">
        <v>568</v>
      </c>
      <c r="D143" s="77" t="s">
        <v>832</v>
      </c>
      <c r="E143" s="78" t="s">
        <v>1115</v>
      </c>
      <c r="F143" s="78"/>
      <c r="G143" s="78" t="s">
        <v>570</v>
      </c>
      <c r="H143" s="78" t="s">
        <v>579</v>
      </c>
      <c r="I143" s="78" t="s">
        <v>572</v>
      </c>
      <c r="J143" s="44">
        <v>1948.5</v>
      </c>
      <c r="K143" s="44">
        <v>1747.8</v>
      </c>
      <c r="L143" s="44">
        <v>0</v>
      </c>
      <c r="M143" s="79">
        <v>38</v>
      </c>
      <c r="N143" s="72">
        <f t="shared" si="13"/>
        <v>486303.72</v>
      </c>
      <c r="O143" s="44">
        <v>0</v>
      </c>
      <c r="P143" s="44"/>
      <c r="Q143" s="44"/>
      <c r="R143" s="44">
        <f>+'[12]Приложение № 4'!E143</f>
        <v>486303.72</v>
      </c>
      <c r="S143" s="44"/>
      <c r="T143" s="44"/>
      <c r="U143" s="44">
        <v>3421.3</v>
      </c>
      <c r="V143" s="44">
        <v>3421.3</v>
      </c>
      <c r="W143" s="80" t="s">
        <v>1101</v>
      </c>
      <c r="X143" s="96" t="e">
        <f>+N143-#REF!</f>
        <v>#REF!</v>
      </c>
      <c r="Y143" s="94">
        <v>792370.87</v>
      </c>
      <c r="Z143" s="94">
        <f t="shared" si="16"/>
        <v>190859.76</v>
      </c>
      <c r="AB143" s="96" t="e">
        <f>+N143-#REF!</f>
        <v>#REF!</v>
      </c>
      <c r="AC143" s="27">
        <f>+N143-'[12]Приложение № 4'!E143</f>
        <v>0</v>
      </c>
      <c r="AE143" s="98" t="e">
        <f>+N143-#REF!</f>
        <v>#REF!</v>
      </c>
      <c r="AG143" s="101" t="s">
        <v>832</v>
      </c>
      <c r="AH143" s="102">
        <f t="shared" si="17"/>
        <v>689802.58585035719</v>
      </c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>
        <v>647739.49456635723</v>
      </c>
      <c r="AV143" s="102">
        <v>42063.091284000002</v>
      </c>
      <c r="AW143" s="102"/>
    </row>
    <row r="144" spans="1:49" ht="15" x14ac:dyDescent="0.25">
      <c r="A144" s="76">
        <f t="shared" si="18"/>
        <v>132</v>
      </c>
      <c r="B144" s="77">
        <f t="shared" si="18"/>
        <v>132</v>
      </c>
      <c r="C144" s="77" t="s">
        <v>568</v>
      </c>
      <c r="D144" s="77" t="s">
        <v>833</v>
      </c>
      <c r="E144" s="78" t="s">
        <v>623</v>
      </c>
      <c r="F144" s="78"/>
      <c r="G144" s="78" t="s">
        <v>570</v>
      </c>
      <c r="H144" s="78" t="s">
        <v>579</v>
      </c>
      <c r="I144" s="78" t="s">
        <v>575</v>
      </c>
      <c r="J144" s="44">
        <v>2212.3000000000002</v>
      </c>
      <c r="K144" s="44">
        <v>2004.7</v>
      </c>
      <c r="L144" s="44">
        <v>0</v>
      </c>
      <c r="M144" s="79">
        <v>49</v>
      </c>
      <c r="N144" s="72">
        <f t="shared" si="13"/>
        <v>522136.27999999997</v>
      </c>
      <c r="O144" s="44">
        <v>0</v>
      </c>
      <c r="P144" s="44"/>
      <c r="Q144" s="44"/>
      <c r="R144" s="44">
        <f>+'[12]Приложение № 4'!E144</f>
        <v>522136.27999999997</v>
      </c>
      <c r="S144" s="44"/>
      <c r="T144" s="44"/>
      <c r="U144" s="44">
        <v>3421.3</v>
      </c>
      <c r="V144" s="44">
        <v>3421.3</v>
      </c>
      <c r="W144" s="80" t="s">
        <v>1101</v>
      </c>
      <c r="X144" s="96" t="e">
        <f>+N144-#REF!</f>
        <v>#REF!</v>
      </c>
      <c r="Y144" s="94">
        <v>957751.83</v>
      </c>
      <c r="Z144" s="94">
        <f t="shared" si="16"/>
        <v>218913.24</v>
      </c>
      <c r="AB144" s="96" t="e">
        <f>+N144-#REF!</f>
        <v>#REF!</v>
      </c>
      <c r="AC144" s="27">
        <f>+N144-'[12]Приложение № 4'!E144</f>
        <v>0</v>
      </c>
      <c r="AE144" s="98" t="e">
        <f>+N144-#REF!</f>
        <v>#REF!</v>
      </c>
      <c r="AG144" s="101" t="s">
        <v>833</v>
      </c>
      <c r="AH144" s="102">
        <f t="shared" si="17"/>
        <v>738025.90261846327</v>
      </c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>
        <v>695284.17924886325</v>
      </c>
      <c r="AV144" s="102">
        <v>42741.723369599997</v>
      </c>
      <c r="AW144" s="102"/>
    </row>
    <row r="145" spans="1:49" ht="15" x14ac:dyDescent="0.25">
      <c r="A145" s="76">
        <f t="shared" si="18"/>
        <v>133</v>
      </c>
      <c r="B145" s="77">
        <f t="shared" si="18"/>
        <v>133</v>
      </c>
      <c r="C145" s="77" t="s">
        <v>568</v>
      </c>
      <c r="D145" s="77" t="s">
        <v>834</v>
      </c>
      <c r="E145" s="78" t="s">
        <v>1110</v>
      </c>
      <c r="F145" s="78"/>
      <c r="G145" s="78" t="s">
        <v>570</v>
      </c>
      <c r="H145" s="78" t="s">
        <v>579</v>
      </c>
      <c r="I145" s="78" t="s">
        <v>579</v>
      </c>
      <c r="J145" s="44">
        <v>2667.1</v>
      </c>
      <c r="K145" s="44">
        <v>1967.6</v>
      </c>
      <c r="L145" s="44">
        <v>0</v>
      </c>
      <c r="M145" s="79">
        <v>96</v>
      </c>
      <c r="N145" s="72">
        <f t="shared" si="13"/>
        <v>1162265.5899999999</v>
      </c>
      <c r="O145" s="44">
        <v>0</v>
      </c>
      <c r="P145" s="44"/>
      <c r="Q145" s="44"/>
      <c r="R145" s="44">
        <f>+'[12]Приложение № 4'!E145</f>
        <v>1162265.5899999999</v>
      </c>
      <c r="S145" s="44"/>
      <c r="T145" s="44"/>
      <c r="U145" s="44">
        <v>3028.89</v>
      </c>
      <c r="V145" s="44">
        <v>3028.89</v>
      </c>
      <c r="W145" s="80" t="s">
        <v>1101</v>
      </c>
      <c r="X145" s="96" t="e">
        <f>+N145-#REF!</f>
        <v>#REF!</v>
      </c>
      <c r="Y145" s="94">
        <v>754329.79</v>
      </c>
      <c r="Z145" s="94">
        <f t="shared" si="16"/>
        <v>214861.91999999998</v>
      </c>
      <c r="AB145" s="96" t="e">
        <f>+N145-#REF!</f>
        <v>#REF!</v>
      </c>
      <c r="AC145" s="27">
        <f>+N145-'[12]Приложение № 4'!E145</f>
        <v>0</v>
      </c>
      <c r="AE145" s="98" t="e">
        <f>+N145-#REF!</f>
        <v>#REF!</v>
      </c>
      <c r="AG145" s="101" t="s">
        <v>834</v>
      </c>
      <c r="AH145" s="102">
        <f t="shared" si="17"/>
        <v>614225.07945600001</v>
      </c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>
        <v>590225.07945600001</v>
      </c>
      <c r="AV145" s="102">
        <v>24000</v>
      </c>
      <c r="AW145" s="102"/>
    </row>
    <row r="146" spans="1:49" ht="15" x14ac:dyDescent="0.25">
      <c r="A146" s="76">
        <f t="shared" si="18"/>
        <v>134</v>
      </c>
      <c r="B146" s="77">
        <f t="shared" si="18"/>
        <v>134</v>
      </c>
      <c r="C146" s="77" t="s">
        <v>568</v>
      </c>
      <c r="D146" s="77" t="s">
        <v>992</v>
      </c>
      <c r="E146" s="78" t="s">
        <v>591</v>
      </c>
      <c r="F146" s="78"/>
      <c r="G146" s="78" t="s">
        <v>570</v>
      </c>
      <c r="H146" s="78" t="s">
        <v>582</v>
      </c>
      <c r="I146" s="78" t="s">
        <v>576</v>
      </c>
      <c r="J146" s="44">
        <v>4136.47</v>
      </c>
      <c r="K146" s="44">
        <v>3308.76</v>
      </c>
      <c r="L146" s="44">
        <v>0</v>
      </c>
      <c r="M146" s="79">
        <v>305</v>
      </c>
      <c r="N146" s="72">
        <f t="shared" si="13"/>
        <v>1514631.2099999997</v>
      </c>
      <c r="O146" s="44">
        <v>0</v>
      </c>
      <c r="P146" s="44"/>
      <c r="Q146" s="44"/>
      <c r="R146" s="44">
        <f>+'[12]Приложение № 4'!E146</f>
        <v>1514631.2099999997</v>
      </c>
      <c r="S146" s="44"/>
      <c r="T146" s="44"/>
      <c r="U146" s="44">
        <v>6270.26</v>
      </c>
      <c r="V146" s="44">
        <v>6270.26</v>
      </c>
      <c r="W146" s="80" t="s">
        <v>1101</v>
      </c>
      <c r="X146" s="96" t="e">
        <f>+N146-#REF!</f>
        <v>#REF!</v>
      </c>
      <c r="Y146" s="94">
        <v>908546.5</v>
      </c>
      <c r="Z146" s="94">
        <f>+(K146*9.1+L146*18.19)*12</f>
        <v>361316.592</v>
      </c>
      <c r="AB146" s="96" t="e">
        <f>+N146-#REF!</f>
        <v>#REF!</v>
      </c>
      <c r="AC146" s="27">
        <f>+N146-'[12]Приложение № 4'!E146</f>
        <v>0</v>
      </c>
      <c r="AE146" s="98" t="e">
        <f>+N146-#REF!</f>
        <v>#REF!</v>
      </c>
      <c r="AG146" s="101" t="s">
        <v>992</v>
      </c>
      <c r="AH146" s="102">
        <f t="shared" ref="AH146:AH156" si="19">SUM(AI146:AW146)</f>
        <v>1522367.4592237328</v>
      </c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>
        <v>1477451.4949102928</v>
      </c>
      <c r="AV146" s="102">
        <v>44915.964313439996</v>
      </c>
      <c r="AW146" s="102"/>
    </row>
    <row r="147" spans="1:49" ht="15" x14ac:dyDescent="0.25">
      <c r="A147" s="76">
        <f t="shared" si="18"/>
        <v>135</v>
      </c>
      <c r="B147" s="77">
        <f t="shared" si="18"/>
        <v>135</v>
      </c>
      <c r="C147" s="77" t="s">
        <v>568</v>
      </c>
      <c r="D147" s="77" t="s">
        <v>993</v>
      </c>
      <c r="E147" s="78" t="s">
        <v>1131</v>
      </c>
      <c r="F147" s="78"/>
      <c r="G147" s="78" t="s">
        <v>570</v>
      </c>
      <c r="H147" s="78" t="s">
        <v>579</v>
      </c>
      <c r="I147" s="78" t="s">
        <v>572</v>
      </c>
      <c r="J147" s="44">
        <v>1673.85</v>
      </c>
      <c r="K147" s="44">
        <v>1473.85</v>
      </c>
      <c r="L147" s="44">
        <v>0</v>
      </c>
      <c r="M147" s="79">
        <v>37</v>
      </c>
      <c r="N147" s="72">
        <f t="shared" si="13"/>
        <v>576659.44999999995</v>
      </c>
      <c r="O147" s="44">
        <v>0</v>
      </c>
      <c r="P147" s="44"/>
      <c r="Q147" s="44"/>
      <c r="R147" s="44">
        <f>+'[12]Приложение № 4'!E147</f>
        <v>576659.44999999995</v>
      </c>
      <c r="S147" s="44"/>
      <c r="T147" s="44"/>
      <c r="U147" s="44">
        <v>3770.13</v>
      </c>
      <c r="V147" s="44">
        <v>3770.13</v>
      </c>
      <c r="W147" s="80" t="s">
        <v>1101</v>
      </c>
      <c r="X147" s="96" t="e">
        <f>+N147-#REF!</f>
        <v>#REF!</v>
      </c>
      <c r="Y147" s="94">
        <v>852870.49</v>
      </c>
      <c r="Z147" s="94">
        <f>+(K147*9.1+L147*18.19)*12</f>
        <v>160944.41999999998</v>
      </c>
      <c r="AB147" s="96" t="e">
        <f>+N147-#REF!</f>
        <v>#REF!</v>
      </c>
      <c r="AC147" s="27">
        <f>+N147-'[12]Приложение № 4'!E147</f>
        <v>0</v>
      </c>
      <c r="AE147" s="98" t="e">
        <f>+N147-#REF!</f>
        <v>#REF!</v>
      </c>
      <c r="AG147" s="101" t="s">
        <v>993</v>
      </c>
      <c r="AH147" s="102">
        <f t="shared" si="19"/>
        <v>748584.25409020542</v>
      </c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>
        <v>706682.21958124544</v>
      </c>
      <c r="AV147" s="102">
        <v>41902.034508960001</v>
      </c>
      <c r="AW147" s="102"/>
    </row>
    <row r="148" spans="1:49" ht="15" x14ac:dyDescent="0.25">
      <c r="A148" s="76">
        <f t="shared" si="18"/>
        <v>136</v>
      </c>
      <c r="B148" s="77">
        <f t="shared" si="18"/>
        <v>136</v>
      </c>
      <c r="C148" s="77" t="s">
        <v>568</v>
      </c>
      <c r="D148" s="77" t="s">
        <v>1161</v>
      </c>
      <c r="E148" s="78">
        <v>1975</v>
      </c>
      <c r="F148" s="78">
        <v>2009</v>
      </c>
      <c r="G148" s="78" t="s">
        <v>44</v>
      </c>
      <c r="H148" s="78">
        <v>5</v>
      </c>
      <c r="I148" s="78">
        <v>6</v>
      </c>
      <c r="J148" s="44">
        <v>4366.5</v>
      </c>
      <c r="K148" s="44">
        <v>4045</v>
      </c>
      <c r="L148" s="44">
        <v>0</v>
      </c>
      <c r="M148" s="79">
        <v>185</v>
      </c>
      <c r="N148" s="72">
        <f t="shared" si="13"/>
        <v>48000</v>
      </c>
      <c r="O148" s="44"/>
      <c r="P148" s="44"/>
      <c r="Q148" s="44"/>
      <c r="R148" s="44">
        <f>+'[12]Приложение № 4'!E148</f>
        <v>48000</v>
      </c>
      <c r="S148" s="44"/>
      <c r="T148" s="44"/>
      <c r="U148" s="44">
        <f t="shared" ref="U148:V155" si="20">$N148/($K148+$L148)</f>
        <v>11.866501854140914</v>
      </c>
      <c r="V148" s="44">
        <f t="shared" si="20"/>
        <v>11.866501854140914</v>
      </c>
      <c r="W148" s="80" t="s">
        <v>1101</v>
      </c>
      <c r="AC148" s="27">
        <f>+N148-'[12]Приложение № 4'!E148</f>
        <v>0</v>
      </c>
      <c r="AG148" s="107" t="s">
        <v>1161</v>
      </c>
      <c r="AH148" s="102">
        <f t="shared" ref="AH148:AH155" si="21">SUM(AI148:AW148)</f>
        <v>113524.54300000001</v>
      </c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6">
        <v>113524.54300000001</v>
      </c>
      <c r="AW148" s="106"/>
    </row>
    <row r="149" spans="1:49" ht="15" x14ac:dyDescent="0.25">
      <c r="A149" s="76">
        <f t="shared" si="18"/>
        <v>137</v>
      </c>
      <c r="B149" s="77">
        <f t="shared" si="18"/>
        <v>137</v>
      </c>
      <c r="C149" s="77" t="s">
        <v>568</v>
      </c>
      <c r="D149" s="77" t="s">
        <v>1162</v>
      </c>
      <c r="E149" s="78">
        <v>1979</v>
      </c>
      <c r="F149" s="78">
        <v>2013</v>
      </c>
      <c r="G149" s="78" t="s">
        <v>44</v>
      </c>
      <c r="H149" s="78">
        <v>4</v>
      </c>
      <c r="I149" s="78">
        <v>3</v>
      </c>
      <c r="J149" s="44">
        <v>1175.2</v>
      </c>
      <c r="K149" s="44">
        <v>845.9</v>
      </c>
      <c r="L149" s="44">
        <v>0</v>
      </c>
      <c r="M149" s="79">
        <v>33</v>
      </c>
      <c r="N149" s="72">
        <f t="shared" si="13"/>
        <v>24000</v>
      </c>
      <c r="O149" s="44"/>
      <c r="P149" s="44"/>
      <c r="Q149" s="44"/>
      <c r="R149" s="44">
        <f>+'[12]Приложение № 4'!E149</f>
        <v>24000</v>
      </c>
      <c r="S149" s="44"/>
      <c r="T149" s="44"/>
      <c r="U149" s="44">
        <f t="shared" si="20"/>
        <v>28.372148008038778</v>
      </c>
      <c r="V149" s="44">
        <f t="shared" si="20"/>
        <v>28.372148008038778</v>
      </c>
      <c r="W149" s="80" t="s">
        <v>1101</v>
      </c>
      <c r="AC149" s="27">
        <f>+N149-'[12]Приложение № 4'!E149</f>
        <v>0</v>
      </c>
      <c r="AG149" s="107" t="s">
        <v>1162</v>
      </c>
      <c r="AH149" s="102">
        <f t="shared" si="21"/>
        <v>92162.666100000002</v>
      </c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6">
        <v>92162.666100000002</v>
      </c>
      <c r="AW149" s="106"/>
    </row>
    <row r="150" spans="1:49" ht="15" x14ac:dyDescent="0.25">
      <c r="A150" s="76">
        <f t="shared" si="18"/>
        <v>138</v>
      </c>
      <c r="B150" s="77">
        <f t="shared" si="18"/>
        <v>138</v>
      </c>
      <c r="C150" s="77" t="s">
        <v>568</v>
      </c>
      <c r="D150" s="77" t="s">
        <v>1163</v>
      </c>
      <c r="E150" s="78">
        <v>1975</v>
      </c>
      <c r="F150" s="78">
        <v>2013</v>
      </c>
      <c r="G150" s="78" t="s">
        <v>51</v>
      </c>
      <c r="H150" s="78">
        <v>4</v>
      </c>
      <c r="I150" s="78">
        <v>4</v>
      </c>
      <c r="J150" s="44">
        <v>3899.5</v>
      </c>
      <c r="K150" s="44">
        <v>3416.4</v>
      </c>
      <c r="L150" s="44">
        <v>0</v>
      </c>
      <c r="M150" s="79">
        <v>110</v>
      </c>
      <c r="N150" s="72">
        <f t="shared" si="13"/>
        <v>24000</v>
      </c>
      <c r="O150" s="44"/>
      <c r="P150" s="44"/>
      <c r="Q150" s="44"/>
      <c r="R150" s="44">
        <f>+'[12]Приложение № 4'!E150</f>
        <v>24000</v>
      </c>
      <c r="S150" s="44"/>
      <c r="T150" s="44"/>
      <c r="U150" s="44">
        <f t="shared" si="20"/>
        <v>7.0249385317878463</v>
      </c>
      <c r="V150" s="44">
        <f t="shared" si="20"/>
        <v>7.0249385317878463</v>
      </c>
      <c r="W150" s="80" t="s">
        <v>1101</v>
      </c>
      <c r="AC150" s="27">
        <f>+N150-'[12]Приложение № 4'!E150</f>
        <v>0</v>
      </c>
      <c r="AG150" s="107" t="s">
        <v>1163</v>
      </c>
      <c r="AH150" s="102">
        <f t="shared" si="21"/>
        <v>192230.92030000003</v>
      </c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6">
        <v>192230.92030000003</v>
      </c>
      <c r="AW150" s="106"/>
    </row>
    <row r="151" spans="1:49" ht="15" x14ac:dyDescent="0.25">
      <c r="A151" s="76">
        <f t="shared" si="18"/>
        <v>139</v>
      </c>
      <c r="B151" s="77">
        <f t="shared" si="18"/>
        <v>139</v>
      </c>
      <c r="C151" s="77" t="s">
        <v>568</v>
      </c>
      <c r="D151" s="77" t="s">
        <v>1164</v>
      </c>
      <c r="E151" s="78">
        <v>1977</v>
      </c>
      <c r="F151" s="78">
        <v>2008</v>
      </c>
      <c r="G151" s="78" t="s">
        <v>51</v>
      </c>
      <c r="H151" s="78">
        <v>4</v>
      </c>
      <c r="I151" s="78">
        <v>4</v>
      </c>
      <c r="J151" s="44">
        <v>3933.9</v>
      </c>
      <c r="K151" s="44">
        <v>3431.9</v>
      </c>
      <c r="L151" s="44">
        <v>0</v>
      </c>
      <c r="M151" s="79">
        <v>160</v>
      </c>
      <c r="N151" s="72">
        <f t="shared" si="13"/>
        <v>24000</v>
      </c>
      <c r="O151" s="44"/>
      <c r="P151" s="44"/>
      <c r="Q151" s="44"/>
      <c r="R151" s="44">
        <f>+'[12]Приложение № 4'!E151</f>
        <v>24000</v>
      </c>
      <c r="S151" s="44"/>
      <c r="T151" s="44"/>
      <c r="U151" s="44">
        <f t="shared" si="20"/>
        <v>6.9932107578892158</v>
      </c>
      <c r="V151" s="44">
        <f t="shared" si="20"/>
        <v>6.9932107578892158</v>
      </c>
      <c r="W151" s="80" t="s">
        <v>1101</v>
      </c>
      <c r="AC151" s="27">
        <f>+N151-'[12]Приложение № 4'!E151</f>
        <v>0</v>
      </c>
      <c r="AG151" s="107" t="s">
        <v>1164</v>
      </c>
      <c r="AH151" s="102">
        <f t="shared" si="21"/>
        <v>121152.24740000001</v>
      </c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6">
        <v>121152.24740000001</v>
      </c>
      <c r="AW151" s="106"/>
    </row>
    <row r="152" spans="1:49" ht="15" x14ac:dyDescent="0.25">
      <c r="A152" s="76">
        <f t="shared" si="18"/>
        <v>140</v>
      </c>
      <c r="B152" s="77">
        <f t="shared" si="18"/>
        <v>140</v>
      </c>
      <c r="C152" s="77" t="s">
        <v>568</v>
      </c>
      <c r="D152" s="77" t="s">
        <v>1165</v>
      </c>
      <c r="E152" s="78">
        <v>1979</v>
      </c>
      <c r="F152" s="78">
        <v>2008</v>
      </c>
      <c r="G152" s="78" t="s">
        <v>51</v>
      </c>
      <c r="H152" s="78">
        <v>5</v>
      </c>
      <c r="I152" s="78">
        <v>4</v>
      </c>
      <c r="J152" s="44">
        <v>4904.7</v>
      </c>
      <c r="K152" s="44">
        <v>4322.5</v>
      </c>
      <c r="L152" s="44">
        <v>0</v>
      </c>
      <c r="M152" s="79">
        <v>181</v>
      </c>
      <c r="N152" s="72">
        <f t="shared" si="13"/>
        <v>24000</v>
      </c>
      <c r="O152" s="44"/>
      <c r="P152" s="44"/>
      <c r="Q152" s="44"/>
      <c r="R152" s="44">
        <f>+'[12]Приложение № 4'!E152</f>
        <v>24000</v>
      </c>
      <c r="S152" s="44"/>
      <c r="T152" s="44"/>
      <c r="U152" s="44">
        <f t="shared" si="20"/>
        <v>5.552342394447658</v>
      </c>
      <c r="V152" s="44">
        <f t="shared" si="20"/>
        <v>5.552342394447658</v>
      </c>
      <c r="W152" s="80" t="s">
        <v>1101</v>
      </c>
      <c r="AC152" s="27">
        <f>+N152-'[12]Приложение № 4'!E152</f>
        <v>0</v>
      </c>
      <c r="AG152" s="107" t="s">
        <v>1165</v>
      </c>
      <c r="AH152" s="102">
        <f t="shared" si="21"/>
        <v>152592.0306</v>
      </c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6">
        <v>152592.0306</v>
      </c>
      <c r="AW152" s="106"/>
    </row>
    <row r="153" spans="1:49" ht="15" x14ac:dyDescent="0.25">
      <c r="A153" s="76">
        <f t="shared" si="18"/>
        <v>141</v>
      </c>
      <c r="B153" s="77">
        <f t="shared" si="18"/>
        <v>141</v>
      </c>
      <c r="C153" s="77" t="s">
        <v>568</v>
      </c>
      <c r="D153" s="77" t="s">
        <v>1166</v>
      </c>
      <c r="E153" s="78">
        <v>1977</v>
      </c>
      <c r="F153" s="78">
        <v>2008</v>
      </c>
      <c r="G153" s="78" t="s">
        <v>51</v>
      </c>
      <c r="H153" s="78">
        <v>5</v>
      </c>
      <c r="I153" s="78">
        <v>4</v>
      </c>
      <c r="J153" s="44">
        <v>3868.2</v>
      </c>
      <c r="K153" s="44">
        <v>3393</v>
      </c>
      <c r="L153" s="44">
        <v>0</v>
      </c>
      <c r="M153" s="79">
        <v>180</v>
      </c>
      <c r="N153" s="72">
        <f t="shared" si="13"/>
        <v>24000</v>
      </c>
      <c r="O153" s="44"/>
      <c r="P153" s="44"/>
      <c r="Q153" s="44"/>
      <c r="R153" s="44">
        <f>+'[12]Приложение № 4'!E153</f>
        <v>24000</v>
      </c>
      <c r="S153" s="44"/>
      <c r="T153" s="44"/>
      <c r="U153" s="44">
        <f t="shared" si="20"/>
        <v>7.0733863837312114</v>
      </c>
      <c r="V153" s="44">
        <f t="shared" si="20"/>
        <v>7.0733863837312114</v>
      </c>
      <c r="W153" s="80" t="s">
        <v>1101</v>
      </c>
      <c r="AC153" s="27">
        <f>+N153-'[12]Приложение № 4'!E153</f>
        <v>0</v>
      </c>
      <c r="AG153" s="107" t="s">
        <v>1166</v>
      </c>
      <c r="AH153" s="102">
        <f t="shared" si="21"/>
        <v>119779.00739999999</v>
      </c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6">
        <v>119779.00739999999</v>
      </c>
      <c r="AW153" s="106"/>
    </row>
    <row r="154" spans="1:49" ht="15" x14ac:dyDescent="0.25">
      <c r="A154" s="76">
        <f t="shared" si="18"/>
        <v>142</v>
      </c>
      <c r="B154" s="77">
        <f t="shared" si="18"/>
        <v>142</v>
      </c>
      <c r="C154" s="77" t="s">
        <v>568</v>
      </c>
      <c r="D154" s="77" t="s">
        <v>1167</v>
      </c>
      <c r="E154" s="78">
        <v>1979</v>
      </c>
      <c r="F154" s="78">
        <v>2008</v>
      </c>
      <c r="G154" s="78" t="s">
        <v>51</v>
      </c>
      <c r="H154" s="78">
        <v>5</v>
      </c>
      <c r="I154" s="78">
        <v>4</v>
      </c>
      <c r="J154" s="44">
        <v>4069.3</v>
      </c>
      <c r="K154" s="44">
        <v>3493.4</v>
      </c>
      <c r="L154" s="44">
        <v>0</v>
      </c>
      <c r="M154" s="79">
        <v>172</v>
      </c>
      <c r="N154" s="72">
        <f t="shared" si="13"/>
        <v>24000</v>
      </c>
      <c r="O154" s="44"/>
      <c r="P154" s="44"/>
      <c r="Q154" s="44"/>
      <c r="R154" s="44">
        <f>+'[12]Приложение № 4'!E154</f>
        <v>24000</v>
      </c>
      <c r="S154" s="44"/>
      <c r="T154" s="44"/>
      <c r="U154" s="44">
        <f t="shared" si="20"/>
        <v>6.8700978988950592</v>
      </c>
      <c r="V154" s="44">
        <f t="shared" si="20"/>
        <v>6.8700978988950592</v>
      </c>
      <c r="W154" s="80" t="s">
        <v>1101</v>
      </c>
      <c r="AC154" s="27">
        <f>+N154-'[12]Приложение № 4'!E154</f>
        <v>0</v>
      </c>
      <c r="AG154" s="107" t="s">
        <v>1167</v>
      </c>
      <c r="AH154" s="102">
        <f t="shared" si="21"/>
        <v>123323.30799999999</v>
      </c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6">
        <v>123323.30799999999</v>
      </c>
      <c r="AW154" s="106"/>
    </row>
    <row r="155" spans="1:49" ht="15" x14ac:dyDescent="0.25">
      <c r="A155" s="76">
        <f t="shared" si="18"/>
        <v>143</v>
      </c>
      <c r="B155" s="77">
        <f t="shared" si="18"/>
        <v>143</v>
      </c>
      <c r="C155" s="77" t="s">
        <v>568</v>
      </c>
      <c r="D155" s="77" t="s">
        <v>1168</v>
      </c>
      <c r="E155" s="78">
        <v>1977</v>
      </c>
      <c r="F155" s="78">
        <v>2013</v>
      </c>
      <c r="G155" s="78" t="s">
        <v>51</v>
      </c>
      <c r="H155" s="78">
        <v>4</v>
      </c>
      <c r="I155" s="78">
        <v>4</v>
      </c>
      <c r="J155" s="44">
        <v>3916.4</v>
      </c>
      <c r="K155" s="44">
        <v>3438.3</v>
      </c>
      <c r="L155" s="44">
        <v>0</v>
      </c>
      <c r="M155" s="79">
        <v>163</v>
      </c>
      <c r="N155" s="72">
        <f t="shared" si="13"/>
        <v>24000</v>
      </c>
      <c r="O155" s="44"/>
      <c r="P155" s="44"/>
      <c r="Q155" s="44"/>
      <c r="R155" s="44">
        <f>+'[12]Приложение № 4'!E155</f>
        <v>24000</v>
      </c>
      <c r="S155" s="44"/>
      <c r="T155" s="44"/>
      <c r="U155" s="44">
        <f t="shared" si="20"/>
        <v>6.9801937003751853</v>
      </c>
      <c r="V155" s="44">
        <f t="shared" si="20"/>
        <v>6.9801937003751853</v>
      </c>
      <c r="W155" s="80" t="s">
        <v>1101</v>
      </c>
      <c r="AC155" s="27">
        <f>+N155-'[12]Приложение № 4'!E155</f>
        <v>0</v>
      </c>
      <c r="AG155" s="107" t="s">
        <v>1168</v>
      </c>
      <c r="AH155" s="102">
        <f t="shared" si="21"/>
        <v>626853.32070000004</v>
      </c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6">
        <v>626853.32070000004</v>
      </c>
      <c r="AW155" s="106"/>
    </row>
    <row r="156" spans="1:49" ht="15" x14ac:dyDescent="0.25">
      <c r="A156" s="76">
        <f t="shared" si="18"/>
        <v>144</v>
      </c>
      <c r="B156" s="77">
        <f t="shared" si="18"/>
        <v>144</v>
      </c>
      <c r="C156" s="77" t="s">
        <v>568</v>
      </c>
      <c r="D156" s="77" t="s">
        <v>994</v>
      </c>
      <c r="E156" s="78" t="s">
        <v>609</v>
      </c>
      <c r="F156" s="78"/>
      <c r="G156" s="78" t="s">
        <v>570</v>
      </c>
      <c r="H156" s="78" t="s">
        <v>572</v>
      </c>
      <c r="I156" s="78" t="s">
        <v>572</v>
      </c>
      <c r="J156" s="44">
        <v>777.8</v>
      </c>
      <c r="K156" s="44">
        <v>732</v>
      </c>
      <c r="L156" s="44">
        <v>0</v>
      </c>
      <c r="M156" s="79">
        <v>33</v>
      </c>
      <c r="N156" s="72">
        <f t="shared" si="13"/>
        <v>819121.35000000021</v>
      </c>
      <c r="O156" s="44">
        <v>0</v>
      </c>
      <c r="P156" s="44"/>
      <c r="Q156" s="44"/>
      <c r="R156" s="44">
        <f>+'[12]Приложение № 4'!E156</f>
        <v>819121.35000000021</v>
      </c>
      <c r="S156" s="44"/>
      <c r="T156" s="44"/>
      <c r="U156" s="44">
        <v>15202.87</v>
      </c>
      <c r="V156" s="44">
        <v>15202.87</v>
      </c>
      <c r="W156" s="80" t="s">
        <v>1101</v>
      </c>
      <c r="X156" s="96" t="e">
        <f>+N156-#REF!</f>
        <v>#REF!</v>
      </c>
      <c r="Y156" s="94">
        <v>237927.52</v>
      </c>
      <c r="Z156" s="94">
        <f t="shared" ref="Z156:Z171" si="22">+(K156*9.1+L156*18.19)*12</f>
        <v>79934.399999999994</v>
      </c>
      <c r="AB156" s="96" t="e">
        <f>+N156-#REF!</f>
        <v>#REF!</v>
      </c>
      <c r="AC156" s="27">
        <f>+N156-'[12]Приложение № 4'!E156</f>
        <v>0</v>
      </c>
      <c r="AE156" s="98" t="e">
        <f>+N156-#REF!</f>
        <v>#REF!</v>
      </c>
      <c r="AG156" s="101" t="s">
        <v>994</v>
      </c>
      <c r="AH156" s="102">
        <f t="shared" si="19"/>
        <v>823247.98824867455</v>
      </c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>
        <v>782283.7281974745</v>
      </c>
      <c r="AV156" s="102">
        <v>40964.260051200006</v>
      </c>
      <c r="AW156" s="102"/>
    </row>
    <row r="157" spans="1:49" ht="15" x14ac:dyDescent="0.25">
      <c r="A157" s="76">
        <f t="shared" si="18"/>
        <v>145</v>
      </c>
      <c r="B157" s="77">
        <f t="shared" si="18"/>
        <v>145</v>
      </c>
      <c r="C157" s="77" t="s">
        <v>568</v>
      </c>
      <c r="D157" s="77" t="s">
        <v>995</v>
      </c>
      <c r="E157" s="78" t="s">
        <v>740</v>
      </c>
      <c r="F157" s="78"/>
      <c r="G157" s="78" t="s">
        <v>573</v>
      </c>
      <c r="H157" s="78" t="s">
        <v>579</v>
      </c>
      <c r="I157" s="78" t="s">
        <v>579</v>
      </c>
      <c r="J157" s="44">
        <v>3933.9</v>
      </c>
      <c r="K157" s="44">
        <v>3431.9</v>
      </c>
      <c r="L157" s="44">
        <v>0</v>
      </c>
      <c r="M157" s="79">
        <v>160</v>
      </c>
      <c r="N157" s="72">
        <f t="shared" si="13"/>
        <v>573364.16</v>
      </c>
      <c r="O157" s="44">
        <v>0</v>
      </c>
      <c r="P157" s="44"/>
      <c r="Q157" s="44"/>
      <c r="R157" s="44">
        <f>+'[12]Приложение № 4'!E157</f>
        <v>573364.16</v>
      </c>
      <c r="S157" s="44"/>
      <c r="T157" s="44"/>
      <c r="U157" s="44">
        <v>4819.6499999999996</v>
      </c>
      <c r="V157" s="44">
        <v>4819.6499999999996</v>
      </c>
      <c r="W157" s="80" t="s">
        <v>1101</v>
      </c>
      <c r="X157" s="96" t="e">
        <f>+N157-#REF!</f>
        <v>#REF!</v>
      </c>
      <c r="Y157" s="94">
        <v>1303393.05</v>
      </c>
      <c r="Z157" s="94">
        <f t="shared" si="22"/>
        <v>374763.48</v>
      </c>
      <c r="AB157" s="96" t="e">
        <f>+N157-#REF!</f>
        <v>#REF!</v>
      </c>
      <c r="AC157" s="27">
        <f>+N157-'[12]Приложение № 4'!E157</f>
        <v>0</v>
      </c>
      <c r="AE157" s="98" t="e">
        <f>+N157-#REF!</f>
        <v>#REF!</v>
      </c>
      <c r="AG157" s="101" t="s">
        <v>995</v>
      </c>
      <c r="AH157" s="102">
        <f t="shared" ref="AH157:AH171" si="23">SUM(AI157:AW157)</f>
        <v>590325.90453772491</v>
      </c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>
        <v>544716.20587612491</v>
      </c>
      <c r="AV157" s="102">
        <v>45609.698661599999</v>
      </c>
      <c r="AW157" s="102"/>
    </row>
    <row r="158" spans="1:49" ht="15" x14ac:dyDescent="0.25">
      <c r="A158" s="76">
        <f t="shared" si="18"/>
        <v>146</v>
      </c>
      <c r="B158" s="77">
        <f t="shared" si="18"/>
        <v>146</v>
      </c>
      <c r="C158" s="77" t="s">
        <v>568</v>
      </c>
      <c r="D158" s="77" t="s">
        <v>996</v>
      </c>
      <c r="E158" s="78" t="s">
        <v>740</v>
      </c>
      <c r="F158" s="78"/>
      <c r="G158" s="78" t="s">
        <v>573</v>
      </c>
      <c r="H158" s="78" t="s">
        <v>579</v>
      </c>
      <c r="I158" s="78" t="s">
        <v>579</v>
      </c>
      <c r="J158" s="44">
        <v>3978.4</v>
      </c>
      <c r="K158" s="44">
        <v>3499.6</v>
      </c>
      <c r="L158" s="44">
        <v>0</v>
      </c>
      <c r="M158" s="79">
        <v>156</v>
      </c>
      <c r="N158" s="72">
        <f t="shared" si="13"/>
        <v>523999.34</v>
      </c>
      <c r="O158" s="44">
        <v>0</v>
      </c>
      <c r="P158" s="44"/>
      <c r="Q158" s="44"/>
      <c r="R158" s="44">
        <f>+'[12]Приложение № 4'!E158</f>
        <v>523999.34</v>
      </c>
      <c r="S158" s="44"/>
      <c r="T158" s="44"/>
      <c r="U158" s="44">
        <v>4819.6499999999996</v>
      </c>
      <c r="V158" s="44">
        <v>4819.6499999999996</v>
      </c>
      <c r="W158" s="80" t="s">
        <v>1101</v>
      </c>
      <c r="X158" s="96" t="e">
        <f>+N158-#REF!</f>
        <v>#REF!</v>
      </c>
      <c r="Y158" s="94">
        <v>1220237.42</v>
      </c>
      <c r="Z158" s="94">
        <f t="shared" si="22"/>
        <v>382156.31999999995</v>
      </c>
      <c r="AB158" s="96" t="e">
        <f>+N158-#REF!</f>
        <v>#REF!</v>
      </c>
      <c r="AC158" s="27">
        <f>+N158-'[12]Приложение № 4'!E158</f>
        <v>0</v>
      </c>
      <c r="AE158" s="98" t="e">
        <f>+N158-#REF!</f>
        <v>#REF!</v>
      </c>
      <c r="AG158" s="101" t="s">
        <v>996</v>
      </c>
      <c r="AH158" s="102">
        <f t="shared" si="23"/>
        <v>540701.55923287338</v>
      </c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>
        <v>495012.36826327338</v>
      </c>
      <c r="AV158" s="102">
        <v>45689.190969599993</v>
      </c>
      <c r="AW158" s="102"/>
    </row>
    <row r="159" spans="1:49" ht="15" x14ac:dyDescent="0.25">
      <c r="A159" s="76">
        <f t="shared" si="18"/>
        <v>147</v>
      </c>
      <c r="B159" s="77">
        <f t="shared" si="18"/>
        <v>147</v>
      </c>
      <c r="C159" s="77" t="s">
        <v>568</v>
      </c>
      <c r="D159" s="77" t="s">
        <v>997</v>
      </c>
      <c r="E159" s="78" t="s">
        <v>609</v>
      </c>
      <c r="F159" s="78"/>
      <c r="G159" s="78" t="s">
        <v>570</v>
      </c>
      <c r="H159" s="78" t="s">
        <v>579</v>
      </c>
      <c r="I159" s="78" t="s">
        <v>575</v>
      </c>
      <c r="J159" s="44">
        <v>1681.47</v>
      </c>
      <c r="K159" s="44">
        <v>1519.87</v>
      </c>
      <c r="L159" s="44">
        <v>0</v>
      </c>
      <c r="M159" s="79">
        <v>43</v>
      </c>
      <c r="N159" s="72">
        <f t="shared" si="13"/>
        <v>550735.69999999995</v>
      </c>
      <c r="O159" s="44">
        <v>0</v>
      </c>
      <c r="P159" s="44"/>
      <c r="Q159" s="44"/>
      <c r="R159" s="44">
        <f>+'[12]Приложение № 4'!E159</f>
        <v>550735.69999999995</v>
      </c>
      <c r="S159" s="44"/>
      <c r="T159" s="44"/>
      <c r="U159" s="44">
        <v>1961.28</v>
      </c>
      <c r="V159" s="44">
        <v>1961.28</v>
      </c>
      <c r="W159" s="80" t="s">
        <v>1101</v>
      </c>
      <c r="X159" s="96" t="e">
        <f>+N159-#REF!</f>
        <v>#REF!</v>
      </c>
      <c r="Y159" s="94">
        <v>906108.73</v>
      </c>
      <c r="Z159" s="94">
        <f t="shared" si="22"/>
        <v>165969.804</v>
      </c>
      <c r="AB159" s="96" t="e">
        <f>+N159-#REF!</f>
        <v>#REF!</v>
      </c>
      <c r="AC159" s="27">
        <f>+N159-'[12]Приложение № 4'!E159</f>
        <v>0</v>
      </c>
      <c r="AE159" s="98" t="e">
        <f>+N159-#REF!</f>
        <v>#REF!</v>
      </c>
      <c r="AG159" s="101" t="s">
        <v>997</v>
      </c>
      <c r="AH159" s="102">
        <f t="shared" si="23"/>
        <v>475238.43616746122</v>
      </c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>
        <v>433068.14638002124</v>
      </c>
      <c r="AV159" s="102">
        <v>42170.289787439993</v>
      </c>
      <c r="AW159" s="102"/>
    </row>
    <row r="160" spans="1:49" ht="15" x14ac:dyDescent="0.25">
      <c r="A160" s="76">
        <f t="shared" si="18"/>
        <v>148</v>
      </c>
      <c r="B160" s="77">
        <f t="shared" si="18"/>
        <v>148</v>
      </c>
      <c r="C160" s="77" t="s">
        <v>568</v>
      </c>
      <c r="D160" s="77" t="s">
        <v>998</v>
      </c>
      <c r="E160" s="78" t="s">
        <v>594</v>
      </c>
      <c r="F160" s="78"/>
      <c r="G160" s="78" t="s">
        <v>573</v>
      </c>
      <c r="H160" s="78" t="s">
        <v>579</v>
      </c>
      <c r="I160" s="78" t="s">
        <v>583</v>
      </c>
      <c r="J160" s="44">
        <v>6570.35</v>
      </c>
      <c r="K160" s="44">
        <v>4923.8</v>
      </c>
      <c r="L160" s="44">
        <v>0</v>
      </c>
      <c r="M160" s="79">
        <v>214</v>
      </c>
      <c r="N160" s="72">
        <f t="shared" si="13"/>
        <v>635450.6</v>
      </c>
      <c r="O160" s="44">
        <v>0</v>
      </c>
      <c r="P160" s="44"/>
      <c r="Q160" s="44"/>
      <c r="R160" s="44">
        <f>+'[12]Приложение № 4'!E160</f>
        <v>635450.6</v>
      </c>
      <c r="S160" s="44"/>
      <c r="T160" s="44"/>
      <c r="U160" s="44">
        <v>4819.6499999999996</v>
      </c>
      <c r="V160" s="44">
        <v>4819.6499999999996</v>
      </c>
      <c r="W160" s="80" t="s">
        <v>1101</v>
      </c>
      <c r="X160" s="96" t="e">
        <f>+N160-#REF!</f>
        <v>#REF!</v>
      </c>
      <c r="Y160" s="94">
        <v>819102.16</v>
      </c>
      <c r="Z160" s="94">
        <f t="shared" si="22"/>
        <v>537678.96</v>
      </c>
      <c r="AB160" s="96" t="e">
        <f>+N160-#REF!</f>
        <v>#REF!</v>
      </c>
      <c r="AC160" s="27">
        <f>+N160-'[12]Приложение № 4'!E160</f>
        <v>0</v>
      </c>
      <c r="AE160" s="98" t="e">
        <f>+N160-#REF!</f>
        <v>#REF!</v>
      </c>
      <c r="AG160" s="101" t="s">
        <v>998</v>
      </c>
      <c r="AH160" s="102">
        <f t="shared" si="23"/>
        <v>652738.77318787284</v>
      </c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>
        <v>602419.46788747283</v>
      </c>
      <c r="AV160" s="102">
        <v>50319.305300400003</v>
      </c>
      <c r="AW160" s="102"/>
    </row>
    <row r="161" spans="1:49" ht="15" x14ac:dyDescent="0.25">
      <c r="A161" s="76">
        <f t="shared" si="18"/>
        <v>149</v>
      </c>
      <c r="B161" s="77">
        <f t="shared" si="18"/>
        <v>149</v>
      </c>
      <c r="C161" s="77" t="s">
        <v>568</v>
      </c>
      <c r="D161" s="77" t="s">
        <v>999</v>
      </c>
      <c r="E161" s="78" t="s">
        <v>593</v>
      </c>
      <c r="F161" s="78"/>
      <c r="G161" s="78" t="s">
        <v>573</v>
      </c>
      <c r="H161" s="78" t="s">
        <v>579</v>
      </c>
      <c r="I161" s="78" t="s">
        <v>579</v>
      </c>
      <c r="J161" s="44">
        <v>4671.96</v>
      </c>
      <c r="K161" s="44">
        <v>3440.7</v>
      </c>
      <c r="L161" s="44">
        <v>0</v>
      </c>
      <c r="M161" s="79">
        <v>128</v>
      </c>
      <c r="N161" s="72">
        <f t="shared" si="13"/>
        <v>486902.27999999991</v>
      </c>
      <c r="O161" s="44">
        <v>0</v>
      </c>
      <c r="P161" s="44"/>
      <c r="Q161" s="44"/>
      <c r="R161" s="44">
        <f>+'[12]Приложение № 4'!E161</f>
        <v>486902.27999999991</v>
      </c>
      <c r="S161" s="44"/>
      <c r="T161" s="44"/>
      <c r="U161" s="44">
        <v>2146.4299999999998</v>
      </c>
      <c r="V161" s="44">
        <v>2146.4299999999998</v>
      </c>
      <c r="W161" s="80" t="s">
        <v>1101</v>
      </c>
      <c r="X161" s="96" t="e">
        <f>+N161-#REF!</f>
        <v>#REF!</v>
      </c>
      <c r="Y161" s="94">
        <v>1272728.27</v>
      </c>
      <c r="Z161" s="94">
        <f t="shared" si="22"/>
        <v>375724.43999999994</v>
      </c>
      <c r="AB161" s="96" t="e">
        <f>+N161-#REF!</f>
        <v>#REF!</v>
      </c>
      <c r="AC161" s="27">
        <f>+N161-'[12]Приложение № 4'!E161</f>
        <v>0</v>
      </c>
      <c r="AE161" s="98" t="e">
        <f>+N161-#REF!</f>
        <v>#REF!</v>
      </c>
      <c r="AG161" s="101" t="s">
        <v>999</v>
      </c>
      <c r="AH161" s="102">
        <f t="shared" si="23"/>
        <v>503409.46398691635</v>
      </c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>
        <v>456481.33627267636</v>
      </c>
      <c r="AV161" s="102">
        <v>46928.127714240007</v>
      </c>
      <c r="AW161" s="102"/>
    </row>
    <row r="162" spans="1:49" ht="15" x14ac:dyDescent="0.25">
      <c r="A162" s="76">
        <f t="shared" si="18"/>
        <v>150</v>
      </c>
      <c r="B162" s="77">
        <f t="shared" si="18"/>
        <v>150</v>
      </c>
      <c r="C162" s="77" t="s">
        <v>568</v>
      </c>
      <c r="D162" s="77" t="s">
        <v>843</v>
      </c>
      <c r="E162" s="78" t="s">
        <v>626</v>
      </c>
      <c r="F162" s="78"/>
      <c r="G162" s="78" t="s">
        <v>570</v>
      </c>
      <c r="H162" s="78" t="s">
        <v>579</v>
      </c>
      <c r="I162" s="78" t="s">
        <v>579</v>
      </c>
      <c r="J162" s="44">
        <v>3051.6</v>
      </c>
      <c r="K162" s="44">
        <v>2721.6</v>
      </c>
      <c r="L162" s="44">
        <v>0</v>
      </c>
      <c r="M162" s="79">
        <v>139</v>
      </c>
      <c r="N162" s="72">
        <f t="shared" si="13"/>
        <v>1413561.83</v>
      </c>
      <c r="O162" s="44">
        <v>0</v>
      </c>
      <c r="P162" s="44"/>
      <c r="Q162" s="44"/>
      <c r="R162" s="44">
        <f>+'[12]Приложение № 4'!E162</f>
        <v>1413561.83</v>
      </c>
      <c r="S162" s="44"/>
      <c r="T162" s="44"/>
      <c r="U162" s="44">
        <v>3856.88</v>
      </c>
      <c r="V162" s="44">
        <v>3856.88</v>
      </c>
      <c r="W162" s="80" t="s">
        <v>1101</v>
      </c>
      <c r="X162" s="96" t="e">
        <f>+N162-#REF!</f>
        <v>#REF!</v>
      </c>
      <c r="Y162" s="94">
        <v>447292.8</v>
      </c>
      <c r="Z162" s="94">
        <f t="shared" si="22"/>
        <v>297198.71999999997</v>
      </c>
      <c r="AB162" s="96" t="e">
        <f>+N162-#REF!</f>
        <v>#REF!</v>
      </c>
      <c r="AC162" s="27">
        <f>+N162-'[12]Приложение № 4'!E162</f>
        <v>0</v>
      </c>
      <c r="AE162" s="98" t="e">
        <f>+N162-#REF!</f>
        <v>#REF!</v>
      </c>
      <c r="AG162" s="101" t="s">
        <v>843</v>
      </c>
      <c r="AH162" s="102">
        <f t="shared" si="23"/>
        <v>702682.21449537086</v>
      </c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>
        <v>658648.60714497091</v>
      </c>
      <c r="AV162" s="102">
        <v>44033.607350400001</v>
      </c>
      <c r="AW162" s="102"/>
    </row>
    <row r="163" spans="1:49" ht="15" x14ac:dyDescent="0.25">
      <c r="A163" s="76">
        <f t="shared" si="18"/>
        <v>151</v>
      </c>
      <c r="B163" s="77">
        <f t="shared" si="18"/>
        <v>151</v>
      </c>
      <c r="C163" s="77" t="s">
        <v>568</v>
      </c>
      <c r="D163" s="77" t="s">
        <v>1000</v>
      </c>
      <c r="E163" s="78" t="s">
        <v>1107</v>
      </c>
      <c r="F163" s="78"/>
      <c r="G163" s="78" t="s">
        <v>570</v>
      </c>
      <c r="H163" s="78" t="s">
        <v>579</v>
      </c>
      <c r="I163" s="78" t="s">
        <v>579</v>
      </c>
      <c r="J163" s="44">
        <v>2683.3</v>
      </c>
      <c r="K163" s="44">
        <v>2486.4</v>
      </c>
      <c r="L163" s="44">
        <v>0</v>
      </c>
      <c r="M163" s="79">
        <v>101</v>
      </c>
      <c r="N163" s="72">
        <f t="shared" si="13"/>
        <v>512696.55000000005</v>
      </c>
      <c r="O163" s="44">
        <v>0</v>
      </c>
      <c r="P163" s="44"/>
      <c r="Q163" s="44"/>
      <c r="R163" s="44">
        <f>+'[12]Приложение № 4'!E163</f>
        <v>512696.55000000005</v>
      </c>
      <c r="S163" s="44"/>
      <c r="T163" s="44"/>
      <c r="U163" s="44">
        <v>2191.9</v>
      </c>
      <c r="V163" s="44">
        <v>2191.9</v>
      </c>
      <c r="W163" s="80" t="s">
        <v>1101</v>
      </c>
      <c r="X163" s="96" t="e">
        <f>+N163-#REF!</f>
        <v>#REF!</v>
      </c>
      <c r="Y163" s="94">
        <v>947131.75</v>
      </c>
      <c r="Z163" s="94">
        <f t="shared" si="22"/>
        <v>271514.88</v>
      </c>
      <c r="AB163" s="96" t="e">
        <f>+N163-#REF!</f>
        <v>#REF!</v>
      </c>
      <c r="AC163" s="27">
        <f>+N163-'[12]Приложение № 4'!E163</f>
        <v>0</v>
      </c>
      <c r="AE163" s="98" t="e">
        <f>+N163-#REF!</f>
        <v>#REF!</v>
      </c>
      <c r="AG163" s="101" t="s">
        <v>1000</v>
      </c>
      <c r="AH163" s="102">
        <f t="shared" si="23"/>
        <v>529305.50803514558</v>
      </c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>
        <v>505305.50803514558</v>
      </c>
      <c r="AV163" s="102">
        <v>24000</v>
      </c>
      <c r="AW163" s="102"/>
    </row>
    <row r="164" spans="1:49" ht="15" x14ac:dyDescent="0.25">
      <c r="A164" s="76">
        <f t="shared" si="18"/>
        <v>152</v>
      </c>
      <c r="B164" s="77">
        <f t="shared" si="18"/>
        <v>152</v>
      </c>
      <c r="C164" s="77" t="s">
        <v>568</v>
      </c>
      <c r="D164" s="77" t="s">
        <v>845</v>
      </c>
      <c r="E164" s="78" t="s">
        <v>1116</v>
      </c>
      <c r="F164" s="78"/>
      <c r="G164" s="78" t="s">
        <v>570</v>
      </c>
      <c r="H164" s="78" t="s">
        <v>575</v>
      </c>
      <c r="I164" s="78" t="s">
        <v>572</v>
      </c>
      <c r="J164" s="44">
        <v>1144.0999999999999</v>
      </c>
      <c r="K164" s="44">
        <v>1054.7</v>
      </c>
      <c r="L164" s="44">
        <v>0</v>
      </c>
      <c r="M164" s="79">
        <v>26</v>
      </c>
      <c r="N164" s="72">
        <f t="shared" si="13"/>
        <v>951248.59999999986</v>
      </c>
      <c r="O164" s="44">
        <v>0</v>
      </c>
      <c r="P164" s="44"/>
      <c r="Q164" s="44"/>
      <c r="R164" s="44">
        <f>+'[12]Приложение № 4'!E164</f>
        <v>951248.59999999986</v>
      </c>
      <c r="S164" s="44"/>
      <c r="T164" s="44"/>
      <c r="U164" s="44">
        <v>6513.44</v>
      </c>
      <c r="V164" s="44">
        <v>6513.44</v>
      </c>
      <c r="W164" s="80" t="s">
        <v>1101</v>
      </c>
      <c r="X164" s="96" t="e">
        <f>+N164-#REF!</f>
        <v>#REF!</v>
      </c>
      <c r="Y164" s="94">
        <v>256283.57</v>
      </c>
      <c r="Z164" s="94">
        <f t="shared" si="22"/>
        <v>115173.24</v>
      </c>
      <c r="AB164" s="96" t="e">
        <f>+N164-#REF!</f>
        <v>#REF!</v>
      </c>
      <c r="AC164" s="27">
        <f>+N164-'[12]Приложение № 4'!E164</f>
        <v>0</v>
      </c>
      <c r="AE164" s="98" t="e">
        <f>+N164-#REF!</f>
        <v>#REF!</v>
      </c>
      <c r="AG164" s="101" t="s">
        <v>845</v>
      </c>
      <c r="AH164" s="102">
        <f t="shared" si="23"/>
        <v>342022.27478857868</v>
      </c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>
        <v>300909.51000617869</v>
      </c>
      <c r="AV164" s="102">
        <v>41112.764782400001</v>
      </c>
      <c r="AW164" s="102"/>
    </row>
    <row r="165" spans="1:49" ht="15" x14ac:dyDescent="0.25">
      <c r="A165" s="76">
        <f t="shared" si="18"/>
        <v>153</v>
      </c>
      <c r="B165" s="77">
        <f t="shared" si="18"/>
        <v>153</v>
      </c>
      <c r="C165" s="77" t="s">
        <v>568</v>
      </c>
      <c r="D165" s="77" t="s">
        <v>1001</v>
      </c>
      <c r="E165" s="78" t="s">
        <v>1115</v>
      </c>
      <c r="F165" s="78"/>
      <c r="G165" s="78" t="s">
        <v>570</v>
      </c>
      <c r="H165" s="78" t="s">
        <v>579</v>
      </c>
      <c r="I165" s="78" t="s">
        <v>579</v>
      </c>
      <c r="J165" s="44">
        <v>1678.9</v>
      </c>
      <c r="K165" s="44">
        <v>1533.7</v>
      </c>
      <c r="L165" s="44">
        <v>0</v>
      </c>
      <c r="M165" s="79">
        <v>74</v>
      </c>
      <c r="N165" s="72">
        <f t="shared" si="13"/>
        <v>266552.34999999998</v>
      </c>
      <c r="O165" s="44">
        <v>0</v>
      </c>
      <c r="P165" s="44"/>
      <c r="Q165" s="44"/>
      <c r="R165" s="44">
        <f>+'[12]Приложение № 4'!E165</f>
        <v>266552.34999999998</v>
      </c>
      <c r="S165" s="44"/>
      <c r="T165" s="44"/>
      <c r="U165" s="44">
        <v>1961.28</v>
      </c>
      <c r="V165" s="44">
        <v>1961.28</v>
      </c>
      <c r="W165" s="80" t="s">
        <v>1101</v>
      </c>
      <c r="X165" s="96" t="e">
        <f>+N165-#REF!</f>
        <v>#REF!</v>
      </c>
      <c r="Y165" s="94">
        <v>771486.67</v>
      </c>
      <c r="Z165" s="94">
        <f t="shared" si="22"/>
        <v>167480.04</v>
      </c>
      <c r="AB165" s="96" t="e">
        <f>+N165-#REF!</f>
        <v>#REF!</v>
      </c>
      <c r="AC165" s="27">
        <f>+N165-'[12]Приложение № 4'!E165</f>
        <v>0</v>
      </c>
      <c r="AE165" s="98" t="e">
        <f>+N165-#REF!</f>
        <v>#REF!</v>
      </c>
      <c r="AG165" s="101" t="s">
        <v>1001</v>
      </c>
      <c r="AH165" s="102">
        <f t="shared" si="23"/>
        <v>466920.62854980899</v>
      </c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>
        <v>424872.54255540902</v>
      </c>
      <c r="AV165" s="102">
        <v>42048.085994399997</v>
      </c>
      <c r="AW165" s="102"/>
    </row>
    <row r="166" spans="1:49" ht="15" x14ac:dyDescent="0.25">
      <c r="A166" s="76">
        <f t="shared" si="18"/>
        <v>154</v>
      </c>
      <c r="B166" s="77">
        <f t="shared" si="18"/>
        <v>154</v>
      </c>
      <c r="C166" s="77" t="s">
        <v>568</v>
      </c>
      <c r="D166" s="77" t="s">
        <v>1002</v>
      </c>
      <c r="E166" s="78" t="s">
        <v>586</v>
      </c>
      <c r="F166" s="78"/>
      <c r="G166" s="78" t="s">
        <v>570</v>
      </c>
      <c r="H166" s="78" t="s">
        <v>575</v>
      </c>
      <c r="I166" s="78"/>
      <c r="J166" s="44">
        <v>1672</v>
      </c>
      <c r="K166" s="44">
        <v>1326.4</v>
      </c>
      <c r="L166" s="44">
        <v>0</v>
      </c>
      <c r="M166" s="79">
        <v>2</v>
      </c>
      <c r="N166" s="72">
        <f t="shared" si="13"/>
        <v>1612207.31</v>
      </c>
      <c r="O166" s="44">
        <v>0</v>
      </c>
      <c r="P166" s="44"/>
      <c r="Q166" s="44"/>
      <c r="R166" s="44">
        <f>+'[12]Приложение № 4'!E166</f>
        <v>1612207.31</v>
      </c>
      <c r="S166" s="44"/>
      <c r="T166" s="44"/>
      <c r="U166" s="44">
        <v>14862.21</v>
      </c>
      <c r="V166" s="44">
        <v>14862.21</v>
      </c>
      <c r="W166" s="80" t="s">
        <v>1101</v>
      </c>
      <c r="X166" s="96" t="e">
        <f>+N166-#REF!</f>
        <v>#REF!</v>
      </c>
      <c r="Y166" s="94">
        <v>8550.2099999999991</v>
      </c>
      <c r="Z166" s="94">
        <f t="shared" si="22"/>
        <v>144842.88</v>
      </c>
      <c r="AB166" s="96" t="e">
        <f>+N166-#REF!</f>
        <v>#REF!</v>
      </c>
      <c r="AC166" s="27">
        <f>+N166-'[12]Приложение № 4'!E166</f>
        <v>0</v>
      </c>
      <c r="AE166" s="98" t="e">
        <f>+N166-#REF!</f>
        <v>#REF!</v>
      </c>
      <c r="AG166" s="101" t="s">
        <v>1002</v>
      </c>
      <c r="AH166" s="102">
        <f t="shared" si="23"/>
        <v>1690061.3761725361</v>
      </c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>
        <v>1647781.073964536</v>
      </c>
      <c r="AV166" s="102">
        <v>42280.302208000001</v>
      </c>
      <c r="AW166" s="102"/>
    </row>
    <row r="167" spans="1:49" ht="15" x14ac:dyDescent="0.25">
      <c r="A167" s="76">
        <f t="shared" si="18"/>
        <v>155</v>
      </c>
      <c r="B167" s="77">
        <f t="shared" si="18"/>
        <v>155</v>
      </c>
      <c r="C167" s="77" t="s">
        <v>568</v>
      </c>
      <c r="D167" s="77" t="s">
        <v>1003</v>
      </c>
      <c r="E167" s="78" t="s">
        <v>592</v>
      </c>
      <c r="F167" s="78"/>
      <c r="G167" s="78" t="s">
        <v>570</v>
      </c>
      <c r="H167" s="78" t="s">
        <v>579</v>
      </c>
      <c r="I167" s="78" t="s">
        <v>579</v>
      </c>
      <c r="J167" s="44">
        <v>2981.5</v>
      </c>
      <c r="K167" s="44">
        <v>2725.7</v>
      </c>
      <c r="L167" s="44">
        <v>0</v>
      </c>
      <c r="M167" s="79">
        <v>153</v>
      </c>
      <c r="N167" s="72">
        <f t="shared" si="13"/>
        <v>1234956.9000000001</v>
      </c>
      <c r="O167" s="44">
        <v>0</v>
      </c>
      <c r="P167" s="44"/>
      <c r="Q167" s="44"/>
      <c r="R167" s="44">
        <f>+'[12]Приложение № 4'!E167</f>
        <v>1234956.9000000001</v>
      </c>
      <c r="S167" s="44"/>
      <c r="T167" s="44"/>
      <c r="U167" s="44">
        <v>943.55</v>
      </c>
      <c r="V167" s="44">
        <v>943.55</v>
      </c>
      <c r="W167" s="80" t="s">
        <v>1101</v>
      </c>
      <c r="X167" s="96" t="e">
        <f>+N167-#REF!</f>
        <v>#REF!</v>
      </c>
      <c r="Y167" s="94">
        <v>1006045.75</v>
      </c>
      <c r="Z167" s="94">
        <f t="shared" si="22"/>
        <v>297646.44</v>
      </c>
      <c r="AB167" s="96" t="e">
        <f>+N167-#REF!</f>
        <v>#REF!</v>
      </c>
      <c r="AC167" s="27">
        <f>+N167-'[12]Приложение № 4'!E167</f>
        <v>0</v>
      </c>
      <c r="AE167" s="98" t="e">
        <f>+N167-#REF!</f>
        <v>#REF!</v>
      </c>
      <c r="AG167" s="101" t="s">
        <v>1003</v>
      </c>
      <c r="AH167" s="102">
        <f t="shared" si="23"/>
        <v>1294318.0869843536</v>
      </c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>
        <v>1250409.7023483536</v>
      </c>
      <c r="AV167" s="102">
        <v>43908.384636000003</v>
      </c>
      <c r="AW167" s="102"/>
    </row>
    <row r="168" spans="1:49" ht="15" x14ac:dyDescent="0.25">
      <c r="A168" s="76">
        <f t="shared" si="18"/>
        <v>156</v>
      </c>
      <c r="B168" s="77">
        <f t="shared" si="18"/>
        <v>156</v>
      </c>
      <c r="C168" s="77" t="s">
        <v>568</v>
      </c>
      <c r="D168" s="77" t="s">
        <v>848</v>
      </c>
      <c r="E168" s="78" t="s">
        <v>592</v>
      </c>
      <c r="F168" s="78"/>
      <c r="G168" s="78" t="s">
        <v>570</v>
      </c>
      <c r="H168" s="78" t="s">
        <v>572</v>
      </c>
      <c r="I168" s="78"/>
      <c r="J168" s="44">
        <v>377.86</v>
      </c>
      <c r="K168" s="44">
        <v>357.85</v>
      </c>
      <c r="L168" s="44">
        <v>0</v>
      </c>
      <c r="M168" s="79">
        <v>2</v>
      </c>
      <c r="N168" s="72">
        <f t="shared" si="13"/>
        <v>536165.37</v>
      </c>
      <c r="O168" s="44">
        <v>0</v>
      </c>
      <c r="P168" s="44"/>
      <c r="Q168" s="44"/>
      <c r="R168" s="44">
        <f>+'[12]Приложение № 4'!E168</f>
        <v>536165.37</v>
      </c>
      <c r="S168" s="44"/>
      <c r="T168" s="44"/>
      <c r="U168" s="44">
        <v>4196.75</v>
      </c>
      <c r="V168" s="44">
        <v>4196.75</v>
      </c>
      <c r="W168" s="80" t="s">
        <v>1101</v>
      </c>
      <c r="X168" s="96" t="e">
        <f>+N168-#REF!</f>
        <v>#REF!</v>
      </c>
      <c r="Z168" s="94">
        <f t="shared" si="22"/>
        <v>39077.22</v>
      </c>
      <c r="AB168" s="96" t="e">
        <f>+N168-#REF!</f>
        <v>#REF!</v>
      </c>
      <c r="AC168" s="27">
        <f>+N168-'[12]Приложение № 4'!E168</f>
        <v>0</v>
      </c>
      <c r="AE168" s="98" t="e">
        <f>+N168-#REF!</f>
        <v>#REF!</v>
      </c>
      <c r="AG168" s="101" t="s">
        <v>848</v>
      </c>
      <c r="AH168" s="102">
        <f t="shared" si="23"/>
        <v>247214.50509007691</v>
      </c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>
        <v>207474.98290063691</v>
      </c>
      <c r="AV168" s="102">
        <v>39739.522189440002</v>
      </c>
      <c r="AW168" s="102"/>
    </row>
    <row r="169" spans="1:49" ht="15" x14ac:dyDescent="0.25">
      <c r="A169" s="76">
        <f t="shared" si="18"/>
        <v>157</v>
      </c>
      <c r="B169" s="77">
        <f t="shared" si="18"/>
        <v>157</v>
      </c>
      <c r="C169" s="77" t="s">
        <v>568</v>
      </c>
      <c r="D169" s="77" t="s">
        <v>849</v>
      </c>
      <c r="E169" s="78" t="s">
        <v>1115</v>
      </c>
      <c r="F169" s="78"/>
      <c r="G169" s="78" t="s">
        <v>570</v>
      </c>
      <c r="H169" s="78" t="s">
        <v>575</v>
      </c>
      <c r="I169" s="78" t="s">
        <v>572</v>
      </c>
      <c r="J169" s="44">
        <v>1050.44</v>
      </c>
      <c r="K169" s="44">
        <v>960.84</v>
      </c>
      <c r="L169" s="44">
        <v>0</v>
      </c>
      <c r="M169" s="79">
        <v>84</v>
      </c>
      <c r="N169" s="72">
        <f t="shared" si="13"/>
        <v>810630.17</v>
      </c>
      <c r="O169" s="44">
        <v>0</v>
      </c>
      <c r="P169" s="44"/>
      <c r="Q169" s="44"/>
      <c r="R169" s="44">
        <f>+'[12]Приложение № 4'!E169</f>
        <v>810630.17</v>
      </c>
      <c r="S169" s="44"/>
      <c r="T169" s="44"/>
      <c r="U169" s="44">
        <v>9854.1</v>
      </c>
      <c r="V169" s="44">
        <v>9854.1</v>
      </c>
      <c r="W169" s="80" t="s">
        <v>1101</v>
      </c>
      <c r="X169" s="96" t="e">
        <f>+N169-#REF!</f>
        <v>#REF!</v>
      </c>
      <c r="Y169" s="94">
        <v>136239.6</v>
      </c>
      <c r="Z169" s="94">
        <f t="shared" si="22"/>
        <v>104923.728</v>
      </c>
      <c r="AB169" s="96" t="e">
        <f>+N169-#REF!</f>
        <v>#REF!</v>
      </c>
      <c r="AC169" s="27">
        <f>+N169-'[12]Приложение № 4'!E169</f>
        <v>0</v>
      </c>
      <c r="AE169" s="98" t="e">
        <f>+N169-#REF!</f>
        <v>#REF!</v>
      </c>
      <c r="AG169" s="101" t="s">
        <v>849</v>
      </c>
      <c r="AH169" s="102">
        <f t="shared" si="23"/>
        <v>675696.87893987796</v>
      </c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>
        <v>634791.25860771793</v>
      </c>
      <c r="AV169" s="102">
        <v>40905.620332160004</v>
      </c>
      <c r="AW169" s="102"/>
    </row>
    <row r="170" spans="1:49" ht="15" x14ac:dyDescent="0.25">
      <c r="A170" s="76">
        <f t="shared" si="18"/>
        <v>158</v>
      </c>
      <c r="B170" s="77">
        <f t="shared" si="18"/>
        <v>158</v>
      </c>
      <c r="C170" s="77" t="s">
        <v>568</v>
      </c>
      <c r="D170" s="77" t="s">
        <v>1004</v>
      </c>
      <c r="E170" s="78" t="s">
        <v>592</v>
      </c>
      <c r="F170" s="78"/>
      <c r="G170" s="78" t="s">
        <v>570</v>
      </c>
      <c r="H170" s="78" t="s">
        <v>579</v>
      </c>
      <c r="I170" s="78" t="s">
        <v>579</v>
      </c>
      <c r="J170" s="44">
        <v>2863.1</v>
      </c>
      <c r="K170" s="44">
        <v>2466.1</v>
      </c>
      <c r="L170" s="44">
        <v>0</v>
      </c>
      <c r="M170" s="79">
        <v>127</v>
      </c>
      <c r="N170" s="72">
        <f t="shared" si="13"/>
        <v>841259.35</v>
      </c>
      <c r="O170" s="44">
        <v>0</v>
      </c>
      <c r="P170" s="44"/>
      <c r="Q170" s="44"/>
      <c r="R170" s="44">
        <f>+'[12]Приложение № 4'!E170</f>
        <v>841259.35</v>
      </c>
      <c r="S170" s="44"/>
      <c r="T170" s="44"/>
      <c r="U170" s="44">
        <v>3770.13</v>
      </c>
      <c r="V170" s="44">
        <v>3770.13</v>
      </c>
      <c r="W170" s="80" t="s">
        <v>1101</v>
      </c>
      <c r="X170" s="96" t="e">
        <f>+N170-#REF!</f>
        <v>#REF!</v>
      </c>
      <c r="Y170" s="94">
        <v>1387330</v>
      </c>
      <c r="Z170" s="94">
        <f t="shared" si="22"/>
        <v>269298.12</v>
      </c>
      <c r="AB170" s="96" t="e">
        <f>+N170-#REF!</f>
        <v>#REF!</v>
      </c>
      <c r="AC170" s="27">
        <f>+N170-'[12]Приложение № 4'!E170</f>
        <v>0</v>
      </c>
      <c r="AE170" s="98" t="e">
        <f>+N170-#REF!</f>
        <v>#REF!</v>
      </c>
      <c r="AG170" s="101" t="s">
        <v>1004</v>
      </c>
      <c r="AH170" s="102">
        <f t="shared" si="23"/>
        <v>859629.50793349743</v>
      </c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>
        <v>815380.28886229743</v>
      </c>
      <c r="AV170" s="102">
        <v>44249.219071200001</v>
      </c>
      <c r="AW170" s="102"/>
    </row>
    <row r="171" spans="1:49" ht="15" x14ac:dyDescent="0.25">
      <c r="A171" s="76">
        <f t="shared" si="18"/>
        <v>159</v>
      </c>
      <c r="B171" s="77">
        <f t="shared" si="18"/>
        <v>159</v>
      </c>
      <c r="C171" s="77" t="s">
        <v>568</v>
      </c>
      <c r="D171" s="77" t="s">
        <v>1005</v>
      </c>
      <c r="E171" s="78" t="s">
        <v>1109</v>
      </c>
      <c r="F171" s="78"/>
      <c r="G171" s="78" t="s">
        <v>570</v>
      </c>
      <c r="H171" s="78" t="s">
        <v>579</v>
      </c>
      <c r="I171" s="78" t="s">
        <v>579</v>
      </c>
      <c r="J171" s="44">
        <v>2661.8</v>
      </c>
      <c r="K171" s="44">
        <v>2428</v>
      </c>
      <c r="L171" s="44">
        <v>0</v>
      </c>
      <c r="M171" s="79">
        <v>113</v>
      </c>
      <c r="N171" s="72">
        <f t="shared" si="13"/>
        <v>486381.39</v>
      </c>
      <c r="O171" s="44">
        <v>0</v>
      </c>
      <c r="P171" s="44"/>
      <c r="Q171" s="44"/>
      <c r="R171" s="44">
        <f>+'[12]Приложение № 4'!E171</f>
        <v>486381.39</v>
      </c>
      <c r="S171" s="44"/>
      <c r="T171" s="44"/>
      <c r="U171" s="44">
        <v>1961.28</v>
      </c>
      <c r="V171" s="44">
        <v>1961.28</v>
      </c>
      <c r="W171" s="80" t="s">
        <v>1101</v>
      </c>
      <c r="X171" s="96" t="e">
        <f>+N171-#REF!</f>
        <v>#REF!</v>
      </c>
      <c r="Y171" s="94">
        <v>895783.85</v>
      </c>
      <c r="Z171" s="94">
        <f t="shared" si="22"/>
        <v>265137.59999999998</v>
      </c>
      <c r="AB171" s="96" t="e">
        <f>+N171-#REF!</f>
        <v>#REF!</v>
      </c>
      <c r="AC171" s="27">
        <f>+N171-'[12]Приложение № 4'!E171</f>
        <v>0</v>
      </c>
      <c r="AE171" s="98" t="e">
        <f>+N171-#REF!</f>
        <v>#REF!</v>
      </c>
      <c r="AG171" s="101" t="s">
        <v>1005</v>
      </c>
      <c r="AH171" s="102">
        <f t="shared" si="23"/>
        <v>502885.87211726588</v>
      </c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>
        <v>459548.5816580659</v>
      </c>
      <c r="AV171" s="102">
        <v>43337.290459199998</v>
      </c>
      <c r="AW171" s="102"/>
    </row>
    <row r="172" spans="1:49" ht="15" x14ac:dyDescent="0.25">
      <c r="A172" s="76">
        <f t="shared" si="18"/>
        <v>160</v>
      </c>
      <c r="B172" s="77">
        <f t="shared" si="18"/>
        <v>160</v>
      </c>
      <c r="C172" s="77" t="s">
        <v>568</v>
      </c>
      <c r="D172" s="77" t="s">
        <v>835</v>
      </c>
      <c r="E172" s="78" t="s">
        <v>587</v>
      </c>
      <c r="F172" s="78"/>
      <c r="G172" s="78" t="s">
        <v>570</v>
      </c>
      <c r="H172" s="78" t="s">
        <v>582</v>
      </c>
      <c r="I172" s="78" t="s">
        <v>583</v>
      </c>
      <c r="J172" s="44">
        <v>7017.53</v>
      </c>
      <c r="K172" s="44">
        <v>6232.3</v>
      </c>
      <c r="L172" s="44">
        <v>0</v>
      </c>
      <c r="M172" s="79">
        <v>260</v>
      </c>
      <c r="N172" s="72">
        <f t="shared" si="13"/>
        <v>287836.49</v>
      </c>
      <c r="O172" s="44">
        <v>0</v>
      </c>
      <c r="P172" s="44"/>
      <c r="Q172" s="44"/>
      <c r="R172" s="44">
        <f>+'[12]Приложение № 4'!E172</f>
        <v>287836.49</v>
      </c>
      <c r="S172" s="44"/>
      <c r="T172" s="44"/>
      <c r="U172" s="44">
        <v>208.23</v>
      </c>
      <c r="V172" s="44">
        <v>208.23</v>
      </c>
      <c r="W172" s="80" t="s">
        <v>1101</v>
      </c>
      <c r="X172" s="96" t="e">
        <f>+N172-#REF!</f>
        <v>#REF!</v>
      </c>
      <c r="Y172" s="94">
        <v>2136092.94</v>
      </c>
      <c r="Z172" s="94">
        <f>+(K172*9.1+L172*18.19)*12</f>
        <v>680567.16</v>
      </c>
      <c r="AB172" s="96" t="e">
        <f>+N172-#REF!</f>
        <v>#REF!</v>
      </c>
      <c r="AC172" s="27">
        <f>+N172-'[12]Приложение № 4'!E172</f>
        <v>0</v>
      </c>
      <c r="AE172" s="98" t="e">
        <f>+N172-#REF!</f>
        <v>#REF!</v>
      </c>
      <c r="AG172" s="101" t="s">
        <v>835</v>
      </c>
      <c r="AH172" s="102">
        <f t="shared" si="17"/>
        <v>292053.41260799998</v>
      </c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>
        <v>268053.41260799998</v>
      </c>
      <c r="AV172" s="102">
        <v>24000</v>
      </c>
      <c r="AW172" s="102"/>
    </row>
    <row r="173" spans="1:49" ht="15" x14ac:dyDescent="0.25">
      <c r="A173" s="76">
        <f t="shared" si="18"/>
        <v>161</v>
      </c>
      <c r="B173" s="77">
        <f t="shared" si="18"/>
        <v>161</v>
      </c>
      <c r="C173" s="77" t="s">
        <v>568</v>
      </c>
      <c r="D173" s="77" t="s">
        <v>836</v>
      </c>
      <c r="E173" s="78" t="s">
        <v>578</v>
      </c>
      <c r="F173" s="78"/>
      <c r="G173" s="78" t="s">
        <v>573</v>
      </c>
      <c r="H173" s="78" t="s">
        <v>582</v>
      </c>
      <c r="I173" s="78" t="s">
        <v>583</v>
      </c>
      <c r="J173" s="44">
        <v>5593.2</v>
      </c>
      <c r="K173" s="44">
        <v>4919.8</v>
      </c>
      <c r="L173" s="44">
        <v>0</v>
      </c>
      <c r="M173" s="79">
        <v>206</v>
      </c>
      <c r="N173" s="72">
        <f t="shared" ref="N173:N202" si="24">+P173+Q173+R173+S173+T173</f>
        <v>407307.97</v>
      </c>
      <c r="O173" s="44">
        <v>0</v>
      </c>
      <c r="P173" s="44"/>
      <c r="Q173" s="44"/>
      <c r="R173" s="44">
        <f>+'[12]Приложение № 4'!E173</f>
        <v>407307.97</v>
      </c>
      <c r="S173" s="44"/>
      <c r="T173" s="44"/>
      <c r="U173" s="44">
        <v>3874.82</v>
      </c>
      <c r="V173" s="44">
        <v>3874.82</v>
      </c>
      <c r="W173" s="80" t="s">
        <v>1101</v>
      </c>
      <c r="X173" s="96" t="e">
        <f>+N173-#REF!</f>
        <v>#REF!</v>
      </c>
      <c r="Y173" s="94">
        <v>1773919.78</v>
      </c>
      <c r="Z173" s="94">
        <f>+(K173*9.1+L173*18.19)*12</f>
        <v>537242.16</v>
      </c>
      <c r="AB173" s="96" t="e">
        <f>+N173-#REF!</f>
        <v>#REF!</v>
      </c>
      <c r="AC173" s="27">
        <f>+N173-'[12]Приложение № 4'!E173</f>
        <v>0</v>
      </c>
      <c r="AE173" s="98" t="e">
        <f>+N173-#REF!</f>
        <v>#REF!</v>
      </c>
      <c r="AG173" s="101" t="s">
        <v>836</v>
      </c>
      <c r="AH173" s="102">
        <f t="shared" si="17"/>
        <v>425412.13445904682</v>
      </c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>
        <v>401412.13445904682</v>
      </c>
      <c r="AV173" s="102">
        <v>24000</v>
      </c>
      <c r="AW173" s="102"/>
    </row>
    <row r="174" spans="1:49" ht="15" x14ac:dyDescent="0.25">
      <c r="A174" s="76">
        <f t="shared" si="18"/>
        <v>162</v>
      </c>
      <c r="B174" s="77">
        <f t="shared" si="18"/>
        <v>162</v>
      </c>
      <c r="C174" s="77" t="s">
        <v>568</v>
      </c>
      <c r="D174" s="77" t="s">
        <v>837</v>
      </c>
      <c r="E174" s="78" t="s">
        <v>592</v>
      </c>
      <c r="F174" s="78"/>
      <c r="G174" s="78" t="s">
        <v>570</v>
      </c>
      <c r="H174" s="78" t="s">
        <v>582</v>
      </c>
      <c r="I174" s="78" t="s">
        <v>579</v>
      </c>
      <c r="J174" s="44">
        <v>2706.6</v>
      </c>
      <c r="K174" s="44">
        <v>2490.1999999999998</v>
      </c>
      <c r="L174" s="44">
        <v>0</v>
      </c>
      <c r="M174" s="79">
        <v>142</v>
      </c>
      <c r="N174" s="72">
        <f t="shared" si="24"/>
        <v>349636.26</v>
      </c>
      <c r="O174" s="44">
        <v>0</v>
      </c>
      <c r="P174" s="44"/>
      <c r="Q174" s="44"/>
      <c r="R174" s="44">
        <f>+'[12]Приложение № 4'!E174</f>
        <v>349636.26</v>
      </c>
      <c r="S174" s="44"/>
      <c r="T174" s="44"/>
      <c r="U174" s="44">
        <v>1961.28</v>
      </c>
      <c r="V174" s="44">
        <v>1961.28</v>
      </c>
      <c r="W174" s="80" t="s">
        <v>1101</v>
      </c>
      <c r="X174" s="96" t="e">
        <f>+N174-#REF!</f>
        <v>#REF!</v>
      </c>
      <c r="Y174" s="94">
        <v>1271710.1499999999</v>
      </c>
      <c r="Z174" s="94">
        <f t="shared" ref="Z174:Z205" si="25">+(K174*9.1+L174*18.19)*12</f>
        <v>271929.83999999997</v>
      </c>
      <c r="AB174" s="96" t="e">
        <f>+N174-#REF!</f>
        <v>#REF!</v>
      </c>
      <c r="AC174" s="27">
        <f>+N174-'[12]Приложение № 4'!E174</f>
        <v>0</v>
      </c>
      <c r="AE174" s="98" t="e">
        <f>+N174-#REF!</f>
        <v>#REF!</v>
      </c>
      <c r="AG174" s="101" t="s">
        <v>837</v>
      </c>
      <c r="AH174" s="102">
        <f t="shared" si="17"/>
        <v>604678.07720608276</v>
      </c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>
        <v>561398.10287008272</v>
      </c>
      <c r="AV174" s="102">
        <v>43279.974335999999</v>
      </c>
      <c r="AW174" s="102"/>
    </row>
    <row r="175" spans="1:49" ht="15" x14ac:dyDescent="0.25">
      <c r="A175" s="76">
        <f t="shared" si="18"/>
        <v>163</v>
      </c>
      <c r="B175" s="77">
        <f t="shared" si="18"/>
        <v>163</v>
      </c>
      <c r="C175" s="77" t="s">
        <v>568</v>
      </c>
      <c r="D175" s="77" t="s">
        <v>1169</v>
      </c>
      <c r="E175" s="78">
        <v>1987</v>
      </c>
      <c r="F175" s="78">
        <v>2009</v>
      </c>
      <c r="G175" s="78" t="s">
        <v>51</v>
      </c>
      <c r="H175" s="78">
        <v>5</v>
      </c>
      <c r="I175" s="78">
        <v>4</v>
      </c>
      <c r="J175" s="44">
        <v>4470.2</v>
      </c>
      <c r="K175" s="44">
        <v>4343</v>
      </c>
      <c r="L175" s="44">
        <v>0</v>
      </c>
      <c r="M175" s="79">
        <v>188</v>
      </c>
      <c r="N175" s="72">
        <f t="shared" si="24"/>
        <v>127875.57</v>
      </c>
      <c r="O175" s="44"/>
      <c r="P175" s="44"/>
      <c r="Q175" s="44"/>
      <c r="R175" s="44">
        <f>+'[12]Приложение № 4'!E175</f>
        <v>127875.57</v>
      </c>
      <c r="S175" s="44"/>
      <c r="T175" s="44"/>
      <c r="U175" s="44">
        <f t="shared" ref="U175:V189" si="26">$N175/($K175+$L175)</f>
        <v>29.444064011052269</v>
      </c>
      <c r="V175" s="44">
        <f t="shared" si="26"/>
        <v>29.444064011052269</v>
      </c>
      <c r="W175" s="80" t="s">
        <v>1101</v>
      </c>
      <c r="AC175" s="27">
        <f>+N175-'[12]Приложение № 4'!E175</f>
        <v>0</v>
      </c>
      <c r="AG175" s="103" t="s">
        <v>1169</v>
      </c>
      <c r="AH175" s="102">
        <f>SUM(AI175:AW175)</f>
        <v>217981.16000000003</v>
      </c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>
        <v>212866.15000000002</v>
      </c>
      <c r="AV175" s="104">
        <v>5115.01</v>
      </c>
      <c r="AW175" s="106"/>
    </row>
    <row r="176" spans="1:49" ht="15" x14ac:dyDescent="0.25">
      <c r="A176" s="76">
        <f t="shared" si="18"/>
        <v>164</v>
      </c>
      <c r="B176" s="77">
        <f t="shared" si="18"/>
        <v>164</v>
      </c>
      <c r="C176" s="77" t="s">
        <v>568</v>
      </c>
      <c r="D176" s="77" t="s">
        <v>1170</v>
      </c>
      <c r="E176" s="78">
        <v>1987</v>
      </c>
      <c r="F176" s="78">
        <v>2013</v>
      </c>
      <c r="G176" s="78" t="s">
        <v>51</v>
      </c>
      <c r="H176" s="78">
        <v>5</v>
      </c>
      <c r="I176" s="78">
        <v>6</v>
      </c>
      <c r="J176" s="44">
        <v>6859.9</v>
      </c>
      <c r="K176" s="44">
        <v>6218.4</v>
      </c>
      <c r="L176" s="44">
        <v>0</v>
      </c>
      <c r="M176" s="79">
        <v>283</v>
      </c>
      <c r="N176" s="72">
        <f t="shared" si="24"/>
        <v>149898.04999999999</v>
      </c>
      <c r="O176" s="44"/>
      <c r="P176" s="44"/>
      <c r="Q176" s="44"/>
      <c r="R176" s="44">
        <f>+'[12]Приложение № 4'!E176</f>
        <v>149898.04999999999</v>
      </c>
      <c r="S176" s="44"/>
      <c r="T176" s="44"/>
      <c r="U176" s="44">
        <f t="shared" si="26"/>
        <v>24.105565740383376</v>
      </c>
      <c r="V176" s="44">
        <f t="shared" si="26"/>
        <v>24.105565740383376</v>
      </c>
      <c r="W176" s="80" t="s">
        <v>1101</v>
      </c>
      <c r="AC176" s="27">
        <f>+N176-'[12]Приложение № 4'!E176</f>
        <v>0</v>
      </c>
      <c r="AG176" s="103" t="s">
        <v>1170</v>
      </c>
      <c r="AH176" s="102">
        <f>SUM(AI176:AW176)</f>
        <v>4312347.8447000002</v>
      </c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>
        <v>3962456.5102000004</v>
      </c>
      <c r="AV176" s="106">
        <v>349891.33450000006</v>
      </c>
      <c r="AW176" s="106"/>
    </row>
    <row r="177" spans="1:49" ht="15" x14ac:dyDescent="0.25">
      <c r="A177" s="76">
        <f t="shared" si="18"/>
        <v>165</v>
      </c>
      <c r="B177" s="77">
        <f t="shared" si="18"/>
        <v>165</v>
      </c>
      <c r="C177" s="77" t="s">
        <v>568</v>
      </c>
      <c r="D177" s="77" t="s">
        <v>1171</v>
      </c>
      <c r="E177" s="78">
        <v>1988</v>
      </c>
      <c r="F177" s="78">
        <v>2013</v>
      </c>
      <c r="G177" s="78" t="s">
        <v>51</v>
      </c>
      <c r="H177" s="78">
        <v>5</v>
      </c>
      <c r="I177" s="78">
        <v>6</v>
      </c>
      <c r="J177" s="44">
        <v>6818.09</v>
      </c>
      <c r="K177" s="44">
        <v>6176.59</v>
      </c>
      <c r="L177" s="44">
        <v>0</v>
      </c>
      <c r="M177" s="79">
        <v>310</v>
      </c>
      <c r="N177" s="72">
        <f t="shared" si="24"/>
        <v>137096.17000000001</v>
      </c>
      <c r="O177" s="44"/>
      <c r="P177" s="44"/>
      <c r="Q177" s="44"/>
      <c r="R177" s="44">
        <f>+'[12]Приложение № 4'!E177</f>
        <v>137096.17000000001</v>
      </c>
      <c r="S177" s="44"/>
      <c r="T177" s="44"/>
      <c r="U177" s="44">
        <f t="shared" si="26"/>
        <v>22.196093637427772</v>
      </c>
      <c r="V177" s="44">
        <f t="shared" si="26"/>
        <v>22.196093637427772</v>
      </c>
      <c r="W177" s="80" t="s">
        <v>1101</v>
      </c>
      <c r="AC177" s="27">
        <f>+N177-'[12]Приложение № 4'!E177</f>
        <v>0</v>
      </c>
      <c r="AG177" s="103" t="s">
        <v>1171</v>
      </c>
      <c r="AH177" s="102">
        <f>SUM(AI177:AW177)</f>
        <v>238150.96</v>
      </c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>
        <v>232171.65</v>
      </c>
      <c r="AV177" s="104">
        <v>5979.31</v>
      </c>
      <c r="AW177" s="106"/>
    </row>
    <row r="178" spans="1:49" ht="15" x14ac:dyDescent="0.25">
      <c r="A178" s="76">
        <f t="shared" si="18"/>
        <v>166</v>
      </c>
      <c r="B178" s="77">
        <f t="shared" si="18"/>
        <v>166</v>
      </c>
      <c r="C178" s="77" t="s">
        <v>568</v>
      </c>
      <c r="D178" s="77" t="s">
        <v>1138</v>
      </c>
      <c r="E178" s="78">
        <v>1973</v>
      </c>
      <c r="F178" s="78">
        <v>2017</v>
      </c>
      <c r="G178" s="78" t="s">
        <v>44</v>
      </c>
      <c r="H178" s="78">
        <v>4</v>
      </c>
      <c r="I178" s="78">
        <v>4</v>
      </c>
      <c r="J178" s="44">
        <v>2905.3</v>
      </c>
      <c r="K178" s="44">
        <v>2671.9</v>
      </c>
      <c r="L178" s="44">
        <v>0</v>
      </c>
      <c r="M178" s="79">
        <v>109</v>
      </c>
      <c r="N178" s="72">
        <f t="shared" si="24"/>
        <v>117982</v>
      </c>
      <c r="O178" s="44"/>
      <c r="P178" s="68"/>
      <c r="Q178" s="68"/>
      <c r="R178" s="44">
        <f>+'[12]Приложение № 4'!E178</f>
        <v>117982</v>
      </c>
      <c r="S178" s="68"/>
      <c r="T178" s="68"/>
      <c r="U178" s="68">
        <f t="shared" si="26"/>
        <v>44.156592686852051</v>
      </c>
      <c r="V178" s="68">
        <f t="shared" si="26"/>
        <v>44.156592686852051</v>
      </c>
      <c r="W178" s="80" t="s">
        <v>1101</v>
      </c>
      <c r="X178" s="76"/>
      <c r="Y178" s="77"/>
      <c r="Z178" s="77"/>
      <c r="AA178" s="77"/>
      <c r="AC178" s="27">
        <f>+N178-'[12]Приложение № 4'!E178</f>
        <v>0</v>
      </c>
    </row>
    <row r="179" spans="1:49" ht="15" x14ac:dyDescent="0.25">
      <c r="A179" s="76">
        <f t="shared" si="18"/>
        <v>167</v>
      </c>
      <c r="B179" s="77">
        <f t="shared" si="18"/>
        <v>167</v>
      </c>
      <c r="C179" s="77" t="s">
        <v>568</v>
      </c>
      <c r="D179" s="77" t="s">
        <v>1139</v>
      </c>
      <c r="E179" s="78" t="s">
        <v>578</v>
      </c>
      <c r="F179" s="78"/>
      <c r="G179" s="78" t="s">
        <v>570</v>
      </c>
      <c r="H179" s="78" t="s">
        <v>582</v>
      </c>
      <c r="I179" s="78" t="s">
        <v>572</v>
      </c>
      <c r="J179" s="44">
        <v>1732</v>
      </c>
      <c r="K179" s="44">
        <v>1451.9</v>
      </c>
      <c r="L179" s="44">
        <v>0</v>
      </c>
      <c r="M179" s="79">
        <v>71</v>
      </c>
      <c r="N179" s="72">
        <f t="shared" si="24"/>
        <v>109894.5</v>
      </c>
      <c r="O179" s="44"/>
      <c r="P179" s="68"/>
      <c r="Q179" s="68"/>
      <c r="R179" s="44">
        <f>+'[12]Приложение № 4'!E179</f>
        <v>109894.5</v>
      </c>
      <c r="S179" s="68"/>
      <c r="T179" s="68"/>
      <c r="U179" s="68">
        <f t="shared" si="26"/>
        <v>75.690130174254421</v>
      </c>
      <c r="V179" s="68">
        <f t="shared" si="26"/>
        <v>75.690130174254421</v>
      </c>
      <c r="W179" s="80" t="s">
        <v>1101</v>
      </c>
      <c r="X179" s="76"/>
      <c r="Y179" s="77"/>
      <c r="Z179" s="77"/>
      <c r="AA179" s="77"/>
      <c r="AC179" s="27">
        <f>+N179-'[12]Приложение № 4'!E179</f>
        <v>0</v>
      </c>
    </row>
    <row r="180" spans="1:49" ht="15" x14ac:dyDescent="0.25">
      <c r="A180" s="76">
        <f t="shared" si="18"/>
        <v>168</v>
      </c>
      <c r="B180" s="77">
        <f t="shared" si="18"/>
        <v>168</v>
      </c>
      <c r="C180" s="77" t="s">
        <v>72</v>
      </c>
      <c r="D180" s="77" t="s">
        <v>1172</v>
      </c>
      <c r="E180" s="78">
        <v>1970</v>
      </c>
      <c r="F180" s="78">
        <v>1970</v>
      </c>
      <c r="G180" s="78" t="s">
        <v>52</v>
      </c>
      <c r="H180" s="78">
        <v>2</v>
      </c>
      <c r="I180" s="78">
        <v>2</v>
      </c>
      <c r="J180" s="44">
        <v>429.2</v>
      </c>
      <c r="K180" s="44">
        <v>386.5</v>
      </c>
      <c r="L180" s="44">
        <v>0</v>
      </c>
      <c r="M180" s="79">
        <v>24</v>
      </c>
      <c r="N180" s="72">
        <f t="shared" si="24"/>
        <v>51713.97</v>
      </c>
      <c r="O180" s="44"/>
      <c r="P180" s="68"/>
      <c r="Q180" s="68"/>
      <c r="R180" s="44">
        <f>+'[12]Приложение № 4'!E180</f>
        <v>51713.97</v>
      </c>
      <c r="S180" s="68"/>
      <c r="T180" s="68"/>
      <c r="U180" s="68">
        <f t="shared" si="26"/>
        <v>133.80069857697285</v>
      </c>
      <c r="V180" s="68">
        <f t="shared" si="26"/>
        <v>133.80069857697285</v>
      </c>
      <c r="W180" s="80" t="s">
        <v>1101</v>
      </c>
      <c r="X180" s="76"/>
      <c r="Y180" s="77"/>
      <c r="Z180" s="77"/>
      <c r="AA180" s="77"/>
      <c r="AC180" s="27">
        <f>+N180-'[12]Приложение № 4'!E180</f>
        <v>0</v>
      </c>
    </row>
    <row r="181" spans="1:49" ht="15" x14ac:dyDescent="0.25">
      <c r="A181" s="76">
        <f t="shared" si="18"/>
        <v>169</v>
      </c>
      <c r="B181" s="77">
        <f t="shared" si="18"/>
        <v>169</v>
      </c>
      <c r="C181" s="77" t="s">
        <v>72</v>
      </c>
      <c r="D181" s="77" t="s">
        <v>1173</v>
      </c>
      <c r="E181" s="78">
        <v>1968</v>
      </c>
      <c r="F181" s="78">
        <v>1968</v>
      </c>
      <c r="G181" s="78" t="s">
        <v>52</v>
      </c>
      <c r="H181" s="78">
        <v>2</v>
      </c>
      <c r="I181" s="78">
        <v>2</v>
      </c>
      <c r="J181" s="44">
        <v>421.8</v>
      </c>
      <c r="K181" s="44">
        <v>377.5</v>
      </c>
      <c r="L181" s="44">
        <v>0</v>
      </c>
      <c r="M181" s="79">
        <v>20</v>
      </c>
      <c r="N181" s="72">
        <f t="shared" si="24"/>
        <v>27618.76</v>
      </c>
      <c r="O181" s="44"/>
      <c r="P181" s="68"/>
      <c r="Q181" s="68"/>
      <c r="R181" s="44">
        <f>+'[12]Приложение № 4'!E181</f>
        <v>27618.76</v>
      </c>
      <c r="S181" s="68"/>
      <c r="T181" s="68"/>
      <c r="U181" s="68">
        <f t="shared" si="26"/>
        <v>73.162278145695353</v>
      </c>
      <c r="V181" s="68">
        <f t="shared" si="26"/>
        <v>73.162278145695353</v>
      </c>
      <c r="W181" s="80" t="s">
        <v>1101</v>
      </c>
      <c r="X181" s="76"/>
      <c r="Y181" s="77"/>
      <c r="Z181" s="77"/>
      <c r="AA181" s="77"/>
      <c r="AC181" s="27">
        <f>+N181-'[12]Приложение № 4'!E181</f>
        <v>0</v>
      </c>
    </row>
    <row r="182" spans="1:49" ht="15" x14ac:dyDescent="0.25">
      <c r="A182" s="76">
        <f t="shared" si="18"/>
        <v>170</v>
      </c>
      <c r="B182" s="77">
        <f t="shared" si="18"/>
        <v>170</v>
      </c>
      <c r="C182" s="77" t="s">
        <v>72</v>
      </c>
      <c r="D182" s="77" t="s">
        <v>1174</v>
      </c>
      <c r="E182" s="78">
        <v>1962</v>
      </c>
      <c r="F182" s="78">
        <v>1962</v>
      </c>
      <c r="G182" s="78" t="s">
        <v>52</v>
      </c>
      <c r="H182" s="78">
        <v>2</v>
      </c>
      <c r="I182" s="78">
        <v>2</v>
      </c>
      <c r="J182" s="44">
        <v>575.70000000000005</v>
      </c>
      <c r="K182" s="44">
        <v>527.79999999999995</v>
      </c>
      <c r="L182" s="44">
        <v>0</v>
      </c>
      <c r="M182" s="79">
        <v>38</v>
      </c>
      <c r="N182" s="72">
        <f t="shared" si="24"/>
        <v>54759.17</v>
      </c>
      <c r="O182" s="44"/>
      <c r="P182" s="68"/>
      <c r="Q182" s="68"/>
      <c r="R182" s="44">
        <f>+'[12]Приложение № 4'!E182</f>
        <v>54759.17</v>
      </c>
      <c r="S182" s="68"/>
      <c r="T182" s="68"/>
      <c r="U182" s="68">
        <f t="shared" si="26"/>
        <v>103.74984842743464</v>
      </c>
      <c r="V182" s="68">
        <f t="shared" si="26"/>
        <v>103.74984842743464</v>
      </c>
      <c r="W182" s="80" t="s">
        <v>1101</v>
      </c>
      <c r="X182" s="76"/>
      <c r="Y182" s="77"/>
      <c r="Z182" s="77"/>
      <c r="AA182" s="77"/>
      <c r="AC182" s="27">
        <f>+N182-'[12]Приложение № 4'!E182</f>
        <v>0</v>
      </c>
    </row>
    <row r="183" spans="1:49" ht="15" x14ac:dyDescent="0.25">
      <c r="A183" s="76">
        <f t="shared" si="18"/>
        <v>171</v>
      </c>
      <c r="B183" s="77">
        <f t="shared" si="18"/>
        <v>171</v>
      </c>
      <c r="C183" s="77" t="s">
        <v>72</v>
      </c>
      <c r="D183" s="77" t="s">
        <v>1175</v>
      </c>
      <c r="E183" s="78">
        <v>1965</v>
      </c>
      <c r="F183" s="78">
        <v>1965</v>
      </c>
      <c r="G183" s="78" t="s">
        <v>52</v>
      </c>
      <c r="H183" s="78">
        <v>2</v>
      </c>
      <c r="I183" s="78">
        <v>2</v>
      </c>
      <c r="J183" s="44">
        <v>568.79999999999995</v>
      </c>
      <c r="K183" s="44">
        <v>521.79999999999995</v>
      </c>
      <c r="L183" s="44">
        <v>0</v>
      </c>
      <c r="M183" s="79">
        <v>38</v>
      </c>
      <c r="N183" s="72">
        <f t="shared" si="24"/>
        <v>54727.43</v>
      </c>
      <c r="O183" s="44"/>
      <c r="P183" s="68"/>
      <c r="Q183" s="68"/>
      <c r="R183" s="44">
        <f>+'[12]Приложение № 4'!E183</f>
        <v>54727.43</v>
      </c>
      <c r="S183" s="68"/>
      <c r="T183" s="68"/>
      <c r="U183" s="68">
        <f t="shared" si="26"/>
        <v>104.8820045994634</v>
      </c>
      <c r="V183" s="68">
        <f t="shared" si="26"/>
        <v>104.8820045994634</v>
      </c>
      <c r="W183" s="80" t="s">
        <v>1101</v>
      </c>
      <c r="X183" s="76"/>
      <c r="Y183" s="77"/>
      <c r="Z183" s="77"/>
      <c r="AA183" s="77"/>
      <c r="AC183" s="27">
        <f>+N183-'[12]Приложение № 4'!E183</f>
        <v>0</v>
      </c>
    </row>
    <row r="184" spans="1:49" ht="15" x14ac:dyDescent="0.25">
      <c r="A184" s="76">
        <f t="shared" si="18"/>
        <v>172</v>
      </c>
      <c r="B184" s="77">
        <f t="shared" si="18"/>
        <v>172</v>
      </c>
      <c r="C184" s="77" t="s">
        <v>568</v>
      </c>
      <c r="D184" s="77" t="s">
        <v>1176</v>
      </c>
      <c r="E184" s="78">
        <v>1983</v>
      </c>
      <c r="F184" s="78">
        <v>2013</v>
      </c>
      <c r="G184" s="78" t="s">
        <v>51</v>
      </c>
      <c r="H184" s="78">
        <v>5</v>
      </c>
      <c r="I184" s="78">
        <v>6</v>
      </c>
      <c r="J184" s="44">
        <v>7108.5</v>
      </c>
      <c r="K184" s="44">
        <v>6229</v>
      </c>
      <c r="L184" s="44">
        <v>0</v>
      </c>
      <c r="M184" s="79">
        <v>277</v>
      </c>
      <c r="N184" s="72">
        <f t="shared" si="24"/>
        <v>136538.59</v>
      </c>
      <c r="O184" s="44"/>
      <c r="P184" s="44"/>
      <c r="Q184" s="44"/>
      <c r="R184" s="44">
        <f>+'[12]Приложение № 4'!E184</f>
        <v>136538.59</v>
      </c>
      <c r="S184" s="44"/>
      <c r="T184" s="44"/>
      <c r="U184" s="44">
        <f t="shared" si="26"/>
        <v>21.919825012040455</v>
      </c>
      <c r="V184" s="44">
        <f t="shared" si="26"/>
        <v>21.919825012040455</v>
      </c>
      <c r="W184" s="80" t="s">
        <v>1101</v>
      </c>
      <c r="AC184" s="27">
        <f>+N184-'[12]Приложение № 4'!E184</f>
        <v>0</v>
      </c>
      <c r="AG184" s="103" t="s">
        <v>1176</v>
      </c>
      <c r="AH184" s="102">
        <f t="shared" ref="AH184:AH190" si="27">SUM(AI184:AW184)</f>
        <v>118553.48999999999</v>
      </c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>
        <v>112538.59</v>
      </c>
      <c r="AV184" s="104">
        <v>6014.9</v>
      </c>
      <c r="AW184" s="106"/>
    </row>
    <row r="185" spans="1:49" ht="15" x14ac:dyDescent="0.25">
      <c r="A185" s="76">
        <f t="shared" si="18"/>
        <v>173</v>
      </c>
      <c r="B185" s="77">
        <f t="shared" si="18"/>
        <v>173</v>
      </c>
      <c r="C185" s="77" t="s">
        <v>568</v>
      </c>
      <c r="D185" s="77" t="s">
        <v>1177</v>
      </c>
      <c r="E185" s="78">
        <v>1994</v>
      </c>
      <c r="F185" s="78">
        <v>2013</v>
      </c>
      <c r="G185" s="78" t="s">
        <v>44</v>
      </c>
      <c r="H185" s="78">
        <v>5</v>
      </c>
      <c r="I185" s="78">
        <v>5</v>
      </c>
      <c r="J185" s="44">
        <v>4604</v>
      </c>
      <c r="K185" s="44">
        <v>4062.5</v>
      </c>
      <c r="L185" s="44">
        <v>0</v>
      </c>
      <c r="M185" s="79">
        <v>44</v>
      </c>
      <c r="N185" s="72">
        <f t="shared" si="24"/>
        <v>113183.56</v>
      </c>
      <c r="O185" s="44"/>
      <c r="P185" s="44"/>
      <c r="Q185" s="44"/>
      <c r="R185" s="44">
        <f>+'[12]Приложение № 4'!E185</f>
        <v>113183.56</v>
      </c>
      <c r="S185" s="44"/>
      <c r="T185" s="44"/>
      <c r="U185" s="44">
        <f t="shared" si="26"/>
        <v>27.860568615384615</v>
      </c>
      <c r="V185" s="44">
        <f t="shared" si="26"/>
        <v>27.860568615384615</v>
      </c>
      <c r="W185" s="80" t="s">
        <v>1101</v>
      </c>
      <c r="AC185" s="27">
        <f>+N185-'[12]Приложение № 4'!E185</f>
        <v>0</v>
      </c>
      <c r="AG185" s="103" t="s">
        <v>1177</v>
      </c>
      <c r="AH185" s="102">
        <f t="shared" si="27"/>
        <v>94529.05</v>
      </c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>
        <v>89183.56</v>
      </c>
      <c r="AV185" s="104">
        <v>5345.49</v>
      </c>
      <c r="AW185" s="106"/>
    </row>
    <row r="186" spans="1:49" ht="15" x14ac:dyDescent="0.25">
      <c r="A186" s="76">
        <f t="shared" si="18"/>
        <v>174</v>
      </c>
      <c r="B186" s="77">
        <f t="shared" si="18"/>
        <v>174</v>
      </c>
      <c r="C186" s="77" t="s">
        <v>568</v>
      </c>
      <c r="D186" s="77" t="s">
        <v>1178</v>
      </c>
      <c r="E186" s="78">
        <v>1992</v>
      </c>
      <c r="F186" s="78">
        <v>2013</v>
      </c>
      <c r="G186" s="78" t="s">
        <v>44</v>
      </c>
      <c r="H186" s="78">
        <v>4</v>
      </c>
      <c r="I186" s="78">
        <v>2</v>
      </c>
      <c r="J186" s="44">
        <v>2227.3000000000002</v>
      </c>
      <c r="K186" s="44">
        <v>2007.5</v>
      </c>
      <c r="L186" s="44">
        <v>0</v>
      </c>
      <c r="M186" s="79">
        <v>87</v>
      </c>
      <c r="N186" s="72">
        <f t="shared" si="24"/>
        <v>93857</v>
      </c>
      <c r="O186" s="44"/>
      <c r="P186" s="44"/>
      <c r="Q186" s="44"/>
      <c r="R186" s="44">
        <f>+'[12]Приложение № 4'!E186</f>
        <v>93857</v>
      </c>
      <c r="S186" s="44"/>
      <c r="T186" s="44"/>
      <c r="U186" s="44">
        <f t="shared" si="26"/>
        <v>46.753175591531758</v>
      </c>
      <c r="V186" s="44">
        <f t="shared" si="26"/>
        <v>46.753175591531758</v>
      </c>
      <c r="W186" s="80" t="s">
        <v>1101</v>
      </c>
      <c r="AC186" s="27">
        <f>+N186-'[12]Приложение № 4'!E186</f>
        <v>0</v>
      </c>
      <c r="AG186" s="103" t="s">
        <v>1178</v>
      </c>
      <c r="AH186" s="102">
        <f t="shared" si="27"/>
        <v>75941.47</v>
      </c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>
        <v>69857</v>
      </c>
      <c r="AV186" s="104">
        <v>6084.47</v>
      </c>
      <c r="AW186" s="106"/>
    </row>
    <row r="187" spans="1:49" ht="15" x14ac:dyDescent="0.25">
      <c r="A187" s="76">
        <f t="shared" si="18"/>
        <v>175</v>
      </c>
      <c r="B187" s="77">
        <f t="shared" si="18"/>
        <v>175</v>
      </c>
      <c r="C187" s="77" t="s">
        <v>568</v>
      </c>
      <c r="D187" s="77" t="s">
        <v>1179</v>
      </c>
      <c r="E187" s="78">
        <v>1972</v>
      </c>
      <c r="F187" s="78">
        <v>2013</v>
      </c>
      <c r="G187" s="78" t="s">
        <v>44</v>
      </c>
      <c r="H187" s="78">
        <v>5</v>
      </c>
      <c r="I187" s="78">
        <v>4</v>
      </c>
      <c r="J187" s="44">
        <v>2737.2</v>
      </c>
      <c r="K187" s="44">
        <v>2492.8000000000002</v>
      </c>
      <c r="L187" s="44">
        <v>0</v>
      </c>
      <c r="M187" s="79">
        <v>112</v>
      </c>
      <c r="N187" s="72">
        <f t="shared" si="24"/>
        <v>120164.31</v>
      </c>
      <c r="O187" s="44"/>
      <c r="P187" s="44"/>
      <c r="Q187" s="44"/>
      <c r="R187" s="44">
        <f>+'[12]Приложение № 4'!E187</f>
        <v>120164.31</v>
      </c>
      <c r="S187" s="44"/>
      <c r="T187" s="44"/>
      <c r="U187" s="44">
        <f t="shared" si="26"/>
        <v>48.204553112965336</v>
      </c>
      <c r="V187" s="44">
        <f t="shared" si="26"/>
        <v>48.204553112965336</v>
      </c>
      <c r="W187" s="80" t="s">
        <v>1101</v>
      </c>
      <c r="AC187" s="27">
        <f>+N187-'[12]Приложение № 4'!E187</f>
        <v>0</v>
      </c>
      <c r="AG187" s="103" t="s">
        <v>1179</v>
      </c>
      <c r="AH187" s="102">
        <f t="shared" si="27"/>
        <v>100927.36</v>
      </c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>
        <v>96164.31</v>
      </c>
      <c r="AV187" s="104">
        <v>4763.05</v>
      </c>
      <c r="AW187" s="106"/>
    </row>
    <row r="188" spans="1:49" ht="15" x14ac:dyDescent="0.25">
      <c r="A188" s="76">
        <f t="shared" si="18"/>
        <v>176</v>
      </c>
      <c r="B188" s="77">
        <f t="shared" si="18"/>
        <v>176</v>
      </c>
      <c r="C188" s="77" t="s">
        <v>568</v>
      </c>
      <c r="D188" s="77" t="s">
        <v>1180</v>
      </c>
      <c r="E188" s="78">
        <v>1978</v>
      </c>
      <c r="F188" s="78">
        <v>2013</v>
      </c>
      <c r="G188" s="78" t="s">
        <v>44</v>
      </c>
      <c r="H188" s="78">
        <v>4</v>
      </c>
      <c r="I188" s="78">
        <v>4</v>
      </c>
      <c r="J188" s="44">
        <v>2859.8</v>
      </c>
      <c r="K188" s="44">
        <v>2625.6</v>
      </c>
      <c r="L188" s="44">
        <v>0</v>
      </c>
      <c r="M188" s="79">
        <v>118</v>
      </c>
      <c r="N188" s="72">
        <f t="shared" si="24"/>
        <v>97271.89</v>
      </c>
      <c r="O188" s="44"/>
      <c r="P188" s="44"/>
      <c r="Q188" s="44"/>
      <c r="R188" s="44">
        <f>+'[12]Приложение № 4'!E188</f>
        <v>97271.89</v>
      </c>
      <c r="S188" s="44"/>
      <c r="T188" s="44"/>
      <c r="U188" s="44">
        <f t="shared" si="26"/>
        <v>37.047490097501523</v>
      </c>
      <c r="V188" s="44">
        <f t="shared" si="26"/>
        <v>37.047490097501523</v>
      </c>
      <c r="W188" s="80" t="s">
        <v>1101</v>
      </c>
      <c r="AC188" s="27">
        <f>+N188-'[12]Приложение № 4'!E188</f>
        <v>0</v>
      </c>
      <c r="AG188" s="103" t="s">
        <v>1180</v>
      </c>
      <c r="AH188" s="102">
        <f t="shared" si="27"/>
        <v>78255.62</v>
      </c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>
        <v>73281.789999999994</v>
      </c>
      <c r="AV188" s="104">
        <v>4973.83</v>
      </c>
      <c r="AW188" s="106"/>
    </row>
    <row r="189" spans="1:49" ht="15" x14ac:dyDescent="0.25">
      <c r="A189" s="76">
        <f t="shared" si="18"/>
        <v>177</v>
      </c>
      <c r="B189" s="77">
        <f t="shared" si="18"/>
        <v>177</v>
      </c>
      <c r="C189" s="77" t="s">
        <v>568</v>
      </c>
      <c r="D189" s="77" t="s">
        <v>1181</v>
      </c>
      <c r="E189" s="78">
        <v>1981</v>
      </c>
      <c r="F189" s="78">
        <v>2013</v>
      </c>
      <c r="G189" s="78" t="s">
        <v>51</v>
      </c>
      <c r="H189" s="78">
        <v>5</v>
      </c>
      <c r="I189" s="78">
        <v>6</v>
      </c>
      <c r="J189" s="44">
        <v>7089.2</v>
      </c>
      <c r="K189" s="44">
        <v>6225.8</v>
      </c>
      <c r="L189" s="44">
        <v>0</v>
      </c>
      <c r="M189" s="79">
        <v>280</v>
      </c>
      <c r="N189" s="72">
        <f t="shared" si="24"/>
        <v>143204.79999999999</v>
      </c>
      <c r="O189" s="44"/>
      <c r="P189" s="44"/>
      <c r="Q189" s="44"/>
      <c r="R189" s="44">
        <f>+'[12]Приложение № 4'!E189</f>
        <v>143204.79999999999</v>
      </c>
      <c r="S189" s="44"/>
      <c r="T189" s="44"/>
      <c r="U189" s="44">
        <f t="shared" si="26"/>
        <v>23.001831089980403</v>
      </c>
      <c r="V189" s="44">
        <f t="shared" si="26"/>
        <v>23.001831089980403</v>
      </c>
      <c r="W189" s="80" t="s">
        <v>1101</v>
      </c>
      <c r="AC189" s="27">
        <f>+N189-'[12]Приложение № 4'!E189</f>
        <v>0</v>
      </c>
      <c r="AG189" s="103" t="s">
        <v>1181</v>
      </c>
      <c r="AH189" s="102">
        <f t="shared" si="27"/>
        <v>125220.59</v>
      </c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>
        <v>119204.8</v>
      </c>
      <c r="AV189" s="104">
        <v>6015.79</v>
      </c>
      <c r="AW189" s="106"/>
    </row>
    <row r="190" spans="1:49" ht="15" x14ac:dyDescent="0.25">
      <c r="A190" s="76">
        <f t="shared" si="18"/>
        <v>178</v>
      </c>
      <c r="B190" s="77">
        <f t="shared" si="18"/>
        <v>178</v>
      </c>
      <c r="C190" s="77" t="s">
        <v>568</v>
      </c>
      <c r="D190" s="77" t="s">
        <v>1182</v>
      </c>
      <c r="E190" s="78">
        <v>1988</v>
      </c>
      <c r="F190" s="78">
        <v>2013</v>
      </c>
      <c r="G190" s="78" t="s">
        <v>44</v>
      </c>
      <c r="H190" s="78">
        <v>3</v>
      </c>
      <c r="I190" s="78">
        <v>3</v>
      </c>
      <c r="J190" s="44">
        <v>1440</v>
      </c>
      <c r="K190" s="44">
        <v>1357.8</v>
      </c>
      <c r="L190" s="44">
        <v>0</v>
      </c>
      <c r="M190" s="79">
        <v>54</v>
      </c>
      <c r="N190" s="72">
        <f t="shared" si="24"/>
        <v>52602.23</v>
      </c>
      <c r="O190" s="44"/>
      <c r="P190" s="44"/>
      <c r="Q190" s="44"/>
      <c r="R190" s="44">
        <f>+'[12]Приложение № 4'!E190</f>
        <v>52602.23</v>
      </c>
      <c r="S190" s="44"/>
      <c r="T190" s="44"/>
      <c r="U190" s="44">
        <v>18473.579995043729</v>
      </c>
      <c r="V190" s="44">
        <v>18473.579995043729</v>
      </c>
      <c r="W190" s="80" t="s">
        <v>1101</v>
      </c>
      <c r="AC190" s="27">
        <f>+N190-'[12]Приложение № 4'!E190</f>
        <v>0</v>
      </c>
      <c r="AG190" s="103" t="s">
        <v>1182</v>
      </c>
      <c r="AH190" s="102">
        <f t="shared" si="27"/>
        <v>273170.31</v>
      </c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>
        <v>225241.67</v>
      </c>
      <c r="AV190" s="104">
        <v>47928.639999999999</v>
      </c>
      <c r="AW190" s="106"/>
    </row>
    <row r="191" spans="1:49" ht="15" x14ac:dyDescent="0.25">
      <c r="A191" s="76">
        <f t="shared" si="18"/>
        <v>179</v>
      </c>
      <c r="B191" s="77">
        <f t="shared" si="18"/>
        <v>179</v>
      </c>
      <c r="C191" s="77" t="s">
        <v>568</v>
      </c>
      <c r="D191" s="77" t="s">
        <v>838</v>
      </c>
      <c r="E191" s="78" t="s">
        <v>593</v>
      </c>
      <c r="F191" s="78"/>
      <c r="G191" s="78" t="s">
        <v>573</v>
      </c>
      <c r="H191" s="78" t="s">
        <v>579</v>
      </c>
      <c r="I191" s="78" t="s">
        <v>579</v>
      </c>
      <c r="J191" s="44">
        <v>3935.6</v>
      </c>
      <c r="K191" s="44">
        <v>3447.4</v>
      </c>
      <c r="L191" s="44">
        <v>0</v>
      </c>
      <c r="M191" s="79">
        <v>162</v>
      </c>
      <c r="N191" s="72">
        <f t="shared" si="24"/>
        <v>759551.38000000012</v>
      </c>
      <c r="O191" s="44">
        <v>0</v>
      </c>
      <c r="P191" s="44"/>
      <c r="Q191" s="44"/>
      <c r="R191" s="44">
        <f>+'[12]Приложение № 4'!E191</f>
        <v>759551.38000000012</v>
      </c>
      <c r="S191" s="44"/>
      <c r="T191" s="44"/>
      <c r="U191" s="44">
        <v>5044.62</v>
      </c>
      <c r="V191" s="44">
        <v>5044.62</v>
      </c>
      <c r="W191" s="80" t="s">
        <v>1101</v>
      </c>
      <c r="X191" s="96" t="e">
        <f>+N191-#REF!</f>
        <v>#REF!</v>
      </c>
      <c r="Y191" s="94">
        <v>1318896.72</v>
      </c>
      <c r="Z191" s="94">
        <f t="shared" si="25"/>
        <v>376456.08</v>
      </c>
      <c r="AB191" s="96" t="e">
        <f>+N191-#REF!</f>
        <v>#REF!</v>
      </c>
      <c r="AC191" s="27">
        <f>+N191-'[12]Приложение № 4'!E191</f>
        <v>0</v>
      </c>
      <c r="AE191" s="98" t="e">
        <f>+N191-#REF!</f>
        <v>#REF!</v>
      </c>
      <c r="AG191" s="101" t="s">
        <v>838</v>
      </c>
      <c r="AH191" s="102">
        <f t="shared" si="17"/>
        <v>763427.38749282132</v>
      </c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>
        <v>717814.65204642131</v>
      </c>
      <c r="AV191" s="102">
        <v>45612.735446399995</v>
      </c>
      <c r="AW191" s="102"/>
    </row>
    <row r="192" spans="1:49" ht="15" x14ac:dyDescent="0.25">
      <c r="A192" s="76">
        <f t="shared" si="18"/>
        <v>180</v>
      </c>
      <c r="B192" s="77">
        <f t="shared" si="18"/>
        <v>180</v>
      </c>
      <c r="C192" s="77" t="s">
        <v>568</v>
      </c>
      <c r="D192" s="77" t="s">
        <v>1183</v>
      </c>
      <c r="E192" s="78">
        <v>1994</v>
      </c>
      <c r="F192" s="78">
        <v>2012</v>
      </c>
      <c r="G192" s="78" t="s">
        <v>44</v>
      </c>
      <c r="H192" s="78">
        <v>6</v>
      </c>
      <c r="I192" s="78">
        <v>2</v>
      </c>
      <c r="J192" s="44">
        <v>3053.6</v>
      </c>
      <c r="K192" s="44">
        <v>2680.5</v>
      </c>
      <c r="L192" s="44">
        <v>0</v>
      </c>
      <c r="M192" s="79">
        <v>97</v>
      </c>
      <c r="N192" s="72">
        <f>+P192+Q192+R192+S192+T192</f>
        <v>158663.30000000002</v>
      </c>
      <c r="O192" s="44"/>
      <c r="P192" s="44"/>
      <c r="Q192" s="44"/>
      <c r="R192" s="44">
        <f>+'[12]Приложение № 4'!E192</f>
        <v>158663.30000000002</v>
      </c>
      <c r="S192" s="44"/>
      <c r="T192" s="44"/>
      <c r="U192" s="44">
        <f>$N192/($K192+$L192)</f>
        <v>59.191680656593924</v>
      </c>
      <c r="V192" s="44">
        <f>$N192/($K192+$L192)</f>
        <v>59.191680656593924</v>
      </c>
      <c r="W192" s="80" t="s">
        <v>1101</v>
      </c>
      <c r="AC192" s="27">
        <f>+N192-'[12]Приложение № 4'!E192</f>
        <v>0</v>
      </c>
      <c r="AG192" s="103" t="s">
        <v>1183</v>
      </c>
      <c r="AH192" s="102">
        <f>SUM(AI192:AW192)</f>
        <v>139057.34999999998</v>
      </c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>
        <v>134663.29999999999</v>
      </c>
      <c r="AV192" s="104">
        <v>4394.05</v>
      </c>
      <c r="AW192" s="106"/>
    </row>
    <row r="193" spans="1:49" ht="15" x14ac:dyDescent="0.25">
      <c r="A193" s="76">
        <f t="shared" si="18"/>
        <v>181</v>
      </c>
      <c r="B193" s="77">
        <f t="shared" si="18"/>
        <v>181</v>
      </c>
      <c r="C193" s="77" t="s">
        <v>568</v>
      </c>
      <c r="D193" s="77" t="s">
        <v>1184</v>
      </c>
      <c r="E193" s="78">
        <v>1994</v>
      </c>
      <c r="F193" s="78">
        <v>2013</v>
      </c>
      <c r="G193" s="78" t="s">
        <v>44</v>
      </c>
      <c r="H193" s="78">
        <v>5</v>
      </c>
      <c r="I193" s="78">
        <v>2</v>
      </c>
      <c r="J193" s="44">
        <v>2375.9</v>
      </c>
      <c r="K193" s="44">
        <v>2217.9</v>
      </c>
      <c r="L193" s="44">
        <v>0</v>
      </c>
      <c r="M193" s="79">
        <v>105</v>
      </c>
      <c r="N193" s="72">
        <f>+P193+Q193+R193+S193+T193</f>
        <v>90391.22</v>
      </c>
      <c r="O193" s="44"/>
      <c r="P193" s="44"/>
      <c r="Q193" s="44"/>
      <c r="R193" s="44">
        <f>+'[12]Приложение № 4'!E193</f>
        <v>90391.22</v>
      </c>
      <c r="S193" s="44"/>
      <c r="T193" s="44"/>
      <c r="U193" s="44">
        <f>$N193/($K193+$L193)</f>
        <v>40.755318093692232</v>
      </c>
      <c r="V193" s="44">
        <f>$N193/($K193+$L193)</f>
        <v>40.755318093692232</v>
      </c>
      <c r="W193" s="80" t="s">
        <v>1101</v>
      </c>
      <c r="AC193" s="27">
        <f>+N193-'[12]Приложение № 4'!E193</f>
        <v>0</v>
      </c>
      <c r="AG193" s="103" t="s">
        <v>1184</v>
      </c>
      <c r="AH193" s="102">
        <f>SUM(AI193:AW193)</f>
        <v>95011.27</v>
      </c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>
        <v>90391.22</v>
      </c>
      <c r="AV193" s="104">
        <v>4620.05</v>
      </c>
      <c r="AW193" s="106"/>
    </row>
    <row r="194" spans="1:49" ht="15" x14ac:dyDescent="0.25">
      <c r="A194" s="76">
        <f t="shared" si="18"/>
        <v>182</v>
      </c>
      <c r="B194" s="77">
        <f t="shared" si="18"/>
        <v>182</v>
      </c>
      <c r="C194" s="77" t="s">
        <v>568</v>
      </c>
      <c r="D194" s="77" t="s">
        <v>839</v>
      </c>
      <c r="E194" s="78" t="s">
        <v>631</v>
      </c>
      <c r="F194" s="78"/>
      <c r="G194" s="78" t="s">
        <v>570</v>
      </c>
      <c r="H194" s="78" t="s">
        <v>579</v>
      </c>
      <c r="I194" s="78" t="s">
        <v>572</v>
      </c>
      <c r="J194" s="44">
        <v>1804.7</v>
      </c>
      <c r="K194" s="44">
        <v>1573.9</v>
      </c>
      <c r="L194" s="44">
        <v>0</v>
      </c>
      <c r="M194" s="79">
        <v>69</v>
      </c>
      <c r="N194" s="72">
        <f t="shared" si="24"/>
        <v>165401.01999999999</v>
      </c>
      <c r="O194" s="44">
        <v>0</v>
      </c>
      <c r="P194" s="44"/>
      <c r="Q194" s="44"/>
      <c r="R194" s="44">
        <f>+'[12]Приложение № 4'!E194</f>
        <v>165401.01999999999</v>
      </c>
      <c r="S194" s="44"/>
      <c r="T194" s="44"/>
      <c r="U194" s="44">
        <v>208.23</v>
      </c>
      <c r="V194" s="44">
        <v>208.23</v>
      </c>
      <c r="W194" s="80" t="s">
        <v>1101</v>
      </c>
      <c r="X194" s="96" t="e">
        <f>+N194-#REF!</f>
        <v>#REF!</v>
      </c>
      <c r="Y194" s="94">
        <v>573329.72</v>
      </c>
      <c r="Z194" s="94">
        <f t="shared" si="25"/>
        <v>171869.88</v>
      </c>
      <c r="AB194" s="96" t="e">
        <f>+N194-#REF!</f>
        <v>#REF!</v>
      </c>
      <c r="AC194" s="27">
        <f>+N194-'[12]Приложение № 4'!E194</f>
        <v>0</v>
      </c>
      <c r="AE194" s="98" t="e">
        <f>+N194-#REF!</f>
        <v>#REF!</v>
      </c>
      <c r="AG194" s="101" t="s">
        <v>839</v>
      </c>
      <c r="AH194" s="102">
        <f t="shared" ref="AH194:AH364" si="28">SUM(AI194:AW194)</f>
        <v>182230.44748800003</v>
      </c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>
        <v>158230.44748800003</v>
      </c>
      <c r="AV194" s="102">
        <v>24000</v>
      </c>
      <c r="AW194" s="102"/>
    </row>
    <row r="195" spans="1:49" ht="15" x14ac:dyDescent="0.25">
      <c r="A195" s="76">
        <f t="shared" si="18"/>
        <v>183</v>
      </c>
      <c r="B195" s="77">
        <f t="shared" si="18"/>
        <v>183</v>
      </c>
      <c r="C195" s="77" t="s">
        <v>568</v>
      </c>
      <c r="D195" s="77" t="s">
        <v>840</v>
      </c>
      <c r="E195" s="78" t="s">
        <v>599</v>
      </c>
      <c r="F195" s="78"/>
      <c r="G195" s="78" t="s">
        <v>570</v>
      </c>
      <c r="H195" s="78" t="s">
        <v>582</v>
      </c>
      <c r="I195" s="78" t="s">
        <v>572</v>
      </c>
      <c r="J195" s="44">
        <v>1833</v>
      </c>
      <c r="K195" s="44">
        <v>1523</v>
      </c>
      <c r="L195" s="44">
        <v>0</v>
      </c>
      <c r="M195" s="79">
        <v>73</v>
      </c>
      <c r="N195" s="72">
        <f t="shared" si="24"/>
        <v>208906.47999999998</v>
      </c>
      <c r="O195" s="44">
        <v>0</v>
      </c>
      <c r="P195" s="44"/>
      <c r="Q195" s="44"/>
      <c r="R195" s="44">
        <f>+'[12]Приложение № 4'!E195</f>
        <v>208906.47999999998</v>
      </c>
      <c r="S195" s="44"/>
      <c r="T195" s="44"/>
      <c r="U195" s="44">
        <v>208.23</v>
      </c>
      <c r="V195" s="44">
        <v>208.23</v>
      </c>
      <c r="W195" s="80" t="s">
        <v>1101</v>
      </c>
      <c r="X195" s="96" t="e">
        <f>+N195-#REF!</f>
        <v>#REF!</v>
      </c>
      <c r="Y195" s="94">
        <v>555511.35</v>
      </c>
      <c r="Z195" s="94">
        <f t="shared" si="25"/>
        <v>166311.59999999998</v>
      </c>
      <c r="AB195" s="96" t="e">
        <f>+N195-#REF!</f>
        <v>#REF!</v>
      </c>
      <c r="AC195" s="27">
        <f>+N195-'[12]Приложение № 4'!E195</f>
        <v>0</v>
      </c>
      <c r="AE195" s="98" t="e">
        <f>+N195-#REF!</f>
        <v>#REF!</v>
      </c>
      <c r="AG195" s="101" t="s">
        <v>840</v>
      </c>
      <c r="AH195" s="102">
        <f t="shared" si="28"/>
        <v>225965.15635199999</v>
      </c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>
        <v>201965.15635199999</v>
      </c>
      <c r="AV195" s="102">
        <v>24000</v>
      </c>
      <c r="AW195" s="102"/>
    </row>
    <row r="196" spans="1:49" ht="15" x14ac:dyDescent="0.25">
      <c r="A196" s="76">
        <f t="shared" si="18"/>
        <v>184</v>
      </c>
      <c r="B196" s="77">
        <f t="shared" si="18"/>
        <v>184</v>
      </c>
      <c r="C196" s="77" t="s">
        <v>568</v>
      </c>
      <c r="D196" s="77" t="s">
        <v>841</v>
      </c>
      <c r="E196" s="78" t="s">
        <v>601</v>
      </c>
      <c r="F196" s="78"/>
      <c r="G196" s="78" t="s">
        <v>570</v>
      </c>
      <c r="H196" s="78" t="s">
        <v>582</v>
      </c>
      <c r="I196" s="78" t="s">
        <v>572</v>
      </c>
      <c r="J196" s="44">
        <v>1863.8</v>
      </c>
      <c r="K196" s="44">
        <v>1550</v>
      </c>
      <c r="L196" s="44">
        <v>0</v>
      </c>
      <c r="M196" s="79">
        <v>61</v>
      </c>
      <c r="N196" s="72">
        <f t="shared" si="24"/>
        <v>208225.19</v>
      </c>
      <c r="O196" s="44">
        <v>0</v>
      </c>
      <c r="P196" s="44"/>
      <c r="Q196" s="44"/>
      <c r="R196" s="44">
        <f>+'[12]Приложение № 4'!E196</f>
        <v>208225.19</v>
      </c>
      <c r="S196" s="44"/>
      <c r="T196" s="44"/>
      <c r="U196" s="44">
        <v>208.23</v>
      </c>
      <c r="V196" s="44">
        <v>208.23</v>
      </c>
      <c r="W196" s="80" t="s">
        <v>1101</v>
      </c>
      <c r="X196" s="96" t="e">
        <f>+N196-#REF!</f>
        <v>#REF!</v>
      </c>
      <c r="Y196" s="94">
        <v>610348.51</v>
      </c>
      <c r="Z196" s="94">
        <f t="shared" si="25"/>
        <v>169260</v>
      </c>
      <c r="AB196" s="96" t="e">
        <f>+N196-#REF!</f>
        <v>#REF!</v>
      </c>
      <c r="AC196" s="27">
        <f>+N196-'[12]Приложение № 4'!E196</f>
        <v>0</v>
      </c>
      <c r="AE196" s="98" t="e">
        <f>+N196-#REF!</f>
        <v>#REF!</v>
      </c>
      <c r="AG196" s="101" t="s">
        <v>841</v>
      </c>
      <c r="AH196" s="102">
        <f t="shared" si="28"/>
        <v>225280.28083200002</v>
      </c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>
        <v>201280.28083200002</v>
      </c>
      <c r="AV196" s="102">
        <v>24000</v>
      </c>
      <c r="AW196" s="102"/>
    </row>
    <row r="197" spans="1:49" ht="15" x14ac:dyDescent="0.25">
      <c r="A197" s="76">
        <f t="shared" si="18"/>
        <v>185</v>
      </c>
      <c r="B197" s="77">
        <f t="shared" si="18"/>
        <v>185</v>
      </c>
      <c r="C197" s="77" t="s">
        <v>568</v>
      </c>
      <c r="D197" s="77" t="s">
        <v>842</v>
      </c>
      <c r="E197" s="78" t="s">
        <v>578</v>
      </c>
      <c r="F197" s="78"/>
      <c r="G197" s="78" t="s">
        <v>570</v>
      </c>
      <c r="H197" s="78" t="s">
        <v>582</v>
      </c>
      <c r="I197" s="78" t="s">
        <v>572</v>
      </c>
      <c r="J197" s="44">
        <v>1910.1</v>
      </c>
      <c r="K197" s="44">
        <v>1599.5</v>
      </c>
      <c r="L197" s="44">
        <v>0</v>
      </c>
      <c r="M197" s="79">
        <v>70</v>
      </c>
      <c r="N197" s="72">
        <f t="shared" si="24"/>
        <v>291527.46999999997</v>
      </c>
      <c r="O197" s="44">
        <v>0</v>
      </c>
      <c r="P197" s="44"/>
      <c r="Q197" s="44"/>
      <c r="R197" s="44">
        <f>+'[12]Приложение № 4'!E197</f>
        <v>291527.46999999997</v>
      </c>
      <c r="S197" s="44"/>
      <c r="T197" s="44"/>
      <c r="U197" s="44">
        <v>208.23</v>
      </c>
      <c r="V197" s="44">
        <v>208.23</v>
      </c>
      <c r="W197" s="80" t="s">
        <v>1101</v>
      </c>
      <c r="X197" s="96" t="e">
        <f>+N197-#REF!</f>
        <v>#REF!</v>
      </c>
      <c r="Y197" s="94">
        <v>563318.52</v>
      </c>
      <c r="Z197" s="94">
        <f t="shared" si="25"/>
        <v>174665.4</v>
      </c>
      <c r="AB197" s="96" t="e">
        <f>+N197-#REF!</f>
        <v>#REF!</v>
      </c>
      <c r="AC197" s="27">
        <f>+N197-'[12]Приложение № 4'!E197</f>
        <v>0</v>
      </c>
      <c r="AE197" s="98" t="e">
        <f>+N197-#REF!</f>
        <v>#REF!</v>
      </c>
      <c r="AG197" s="101" t="s">
        <v>842</v>
      </c>
      <c r="AH197" s="102">
        <f t="shared" si="28"/>
        <v>226307.59411200002</v>
      </c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>
        <v>202307.59411200002</v>
      </c>
      <c r="AV197" s="102">
        <v>24000</v>
      </c>
      <c r="AW197" s="102"/>
    </row>
    <row r="198" spans="1:49" ht="15" x14ac:dyDescent="0.25">
      <c r="A198" s="76">
        <f t="shared" si="18"/>
        <v>186</v>
      </c>
      <c r="B198" s="77">
        <f t="shared" si="18"/>
        <v>186</v>
      </c>
      <c r="C198" s="77" t="s">
        <v>568</v>
      </c>
      <c r="D198" s="77" t="s">
        <v>844</v>
      </c>
      <c r="E198" s="78" t="s">
        <v>1107</v>
      </c>
      <c r="F198" s="78"/>
      <c r="G198" s="78" t="s">
        <v>570</v>
      </c>
      <c r="H198" s="78" t="s">
        <v>579</v>
      </c>
      <c r="I198" s="78" t="s">
        <v>572</v>
      </c>
      <c r="J198" s="44">
        <v>1348</v>
      </c>
      <c r="K198" s="44">
        <v>1248.7</v>
      </c>
      <c r="L198" s="44">
        <v>0</v>
      </c>
      <c r="M198" s="79">
        <v>74</v>
      </c>
      <c r="N198" s="72">
        <f t="shared" si="24"/>
        <v>234212.08000000002</v>
      </c>
      <c r="O198" s="44">
        <v>0</v>
      </c>
      <c r="P198" s="44"/>
      <c r="Q198" s="44"/>
      <c r="R198" s="44">
        <f>+'[12]Приложение № 4'!E198</f>
        <v>234212.08000000002</v>
      </c>
      <c r="S198" s="44"/>
      <c r="T198" s="44"/>
      <c r="U198" s="44">
        <v>1961.28</v>
      </c>
      <c r="V198" s="44">
        <v>1961.28</v>
      </c>
      <c r="W198" s="80" t="s">
        <v>1101</v>
      </c>
      <c r="X198" s="96" t="e">
        <f>+N198-#REF!</f>
        <v>#REF!</v>
      </c>
      <c r="Y198" s="94">
        <v>445635.63</v>
      </c>
      <c r="Z198" s="94">
        <f t="shared" si="25"/>
        <v>136358.04</v>
      </c>
      <c r="AB198" s="96" t="e">
        <f>+N198-#REF!</f>
        <v>#REF!</v>
      </c>
      <c r="AC198" s="27">
        <f>+N198-'[12]Приложение № 4'!E198</f>
        <v>0</v>
      </c>
      <c r="AE198" s="98" t="e">
        <f>+N198-#REF!</f>
        <v>#REF!</v>
      </c>
      <c r="AG198" s="101" t="s">
        <v>844</v>
      </c>
      <c r="AH198" s="102">
        <f t="shared" si="28"/>
        <v>413390.90214369842</v>
      </c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>
        <v>372400.51043169841</v>
      </c>
      <c r="AV198" s="102">
        <v>40990.391711999997</v>
      </c>
      <c r="AW198" s="102"/>
    </row>
    <row r="199" spans="1:49" ht="15" x14ac:dyDescent="0.25">
      <c r="A199" s="76">
        <f t="shared" si="18"/>
        <v>187</v>
      </c>
      <c r="B199" s="77">
        <f t="shared" si="18"/>
        <v>187</v>
      </c>
      <c r="C199" s="77" t="s">
        <v>568</v>
      </c>
      <c r="D199" s="77" t="s">
        <v>846</v>
      </c>
      <c r="E199" s="78" t="s">
        <v>623</v>
      </c>
      <c r="F199" s="78"/>
      <c r="G199" s="78" t="s">
        <v>570</v>
      </c>
      <c r="H199" s="78" t="s">
        <v>579</v>
      </c>
      <c r="I199" s="78" t="s">
        <v>572</v>
      </c>
      <c r="J199" s="44">
        <v>1240.4000000000001</v>
      </c>
      <c r="K199" s="44">
        <v>1129.4000000000001</v>
      </c>
      <c r="L199" s="44">
        <v>0</v>
      </c>
      <c r="M199" s="79">
        <v>70</v>
      </c>
      <c r="N199" s="72">
        <f t="shared" si="24"/>
        <v>406095.02</v>
      </c>
      <c r="O199" s="44">
        <v>0</v>
      </c>
      <c r="P199" s="44"/>
      <c r="Q199" s="44"/>
      <c r="R199" s="44">
        <f>+'[12]Приложение № 4'!E199</f>
        <v>406095.02</v>
      </c>
      <c r="S199" s="44"/>
      <c r="T199" s="44"/>
      <c r="U199" s="44">
        <v>1961.28</v>
      </c>
      <c r="V199" s="44">
        <v>1961.28</v>
      </c>
      <c r="W199" s="80" t="s">
        <v>1101</v>
      </c>
      <c r="X199" s="96" t="e">
        <f>+N199-#REF!</f>
        <v>#REF!</v>
      </c>
      <c r="Y199" s="94">
        <v>495139.01</v>
      </c>
      <c r="Z199" s="94">
        <f t="shared" si="25"/>
        <v>123330.48000000001</v>
      </c>
      <c r="AB199" s="96" t="e">
        <f>+N199-#REF!</f>
        <v>#REF!</v>
      </c>
      <c r="AC199" s="27">
        <f>+N199-'[12]Приложение № 4'!E199</f>
        <v>0</v>
      </c>
      <c r="AE199" s="98" t="e">
        <f>+N199-#REF!</f>
        <v>#REF!</v>
      </c>
      <c r="AG199" s="101" t="s">
        <v>846</v>
      </c>
      <c r="AH199" s="102">
        <f t="shared" si="28"/>
        <v>424192.78784563695</v>
      </c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>
        <v>383394.60674803698</v>
      </c>
      <c r="AV199" s="102">
        <v>40798.181097599998</v>
      </c>
      <c r="AW199" s="102"/>
    </row>
    <row r="200" spans="1:49" ht="15" x14ac:dyDescent="0.25">
      <c r="A200" s="76">
        <f t="shared" si="18"/>
        <v>188</v>
      </c>
      <c r="B200" s="77">
        <f t="shared" si="18"/>
        <v>188</v>
      </c>
      <c r="C200" s="77" t="s">
        <v>568</v>
      </c>
      <c r="D200" s="77" t="s">
        <v>847</v>
      </c>
      <c r="E200" s="78" t="s">
        <v>1108</v>
      </c>
      <c r="F200" s="78"/>
      <c r="G200" s="78" t="s">
        <v>570</v>
      </c>
      <c r="H200" s="78" t="s">
        <v>579</v>
      </c>
      <c r="I200" s="78" t="s">
        <v>575</v>
      </c>
      <c r="J200" s="44">
        <v>1645.1</v>
      </c>
      <c r="K200" s="44">
        <v>1499.3</v>
      </c>
      <c r="L200" s="44">
        <v>0</v>
      </c>
      <c r="M200" s="79">
        <v>71</v>
      </c>
      <c r="N200" s="72">
        <f t="shared" si="24"/>
        <v>1383147.26</v>
      </c>
      <c r="O200" s="44">
        <v>0</v>
      </c>
      <c r="P200" s="44"/>
      <c r="Q200" s="44"/>
      <c r="R200" s="44">
        <f>+'[12]Приложение № 4'!E200</f>
        <v>1383147.26</v>
      </c>
      <c r="S200" s="44"/>
      <c r="T200" s="44"/>
      <c r="U200" s="44">
        <v>7042.17</v>
      </c>
      <c r="V200" s="44">
        <v>7042.17</v>
      </c>
      <c r="W200" s="80" t="s">
        <v>1101</v>
      </c>
      <c r="X200" s="96" t="e">
        <f>+N200-#REF!</f>
        <v>#REF!</v>
      </c>
      <c r="Y200" s="94">
        <v>919795.95</v>
      </c>
      <c r="Z200" s="94">
        <f t="shared" si="25"/>
        <v>163723.56</v>
      </c>
      <c r="AB200" s="96" t="e">
        <f>+N200-#REF!</f>
        <v>#REF!</v>
      </c>
      <c r="AC200" s="27">
        <f>+N200-'[12]Приложение № 4'!E200</f>
        <v>0</v>
      </c>
      <c r="AE200" s="98" t="e">
        <f>+N200-#REF!</f>
        <v>#REF!</v>
      </c>
      <c r="AG200" s="101" t="s">
        <v>847</v>
      </c>
      <c r="AH200" s="102">
        <f t="shared" si="28"/>
        <v>1390309.3192010124</v>
      </c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>
        <v>1348146.1926530125</v>
      </c>
      <c r="AV200" s="102">
        <v>42163.126548</v>
      </c>
      <c r="AW200" s="102"/>
    </row>
    <row r="201" spans="1:49" ht="15" x14ac:dyDescent="0.25">
      <c r="A201" s="76">
        <f t="shared" si="18"/>
        <v>189</v>
      </c>
      <c r="B201" s="77">
        <f t="shared" si="18"/>
        <v>189</v>
      </c>
      <c r="C201" s="77" t="s">
        <v>568</v>
      </c>
      <c r="D201" s="130" t="s">
        <v>1154</v>
      </c>
      <c r="E201" s="78">
        <v>1968</v>
      </c>
      <c r="F201" s="78">
        <v>2013</v>
      </c>
      <c r="G201" s="78" t="s">
        <v>44</v>
      </c>
      <c r="H201" s="78">
        <v>4</v>
      </c>
      <c r="I201" s="78">
        <v>2</v>
      </c>
      <c r="J201" s="44">
        <v>1340.1</v>
      </c>
      <c r="K201" s="44">
        <v>1243.3</v>
      </c>
      <c r="L201" s="44">
        <v>0</v>
      </c>
      <c r="M201" s="79">
        <v>47</v>
      </c>
      <c r="N201" s="72">
        <f>+P201+Q201+R201+S201+T201</f>
        <v>82537.200845238855</v>
      </c>
      <c r="O201" s="75"/>
      <c r="P201" s="68"/>
      <c r="Q201" s="68"/>
      <c r="R201" s="44">
        <f>+'[12]Приложение № 4'!E201</f>
        <v>82537.200845238855</v>
      </c>
      <c r="S201" s="68"/>
      <c r="T201" s="68"/>
      <c r="U201" s="68">
        <f>$N201/($K201+$L201)</f>
        <v>66.385587424787943</v>
      </c>
      <c r="V201" s="68">
        <f>$N201/($K201+$L201)</f>
        <v>66.385587424787943</v>
      </c>
      <c r="W201" s="80" t="s">
        <v>1101</v>
      </c>
      <c r="X201" s="96"/>
      <c r="AB201" s="96"/>
      <c r="AC201" s="27">
        <f>+N201-'[12]Приложение № 4'!E201</f>
        <v>0</v>
      </c>
      <c r="AE201" s="98"/>
      <c r="AG201" s="101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</row>
    <row r="202" spans="1:49" ht="15" x14ac:dyDescent="0.25">
      <c r="A202" s="76">
        <f t="shared" si="18"/>
        <v>190</v>
      </c>
      <c r="B202" s="77">
        <f t="shared" si="18"/>
        <v>190</v>
      </c>
      <c r="C202" s="77" t="s">
        <v>568</v>
      </c>
      <c r="D202" s="77" t="s">
        <v>850</v>
      </c>
      <c r="E202" s="78" t="s">
        <v>569</v>
      </c>
      <c r="F202" s="78"/>
      <c r="G202" s="78" t="s">
        <v>573</v>
      </c>
      <c r="H202" s="78" t="s">
        <v>575</v>
      </c>
      <c r="I202" s="78" t="s">
        <v>572</v>
      </c>
      <c r="J202" s="44">
        <v>1766.8</v>
      </c>
      <c r="K202" s="44">
        <v>1505</v>
      </c>
      <c r="L202" s="44">
        <v>0</v>
      </c>
      <c r="M202" s="79">
        <v>66</v>
      </c>
      <c r="N202" s="72">
        <f t="shared" si="24"/>
        <v>145201.22</v>
      </c>
      <c r="O202" s="44">
        <v>0</v>
      </c>
      <c r="P202" s="44"/>
      <c r="Q202" s="44"/>
      <c r="R202" s="44">
        <f>+'[12]Приложение № 4'!E202</f>
        <v>145201.22</v>
      </c>
      <c r="S202" s="44"/>
      <c r="T202" s="44"/>
      <c r="U202" s="44">
        <v>224.97</v>
      </c>
      <c r="V202" s="44">
        <v>224.97</v>
      </c>
      <c r="W202" s="80" t="s">
        <v>1101</v>
      </c>
      <c r="X202" s="96" t="e">
        <f>+N202-#REF!</f>
        <v>#REF!</v>
      </c>
      <c r="Y202" s="94">
        <v>564259.43000000005</v>
      </c>
      <c r="Z202" s="94">
        <f t="shared" si="25"/>
        <v>164346</v>
      </c>
      <c r="AB202" s="96" t="e">
        <f>+N202-#REF!</f>
        <v>#REF!</v>
      </c>
      <c r="AC202" s="27">
        <f>+N202-'[12]Приложение № 4'!E202</f>
        <v>0</v>
      </c>
      <c r="AE202" s="98" t="e">
        <f>+N202-#REF!</f>
        <v>#REF!</v>
      </c>
      <c r="AG202" s="101" t="s">
        <v>850</v>
      </c>
      <c r="AH202" s="102">
        <f t="shared" si="28"/>
        <v>147138.38707200001</v>
      </c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>
        <v>123138.387072</v>
      </c>
      <c r="AV202" s="102">
        <v>24000</v>
      </c>
      <c r="AW202" s="102"/>
    </row>
    <row r="203" spans="1:49" ht="15" x14ac:dyDescent="0.25">
      <c r="A203" s="76">
        <f t="shared" si="18"/>
        <v>191</v>
      </c>
      <c r="B203" s="77">
        <f t="shared" si="18"/>
        <v>191</v>
      </c>
      <c r="C203" s="77" t="s">
        <v>568</v>
      </c>
      <c r="D203" s="77" t="s">
        <v>1140</v>
      </c>
      <c r="E203" s="78" t="s">
        <v>593</v>
      </c>
      <c r="F203" s="78"/>
      <c r="G203" s="78" t="s">
        <v>570</v>
      </c>
      <c r="H203" s="78" t="s">
        <v>579</v>
      </c>
      <c r="I203" s="78" t="s">
        <v>579</v>
      </c>
      <c r="J203" s="44">
        <v>3722.9</v>
      </c>
      <c r="K203" s="44">
        <v>3131.2</v>
      </c>
      <c r="L203" s="44">
        <v>69.400000000000006</v>
      </c>
      <c r="M203" s="79">
        <v>132</v>
      </c>
      <c r="N203" s="72">
        <f t="shared" ref="N203:N208" si="29">+P203+Q203+R203+S203+T203</f>
        <v>435346.44</v>
      </c>
      <c r="O203" s="44"/>
      <c r="P203" s="68"/>
      <c r="Q203" s="68"/>
      <c r="R203" s="44">
        <f>+'[12]Приложение № 4'!E203</f>
        <v>435346.44</v>
      </c>
      <c r="S203" s="68"/>
      <c r="T203" s="68"/>
      <c r="U203" s="68">
        <f>$N203/($K203+$L203)</f>
        <v>136.02025870149347</v>
      </c>
      <c r="V203" s="68">
        <f>$N203/($K203+$L203)</f>
        <v>136.02025870149347</v>
      </c>
      <c r="W203" s="80" t="s">
        <v>1101</v>
      </c>
      <c r="X203" s="76"/>
      <c r="Y203" s="77"/>
      <c r="Z203" s="77"/>
      <c r="AA203" s="77"/>
      <c r="AC203" s="27">
        <f>+N203-'[12]Приложение № 4'!E203</f>
        <v>0</v>
      </c>
    </row>
    <row r="204" spans="1:49" ht="15" x14ac:dyDescent="0.25">
      <c r="A204" s="76">
        <f t="shared" si="18"/>
        <v>192</v>
      </c>
      <c r="B204" s="77">
        <f t="shared" si="18"/>
        <v>192</v>
      </c>
      <c r="C204" s="77" t="s">
        <v>568</v>
      </c>
      <c r="D204" s="77" t="s">
        <v>1185</v>
      </c>
      <c r="E204" s="78">
        <v>1977</v>
      </c>
      <c r="F204" s="78">
        <v>2013</v>
      </c>
      <c r="G204" s="78" t="s">
        <v>51</v>
      </c>
      <c r="H204" s="78">
        <v>4</v>
      </c>
      <c r="I204" s="78">
        <v>4</v>
      </c>
      <c r="J204" s="44">
        <v>3912.5</v>
      </c>
      <c r="K204" s="44">
        <v>3429.3</v>
      </c>
      <c r="L204" s="44">
        <v>0</v>
      </c>
      <c r="M204" s="79">
        <v>156</v>
      </c>
      <c r="N204" s="72">
        <f t="shared" si="29"/>
        <v>112223.26582337829</v>
      </c>
      <c r="O204" s="75"/>
      <c r="P204" s="68"/>
      <c r="Q204" s="68"/>
      <c r="R204" s="44">
        <f>+'[12]Приложение № 4'!E204</f>
        <v>112223.26582337829</v>
      </c>
      <c r="S204" s="68"/>
      <c r="T204" s="68"/>
      <c r="U204" s="68">
        <f>$N204/($K204+$L204)</f>
        <v>32.724831838386343</v>
      </c>
      <c r="V204" s="68">
        <f>$N204/($K204+$L204)</f>
        <v>32.724831838386343</v>
      </c>
      <c r="W204" s="80" t="s">
        <v>1101</v>
      </c>
      <c r="X204" s="76"/>
      <c r="Y204" s="77"/>
      <c r="Z204" s="77"/>
      <c r="AA204" s="77"/>
      <c r="AC204" s="27">
        <f>+N204-'[12]Приложение № 4'!E204</f>
        <v>0</v>
      </c>
    </row>
    <row r="205" spans="1:49" ht="15" x14ac:dyDescent="0.25">
      <c r="A205" s="76">
        <f t="shared" si="18"/>
        <v>193</v>
      </c>
      <c r="B205" s="77">
        <f t="shared" si="18"/>
        <v>193</v>
      </c>
      <c r="C205" s="77" t="s">
        <v>1117</v>
      </c>
      <c r="D205" s="77" t="s">
        <v>854</v>
      </c>
      <c r="E205" s="78" t="s">
        <v>740</v>
      </c>
      <c r="F205" s="78"/>
      <c r="G205" s="78" t="s">
        <v>570</v>
      </c>
      <c r="H205" s="78" t="s">
        <v>579</v>
      </c>
      <c r="I205" s="78" t="s">
        <v>583</v>
      </c>
      <c r="J205" s="44">
        <v>3954.3</v>
      </c>
      <c r="K205" s="44">
        <v>3614.5</v>
      </c>
      <c r="L205" s="44">
        <v>0</v>
      </c>
      <c r="M205" s="79">
        <v>169</v>
      </c>
      <c r="N205" s="72">
        <f t="shared" si="29"/>
        <v>1336365.3899999999</v>
      </c>
      <c r="O205" s="44">
        <v>0</v>
      </c>
      <c r="P205" s="44">
        <v>58183.38</v>
      </c>
      <c r="Q205" s="44"/>
      <c r="R205" s="44">
        <v>1278182.01</v>
      </c>
      <c r="S205" s="44"/>
      <c r="T205" s="44"/>
      <c r="U205" s="44">
        <v>4019.26</v>
      </c>
      <c r="V205" s="44">
        <v>4019.26</v>
      </c>
      <c r="W205" s="80" t="s">
        <v>1101</v>
      </c>
      <c r="X205" s="96" t="e">
        <f>+N205-#REF!</f>
        <v>#REF!</v>
      </c>
      <c r="Y205" s="94">
        <v>1368247.05</v>
      </c>
      <c r="Z205" s="94">
        <f t="shared" si="25"/>
        <v>394703.39999999997</v>
      </c>
      <c r="AB205" s="96" t="e">
        <f>+N205-#REF!</f>
        <v>#REF!</v>
      </c>
      <c r="AC205" s="27">
        <f>+N205-'[12]Приложение № 4'!E205</f>
        <v>0</v>
      </c>
      <c r="AE205" s="98" t="e">
        <f>+N205-#REF!</f>
        <v>#REF!</v>
      </c>
      <c r="AG205" s="101" t="s">
        <v>854</v>
      </c>
      <c r="AH205" s="102">
        <f t="shared" si="28"/>
        <v>1078030.123418397</v>
      </c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>
        <v>1054030.123418397</v>
      </c>
      <c r="AV205" s="102">
        <v>24000</v>
      </c>
      <c r="AW205" s="102"/>
    </row>
    <row r="206" spans="1:49" ht="15" x14ac:dyDescent="0.25">
      <c r="A206" s="76">
        <f t="shared" si="18"/>
        <v>194</v>
      </c>
      <c r="B206" s="77">
        <f t="shared" si="18"/>
        <v>194</v>
      </c>
      <c r="C206" s="77" t="s">
        <v>1117</v>
      </c>
      <c r="D206" s="77" t="s">
        <v>1008</v>
      </c>
      <c r="E206" s="78" t="s">
        <v>585</v>
      </c>
      <c r="F206" s="78"/>
      <c r="G206" s="78" t="s">
        <v>570</v>
      </c>
      <c r="H206" s="78" t="s">
        <v>582</v>
      </c>
      <c r="I206" s="78" t="s">
        <v>579</v>
      </c>
      <c r="J206" s="44">
        <v>3877.3</v>
      </c>
      <c r="K206" s="44">
        <v>3542.6</v>
      </c>
      <c r="L206" s="44">
        <v>0</v>
      </c>
      <c r="M206" s="79">
        <v>183</v>
      </c>
      <c r="N206" s="72">
        <f t="shared" si="29"/>
        <v>1977855.4499999997</v>
      </c>
      <c r="O206" s="44">
        <v>0</v>
      </c>
      <c r="P206" s="44"/>
      <c r="Q206" s="44"/>
      <c r="R206" s="44">
        <f>+'[12]Приложение № 4'!E206</f>
        <v>1977855.4499999997</v>
      </c>
      <c r="S206" s="44"/>
      <c r="T206" s="44"/>
      <c r="U206" s="44">
        <v>7042.17</v>
      </c>
      <c r="V206" s="44">
        <v>7042.17</v>
      </c>
      <c r="W206" s="80" t="s">
        <v>1101</v>
      </c>
      <c r="X206" s="96" t="e">
        <f>+N206-#REF!</f>
        <v>#REF!</v>
      </c>
      <c r="Y206" s="94">
        <v>1390778.1</v>
      </c>
      <c r="Z206" s="94">
        <f>+(K206*9.1+L206*18.19)*12</f>
        <v>386851.91999999993</v>
      </c>
      <c r="AB206" s="96" t="e">
        <f>+N206-#REF!</f>
        <v>#REF!</v>
      </c>
      <c r="AC206" s="27">
        <f>+N206-'[12]Приложение № 4'!E206</f>
        <v>0</v>
      </c>
      <c r="AE206" s="98" t="e">
        <f>+N206-#REF!</f>
        <v>#REF!</v>
      </c>
      <c r="AG206" s="101" t="s">
        <v>1008</v>
      </c>
      <c r="AH206" s="102">
        <f>SUM(AI206:AW206)</f>
        <v>1977855.442470486</v>
      </c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>
        <v>1933336.306820886</v>
      </c>
      <c r="AV206" s="102">
        <v>44519.135649599993</v>
      </c>
      <c r="AW206" s="102"/>
    </row>
    <row r="207" spans="1:49" ht="15" x14ac:dyDescent="0.25">
      <c r="A207" s="76">
        <f t="shared" ref="A207:B270" si="30">+A206+1</f>
        <v>195</v>
      </c>
      <c r="B207" s="77">
        <f t="shared" si="30"/>
        <v>195</v>
      </c>
      <c r="C207" s="77" t="s">
        <v>45</v>
      </c>
      <c r="D207" s="77" t="s">
        <v>1186</v>
      </c>
      <c r="E207" s="78">
        <v>1979</v>
      </c>
      <c r="F207" s="78">
        <v>1979</v>
      </c>
      <c r="G207" s="78" t="s">
        <v>44</v>
      </c>
      <c r="H207" s="78">
        <v>4</v>
      </c>
      <c r="I207" s="78">
        <v>6</v>
      </c>
      <c r="J207" s="44">
        <v>3879.4</v>
      </c>
      <c r="K207" s="44">
        <v>3505.8</v>
      </c>
      <c r="L207" s="44">
        <v>0</v>
      </c>
      <c r="M207" s="79">
        <v>203</v>
      </c>
      <c r="N207" s="72">
        <f t="shared" si="29"/>
        <v>401324.47</v>
      </c>
      <c r="O207" s="44"/>
      <c r="P207" s="68"/>
      <c r="Q207" s="68"/>
      <c r="R207" s="44">
        <f>+'[12]Приложение № 4'!E207</f>
        <v>401324.47</v>
      </c>
      <c r="S207" s="68"/>
      <c r="T207" s="68"/>
      <c r="U207" s="68">
        <f>$N207/($K207+$L207)</f>
        <v>114.47443379542472</v>
      </c>
      <c r="V207" s="68">
        <f>$N207/($K207+$L207)</f>
        <v>114.47443379542472</v>
      </c>
      <c r="W207" s="80" t="s">
        <v>1101</v>
      </c>
      <c r="X207" s="76"/>
      <c r="Y207" s="77"/>
      <c r="Z207" s="77"/>
      <c r="AA207" s="77"/>
      <c r="AC207" s="27">
        <f>+N207-'[12]Приложение № 4'!E207</f>
        <v>0</v>
      </c>
    </row>
    <row r="208" spans="1:49" ht="15" x14ac:dyDescent="0.25">
      <c r="A208" s="76">
        <f t="shared" si="30"/>
        <v>196</v>
      </c>
      <c r="B208" s="77">
        <f t="shared" si="30"/>
        <v>196</v>
      </c>
      <c r="C208" s="77" t="s">
        <v>87</v>
      </c>
      <c r="D208" s="77" t="s">
        <v>762</v>
      </c>
      <c r="E208" s="78" t="s">
        <v>592</v>
      </c>
      <c r="F208" s="78"/>
      <c r="G208" s="78" t="s">
        <v>570</v>
      </c>
      <c r="H208" s="78" t="s">
        <v>572</v>
      </c>
      <c r="I208" s="78" t="s">
        <v>572</v>
      </c>
      <c r="J208" s="44">
        <v>1101.3</v>
      </c>
      <c r="K208" s="44">
        <v>1042.5999999999999</v>
      </c>
      <c r="L208" s="44">
        <v>0</v>
      </c>
      <c r="M208" s="79">
        <v>21</v>
      </c>
      <c r="N208" s="72">
        <f t="shared" si="29"/>
        <v>270010.12</v>
      </c>
      <c r="O208" s="44">
        <v>0</v>
      </c>
      <c r="P208" s="44"/>
      <c r="Q208" s="44"/>
      <c r="R208" s="44">
        <f>+'[12]Приложение № 4'!E208</f>
        <v>270010.12</v>
      </c>
      <c r="S208" s="44"/>
      <c r="T208" s="44"/>
      <c r="U208" s="44">
        <v>3590.64</v>
      </c>
      <c r="V208" s="44">
        <v>3590.64</v>
      </c>
      <c r="W208" s="80" t="s">
        <v>1101</v>
      </c>
      <c r="X208" s="29" t="e">
        <f>+N208-#REF!</f>
        <v>#REF!</v>
      </c>
      <c r="Y208" s="1">
        <v>436948.8</v>
      </c>
      <c r="Z208" s="28">
        <f>+(K208*9.1+L208*18.19)*12</f>
        <v>113851.91999999998</v>
      </c>
      <c r="AA208" s="27"/>
      <c r="AB208" s="27" t="e">
        <f>+N208-#REF!</f>
        <v>#REF!</v>
      </c>
      <c r="AC208" s="27">
        <f>+N208-'[12]Приложение № 4'!E208</f>
        <v>0</v>
      </c>
      <c r="AE208" s="98" t="e">
        <f>+N208-#REF!</f>
        <v>#REF!</v>
      </c>
      <c r="AG208" s="101" t="s">
        <v>762</v>
      </c>
      <c r="AH208" s="102">
        <f t="shared" ref="AH208:AH271" si="31">SUM(AI208:AW208)</f>
        <v>285461.94917759998</v>
      </c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>
        <v>261461.94917760001</v>
      </c>
      <c r="AV208" s="102">
        <v>24000</v>
      </c>
      <c r="AW208" s="102"/>
    </row>
    <row r="209" spans="1:49" ht="15" x14ac:dyDescent="0.25">
      <c r="A209" s="76">
        <f t="shared" si="30"/>
        <v>197</v>
      </c>
      <c r="B209" s="77">
        <f t="shared" si="30"/>
        <v>197</v>
      </c>
      <c r="C209" s="77" t="s">
        <v>87</v>
      </c>
      <c r="D209" s="77" t="s">
        <v>1102</v>
      </c>
      <c r="E209" s="78" t="s">
        <v>1103</v>
      </c>
      <c r="F209" s="78"/>
      <c r="G209" s="78" t="s">
        <v>570</v>
      </c>
      <c r="H209" s="78" t="s">
        <v>572</v>
      </c>
      <c r="I209" s="78" t="s">
        <v>572</v>
      </c>
      <c r="J209" s="44">
        <v>705.92</v>
      </c>
      <c r="K209" s="44">
        <v>657.52</v>
      </c>
      <c r="L209" s="44">
        <v>0</v>
      </c>
      <c r="M209" s="79">
        <v>28</v>
      </c>
      <c r="N209" s="72">
        <f t="shared" ref="N209:N284" si="32">+P209+Q209+R209+S209+T209</f>
        <v>161111.72</v>
      </c>
      <c r="O209" s="44">
        <v>0</v>
      </c>
      <c r="P209" s="44"/>
      <c r="Q209" s="44"/>
      <c r="R209" s="44">
        <f>+'[12]Приложение № 4'!E209</f>
        <v>161111.72</v>
      </c>
      <c r="S209" s="44"/>
      <c r="T209" s="44"/>
      <c r="U209" s="44">
        <v>1835.24</v>
      </c>
      <c r="V209" s="44">
        <v>1835.24</v>
      </c>
      <c r="W209" s="80" t="s">
        <v>1101</v>
      </c>
      <c r="X209" s="96" t="e">
        <f>+N209-#REF!</f>
        <v>#REF!</v>
      </c>
      <c r="Y209" s="94">
        <v>203672.37</v>
      </c>
      <c r="Z209" s="94">
        <f>+(K209*9.1+L209*18.19)*12</f>
        <v>71801.183999999994</v>
      </c>
      <c r="AB209" s="96" t="e">
        <f>+N209-#REF!</f>
        <v>#REF!</v>
      </c>
      <c r="AC209" s="27">
        <f>+N209-'[12]Приложение № 4'!E209</f>
        <v>0</v>
      </c>
      <c r="AE209" s="98" t="e">
        <f>+N209-#REF!</f>
        <v>#REF!</v>
      </c>
      <c r="AG209" s="110" t="s">
        <v>1102</v>
      </c>
      <c r="AH209" s="102">
        <f t="shared" si="31"/>
        <v>175955.52528383999</v>
      </c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>
        <v>151955.52528383999</v>
      </c>
      <c r="AV209" s="102">
        <v>24000</v>
      </c>
      <c r="AW209" s="102"/>
    </row>
    <row r="210" spans="1:49" ht="15" x14ac:dyDescent="0.25">
      <c r="A210" s="76">
        <f t="shared" si="30"/>
        <v>198</v>
      </c>
      <c r="B210" s="77">
        <f t="shared" si="30"/>
        <v>198</v>
      </c>
      <c r="C210" s="77" t="s">
        <v>87</v>
      </c>
      <c r="D210" s="77" t="s">
        <v>1104</v>
      </c>
      <c r="E210" s="78" t="s">
        <v>1103</v>
      </c>
      <c r="F210" s="78"/>
      <c r="G210" s="78" t="s">
        <v>570</v>
      </c>
      <c r="H210" s="78" t="s">
        <v>572</v>
      </c>
      <c r="I210" s="78" t="s">
        <v>572</v>
      </c>
      <c r="J210" s="44">
        <v>670.73</v>
      </c>
      <c r="K210" s="44">
        <v>622.33000000000004</v>
      </c>
      <c r="L210" s="44">
        <v>0</v>
      </c>
      <c r="M210" s="79">
        <v>36</v>
      </c>
      <c r="N210" s="72">
        <f t="shared" si="32"/>
        <v>159616.04999999999</v>
      </c>
      <c r="O210" s="44">
        <v>0</v>
      </c>
      <c r="P210" s="44"/>
      <c r="Q210" s="44"/>
      <c r="R210" s="44">
        <f>+'[12]Приложение № 4'!E210</f>
        <v>159616.04999999999</v>
      </c>
      <c r="S210" s="44"/>
      <c r="T210" s="44"/>
      <c r="U210" s="44">
        <v>1835.24</v>
      </c>
      <c r="V210" s="44">
        <v>1835.24</v>
      </c>
      <c r="W210" s="80" t="s">
        <v>1101</v>
      </c>
      <c r="X210" s="96" t="e">
        <f>+N210-#REF!</f>
        <v>#REF!</v>
      </c>
      <c r="Y210" s="94">
        <v>212437.56</v>
      </c>
      <c r="Z210" s="94">
        <f t="shared" ref="Z210:Z243" si="33">+(K210*9.1+L210*18.19)*12</f>
        <v>67958.436000000002</v>
      </c>
      <c r="AB210" s="96" t="e">
        <f>+N210-#REF!</f>
        <v>#REF!</v>
      </c>
      <c r="AC210" s="27">
        <f>+N210-'[12]Приложение № 4'!E210</f>
        <v>0</v>
      </c>
      <c r="AE210" s="98" t="e">
        <f>+N210-#REF!</f>
        <v>#REF!</v>
      </c>
      <c r="AG210" s="110" t="s">
        <v>1104</v>
      </c>
      <c r="AH210" s="102">
        <f t="shared" si="31"/>
        <v>174451.49229695997</v>
      </c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>
        <v>150451.49229695997</v>
      </c>
      <c r="AV210" s="102">
        <v>24000</v>
      </c>
      <c r="AW210" s="102"/>
    </row>
    <row r="211" spans="1:49" ht="15" x14ac:dyDescent="0.25">
      <c r="A211" s="76">
        <f t="shared" si="30"/>
        <v>199</v>
      </c>
      <c r="B211" s="77">
        <f t="shared" si="30"/>
        <v>199</v>
      </c>
      <c r="C211" s="77" t="s">
        <v>87</v>
      </c>
      <c r="D211" s="77" t="s">
        <v>1105</v>
      </c>
      <c r="E211" s="78" t="s">
        <v>609</v>
      </c>
      <c r="F211" s="78"/>
      <c r="G211" s="78" t="s">
        <v>570</v>
      </c>
      <c r="H211" s="78" t="s">
        <v>572</v>
      </c>
      <c r="I211" s="78" t="s">
        <v>572</v>
      </c>
      <c r="J211" s="44">
        <v>765.34</v>
      </c>
      <c r="K211" s="44">
        <v>702.06</v>
      </c>
      <c r="L211" s="44">
        <v>0</v>
      </c>
      <c r="M211" s="79">
        <v>32</v>
      </c>
      <c r="N211" s="72">
        <f t="shared" si="32"/>
        <v>163637.26999999999</v>
      </c>
      <c r="O211" s="44">
        <v>0</v>
      </c>
      <c r="P211" s="44"/>
      <c r="Q211" s="44"/>
      <c r="R211" s="44">
        <f>+'[12]Приложение № 4'!E211</f>
        <v>163637.26999999999</v>
      </c>
      <c r="S211" s="44"/>
      <c r="T211" s="44"/>
      <c r="U211" s="44">
        <v>1835.24</v>
      </c>
      <c r="V211" s="44">
        <v>1835.24</v>
      </c>
      <c r="W211" s="80" t="s">
        <v>1101</v>
      </c>
      <c r="X211" s="96" t="e">
        <f>+N211-#REF!</f>
        <v>#REF!</v>
      </c>
      <c r="Y211" s="94">
        <v>271286.36</v>
      </c>
      <c r="Z211" s="94">
        <f t="shared" si="33"/>
        <v>76664.95199999999</v>
      </c>
      <c r="AB211" s="96" t="e">
        <f>+N211-#REF!</f>
        <v>#REF!</v>
      </c>
      <c r="AC211" s="27">
        <f>+N211-'[12]Приложение № 4'!E211</f>
        <v>0</v>
      </c>
      <c r="AE211" s="98" t="e">
        <f>+N211-#REF!</f>
        <v>#REF!</v>
      </c>
      <c r="AG211" s="110" t="s">
        <v>1105</v>
      </c>
      <c r="AH211" s="102">
        <f t="shared" si="31"/>
        <v>178495.15699968001</v>
      </c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>
        <v>154495.15699968001</v>
      </c>
      <c r="AV211" s="102">
        <v>24000</v>
      </c>
      <c r="AW211" s="102"/>
    </row>
    <row r="212" spans="1:49" ht="15" x14ac:dyDescent="0.25">
      <c r="A212" s="76">
        <f t="shared" si="30"/>
        <v>200</v>
      </c>
      <c r="B212" s="77">
        <f t="shared" si="30"/>
        <v>200</v>
      </c>
      <c r="C212" s="77" t="s">
        <v>87</v>
      </c>
      <c r="D212" s="77" t="s">
        <v>763</v>
      </c>
      <c r="E212" s="78" t="s">
        <v>626</v>
      </c>
      <c r="F212" s="78"/>
      <c r="G212" s="78" t="s">
        <v>570</v>
      </c>
      <c r="H212" s="78" t="s">
        <v>572</v>
      </c>
      <c r="I212" s="78" t="s">
        <v>572</v>
      </c>
      <c r="J212" s="44">
        <v>776.85</v>
      </c>
      <c r="K212" s="44">
        <v>719.65</v>
      </c>
      <c r="L212" s="44">
        <v>0</v>
      </c>
      <c r="M212" s="79">
        <v>30</v>
      </c>
      <c r="N212" s="72">
        <f t="shared" si="32"/>
        <v>244655.29</v>
      </c>
      <c r="O212" s="44">
        <v>0</v>
      </c>
      <c r="P212" s="44"/>
      <c r="Q212" s="44"/>
      <c r="R212" s="44">
        <f>+'[12]Приложение № 4'!E212</f>
        <v>244655.29</v>
      </c>
      <c r="S212" s="44"/>
      <c r="T212" s="44"/>
      <c r="U212" s="44">
        <v>3590.64</v>
      </c>
      <c r="V212" s="44">
        <v>3590.64</v>
      </c>
      <c r="W212" s="80" t="s">
        <v>1101</v>
      </c>
      <c r="X212" s="96" t="e">
        <f>+N212-#REF!</f>
        <v>#REF!</v>
      </c>
      <c r="Y212" s="94">
        <v>268535.65000000002</v>
      </c>
      <c r="Z212" s="94">
        <f t="shared" si="33"/>
        <v>78585.78</v>
      </c>
      <c r="AB212" s="96" t="e">
        <f>+N212-#REF!</f>
        <v>#REF!</v>
      </c>
      <c r="AC212" s="27">
        <f>+N212-'[12]Приложение № 4'!E212</f>
        <v>0</v>
      </c>
      <c r="AE212" s="98" t="e">
        <f>+N212-#REF!</f>
        <v>#REF!</v>
      </c>
      <c r="AG212" s="101" t="s">
        <v>763</v>
      </c>
      <c r="AH212" s="102">
        <f t="shared" si="31"/>
        <v>259965.58269119999</v>
      </c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>
        <v>235965.58269119999</v>
      </c>
      <c r="AV212" s="102">
        <v>24000</v>
      </c>
      <c r="AW212" s="102"/>
    </row>
    <row r="213" spans="1:49" ht="15" x14ac:dyDescent="0.25">
      <c r="A213" s="76">
        <f t="shared" si="30"/>
        <v>201</v>
      </c>
      <c r="B213" s="77">
        <f t="shared" si="30"/>
        <v>201</v>
      </c>
      <c r="C213" s="77" t="s">
        <v>87</v>
      </c>
      <c r="D213" s="77" t="s">
        <v>764</v>
      </c>
      <c r="E213" s="78" t="s">
        <v>1106</v>
      </c>
      <c r="F213" s="78"/>
      <c r="G213" s="78" t="s">
        <v>570</v>
      </c>
      <c r="H213" s="78" t="s">
        <v>572</v>
      </c>
      <c r="I213" s="78" t="s">
        <v>572</v>
      </c>
      <c r="J213" s="44">
        <v>1093.21</v>
      </c>
      <c r="K213" s="44">
        <v>1011.65</v>
      </c>
      <c r="L213" s="44">
        <v>0</v>
      </c>
      <c r="M213" s="79">
        <v>25</v>
      </c>
      <c r="N213" s="72">
        <f t="shared" si="32"/>
        <v>202894.83</v>
      </c>
      <c r="O213" s="44">
        <v>0</v>
      </c>
      <c r="P213" s="44"/>
      <c r="Q213" s="44"/>
      <c r="R213" s="44">
        <f>+'[12]Приложение № 4'!E213</f>
        <v>202894.83</v>
      </c>
      <c r="S213" s="44"/>
      <c r="T213" s="44"/>
      <c r="U213" s="44">
        <v>3012.24</v>
      </c>
      <c r="V213" s="44">
        <v>3012.24</v>
      </c>
      <c r="W213" s="80" t="s">
        <v>1101</v>
      </c>
      <c r="X213" s="96" t="e">
        <f>+N213-#REF!</f>
        <v>#REF!</v>
      </c>
      <c r="Y213" s="94">
        <v>270562.75</v>
      </c>
      <c r="Z213" s="94">
        <f t="shared" si="33"/>
        <v>110472.18</v>
      </c>
      <c r="AB213" s="96" t="e">
        <f>+N213-#REF!</f>
        <v>#REF!</v>
      </c>
      <c r="AC213" s="27">
        <f>+N213-'[12]Приложение № 4'!E213</f>
        <v>0</v>
      </c>
      <c r="AE213" s="98" t="e">
        <f>+N213-#REF!</f>
        <v>#REF!</v>
      </c>
      <c r="AG213" s="101" t="s">
        <v>764</v>
      </c>
      <c r="AH213" s="102">
        <f t="shared" si="31"/>
        <v>217971.94068672002</v>
      </c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>
        <v>193971.94068672002</v>
      </c>
      <c r="AV213" s="102">
        <v>24000</v>
      </c>
      <c r="AW213" s="102"/>
    </row>
    <row r="214" spans="1:49" ht="15" x14ac:dyDescent="0.25">
      <c r="A214" s="76">
        <f t="shared" si="30"/>
        <v>202</v>
      </c>
      <c r="B214" s="77">
        <f t="shared" si="30"/>
        <v>202</v>
      </c>
      <c r="C214" s="77" t="s">
        <v>87</v>
      </c>
      <c r="D214" s="77" t="s">
        <v>765</v>
      </c>
      <c r="E214" s="78" t="s">
        <v>592</v>
      </c>
      <c r="F214" s="78"/>
      <c r="G214" s="78" t="s">
        <v>570</v>
      </c>
      <c r="H214" s="78" t="s">
        <v>572</v>
      </c>
      <c r="I214" s="78" t="s">
        <v>572</v>
      </c>
      <c r="J214" s="44">
        <v>799.54</v>
      </c>
      <c r="K214" s="44">
        <v>733.84</v>
      </c>
      <c r="L214" s="44">
        <v>0</v>
      </c>
      <c r="M214" s="79">
        <v>29</v>
      </c>
      <c r="N214" s="72">
        <f t="shared" si="32"/>
        <v>139588.24</v>
      </c>
      <c r="O214" s="44">
        <v>0</v>
      </c>
      <c r="P214" s="44"/>
      <c r="Q214" s="44"/>
      <c r="R214" s="44">
        <f>+'[12]Приложение № 4'!E214</f>
        <v>139588.24</v>
      </c>
      <c r="S214" s="44"/>
      <c r="T214" s="44"/>
      <c r="U214" s="44">
        <v>4321.87</v>
      </c>
      <c r="V214" s="44">
        <v>4321.87</v>
      </c>
      <c r="W214" s="80" t="s">
        <v>1101</v>
      </c>
      <c r="X214" s="96" t="e">
        <f>+N214-#REF!</f>
        <v>#REF!</v>
      </c>
      <c r="Y214" s="94">
        <v>203994.1</v>
      </c>
      <c r="Z214" s="94">
        <f t="shared" si="33"/>
        <v>80135.328000000009</v>
      </c>
      <c r="AB214" s="96" t="e">
        <f>+N214-#REF!</f>
        <v>#REF!</v>
      </c>
      <c r="AC214" s="27">
        <f>+N214-'[12]Приложение № 4'!E214</f>
        <v>0</v>
      </c>
      <c r="AE214" s="98" t="e">
        <f>+N214-#REF!</f>
        <v>#REF!</v>
      </c>
      <c r="AG214" s="101" t="s">
        <v>765</v>
      </c>
      <c r="AH214" s="102">
        <f t="shared" si="31"/>
        <v>156323.02149002702</v>
      </c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>
        <v>132323.02149002702</v>
      </c>
      <c r="AV214" s="102">
        <v>24000</v>
      </c>
      <c r="AW214" s="102"/>
    </row>
    <row r="215" spans="1:49" ht="15" x14ac:dyDescent="0.25">
      <c r="A215" s="76">
        <f t="shared" si="30"/>
        <v>203</v>
      </c>
      <c r="B215" s="77">
        <f t="shared" si="30"/>
        <v>203</v>
      </c>
      <c r="C215" s="77" t="s">
        <v>87</v>
      </c>
      <c r="D215" s="77" t="s">
        <v>766</v>
      </c>
      <c r="E215" s="78" t="s">
        <v>592</v>
      </c>
      <c r="F215" s="78"/>
      <c r="G215" s="78" t="s">
        <v>570</v>
      </c>
      <c r="H215" s="78" t="s">
        <v>572</v>
      </c>
      <c r="I215" s="78" t="s">
        <v>572</v>
      </c>
      <c r="J215" s="44">
        <v>715.4</v>
      </c>
      <c r="K215" s="44">
        <v>685</v>
      </c>
      <c r="L215" s="44">
        <v>0</v>
      </c>
      <c r="M215" s="79">
        <v>38</v>
      </c>
      <c r="N215" s="72">
        <f t="shared" si="32"/>
        <v>134430.18</v>
      </c>
      <c r="O215" s="44">
        <v>0</v>
      </c>
      <c r="P215" s="44"/>
      <c r="Q215" s="44"/>
      <c r="R215" s="44">
        <f>+'[12]Приложение № 4'!E215</f>
        <v>134430.18</v>
      </c>
      <c r="S215" s="44"/>
      <c r="T215" s="44"/>
      <c r="U215" s="44">
        <v>4321.87</v>
      </c>
      <c r="V215" s="44">
        <v>4321.87</v>
      </c>
      <c r="W215" s="80" t="s">
        <v>1101</v>
      </c>
      <c r="X215" s="96" t="e">
        <f>+N215-#REF!</f>
        <v>#REF!</v>
      </c>
      <c r="Y215" s="94">
        <v>244076.18</v>
      </c>
      <c r="Z215" s="94">
        <f t="shared" si="33"/>
        <v>74802</v>
      </c>
      <c r="AB215" s="96" t="e">
        <f>+N215-#REF!</f>
        <v>#REF!</v>
      </c>
      <c r="AC215" s="27">
        <f>+N215-'[12]Приложение № 4'!E215</f>
        <v>0</v>
      </c>
      <c r="AE215" s="98" t="e">
        <f>+N215-#REF!</f>
        <v>#REF!</v>
      </c>
      <c r="AG215" s="101" t="s">
        <v>766</v>
      </c>
      <c r="AH215" s="102">
        <f t="shared" si="31"/>
        <v>151136.14192506357</v>
      </c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>
        <v>127136.14192506355</v>
      </c>
      <c r="AV215" s="102">
        <v>24000</v>
      </c>
      <c r="AW215" s="102"/>
    </row>
    <row r="216" spans="1:49" ht="15" x14ac:dyDescent="0.25">
      <c r="A216" s="76">
        <f t="shared" si="30"/>
        <v>204</v>
      </c>
      <c r="B216" s="77">
        <f t="shared" si="30"/>
        <v>204</v>
      </c>
      <c r="C216" s="77" t="s">
        <v>87</v>
      </c>
      <c r="D216" s="77" t="s">
        <v>767</v>
      </c>
      <c r="E216" s="78" t="s">
        <v>623</v>
      </c>
      <c r="F216" s="78"/>
      <c r="G216" s="78" t="s">
        <v>570</v>
      </c>
      <c r="H216" s="78" t="s">
        <v>572</v>
      </c>
      <c r="I216" s="78" t="s">
        <v>572</v>
      </c>
      <c r="J216" s="44">
        <v>694.82</v>
      </c>
      <c r="K216" s="44">
        <v>645.54</v>
      </c>
      <c r="L216" s="44">
        <v>0</v>
      </c>
      <c r="M216" s="79">
        <v>28</v>
      </c>
      <c r="N216" s="72">
        <f t="shared" si="32"/>
        <v>113169.23</v>
      </c>
      <c r="O216" s="44">
        <v>0</v>
      </c>
      <c r="P216" s="44"/>
      <c r="Q216" s="44"/>
      <c r="R216" s="44">
        <f>+'[12]Приложение № 4'!E216</f>
        <v>113169.23</v>
      </c>
      <c r="S216" s="44"/>
      <c r="T216" s="44"/>
      <c r="U216" s="44">
        <v>2660.12</v>
      </c>
      <c r="V216" s="44">
        <v>2660.12</v>
      </c>
      <c r="W216" s="80" t="s">
        <v>1101</v>
      </c>
      <c r="X216" s="96" t="e">
        <f>+N216-#REF!</f>
        <v>#REF!</v>
      </c>
      <c r="Y216" s="94">
        <v>259897.89</v>
      </c>
      <c r="Z216" s="94">
        <f t="shared" si="33"/>
        <v>70492.967999999993</v>
      </c>
      <c r="AB216" s="96" t="e">
        <f>+N216-#REF!</f>
        <v>#REF!</v>
      </c>
      <c r="AC216" s="27">
        <f>+N216-'[12]Приложение № 4'!E216</f>
        <v>0</v>
      </c>
      <c r="AE216" s="98" t="e">
        <f>+N216-#REF!</f>
        <v>#REF!</v>
      </c>
      <c r="AG216" s="101" t="s">
        <v>767</v>
      </c>
      <c r="AH216" s="102">
        <f t="shared" si="31"/>
        <v>129756.4777405632</v>
      </c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>
        <v>89046.327675283203</v>
      </c>
      <c r="AV216" s="102">
        <v>40710.150065280002</v>
      </c>
      <c r="AW216" s="102"/>
    </row>
    <row r="217" spans="1:49" ht="15" x14ac:dyDescent="0.25">
      <c r="A217" s="76">
        <f t="shared" si="30"/>
        <v>205</v>
      </c>
      <c r="B217" s="77">
        <f t="shared" si="30"/>
        <v>205</v>
      </c>
      <c r="C217" s="77" t="s">
        <v>87</v>
      </c>
      <c r="D217" s="77" t="s">
        <v>768</v>
      </c>
      <c r="E217" s="78" t="s">
        <v>1107</v>
      </c>
      <c r="F217" s="78"/>
      <c r="G217" s="78" t="s">
        <v>570</v>
      </c>
      <c r="H217" s="78" t="s">
        <v>572</v>
      </c>
      <c r="I217" s="78" t="s">
        <v>572</v>
      </c>
      <c r="J217" s="44">
        <v>670.37</v>
      </c>
      <c r="K217" s="44">
        <v>619.16999999999996</v>
      </c>
      <c r="L217" s="44">
        <v>0</v>
      </c>
      <c r="M217" s="79">
        <v>30</v>
      </c>
      <c r="N217" s="72">
        <f t="shared" si="32"/>
        <v>375830.81</v>
      </c>
      <c r="O217" s="44">
        <v>0</v>
      </c>
      <c r="P217" s="44"/>
      <c r="Q217" s="44"/>
      <c r="R217" s="44">
        <f>+'[12]Приложение № 4'!E217</f>
        <v>375830.81</v>
      </c>
      <c r="S217" s="44"/>
      <c r="T217" s="44"/>
      <c r="U217" s="44">
        <v>7912.51</v>
      </c>
      <c r="V217" s="44">
        <v>7912.51</v>
      </c>
      <c r="W217" s="80" t="s">
        <v>1101</v>
      </c>
      <c r="X217" s="96" t="e">
        <f>+N217-#REF!</f>
        <v>#REF!</v>
      </c>
      <c r="Y217" s="94">
        <v>172036.2</v>
      </c>
      <c r="Z217" s="94">
        <f t="shared" si="33"/>
        <v>67613.363999999987</v>
      </c>
      <c r="AB217" s="96" t="e">
        <f>+N217-#REF!</f>
        <v>#REF!</v>
      </c>
      <c r="AC217" s="27">
        <f>+N217-'[12]Приложение № 4'!E217</f>
        <v>0</v>
      </c>
      <c r="AE217" s="98" t="e">
        <f>+N217-#REF!</f>
        <v>#REF!</v>
      </c>
      <c r="AG217" s="101" t="s">
        <v>768</v>
      </c>
      <c r="AH217" s="102">
        <f t="shared" si="31"/>
        <v>377718.64912411768</v>
      </c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>
        <v>353718.64912411768</v>
      </c>
      <c r="AV217" s="102">
        <v>24000</v>
      </c>
      <c r="AW217" s="102"/>
    </row>
    <row r="218" spans="1:49" ht="15" x14ac:dyDescent="0.25">
      <c r="A218" s="76">
        <f t="shared" si="30"/>
        <v>206</v>
      </c>
      <c r="B218" s="77">
        <f t="shared" si="30"/>
        <v>206</v>
      </c>
      <c r="C218" s="77" t="s">
        <v>87</v>
      </c>
      <c r="D218" s="77" t="s">
        <v>769</v>
      </c>
      <c r="E218" s="78" t="s">
        <v>1103</v>
      </c>
      <c r="F218" s="78"/>
      <c r="G218" s="78" t="s">
        <v>570</v>
      </c>
      <c r="H218" s="78" t="s">
        <v>572</v>
      </c>
      <c r="I218" s="78" t="s">
        <v>572</v>
      </c>
      <c r="J218" s="44">
        <v>670.83</v>
      </c>
      <c r="K218" s="44">
        <v>618.66999999999996</v>
      </c>
      <c r="L218" s="44">
        <v>0</v>
      </c>
      <c r="M218" s="79">
        <v>37</v>
      </c>
      <c r="N218" s="72">
        <f t="shared" si="32"/>
        <v>252162.69</v>
      </c>
      <c r="O218" s="44">
        <v>0</v>
      </c>
      <c r="P218" s="44"/>
      <c r="Q218" s="44"/>
      <c r="R218" s="44">
        <f>+'[12]Приложение № 4'!E218</f>
        <v>252162.69</v>
      </c>
      <c r="S218" s="44"/>
      <c r="T218" s="44"/>
      <c r="U218" s="44">
        <v>3590.64</v>
      </c>
      <c r="V218" s="44">
        <v>3590.64</v>
      </c>
      <c r="W218" s="80" t="s">
        <v>1101</v>
      </c>
      <c r="X218" s="96" t="e">
        <f>+N218-#REF!</f>
        <v>#REF!</v>
      </c>
      <c r="Y218" s="94">
        <v>214977.75</v>
      </c>
      <c r="Z218" s="94">
        <f t="shared" si="33"/>
        <v>67558.763999999996</v>
      </c>
      <c r="AB218" s="96" t="e">
        <f>+N218-#REF!</f>
        <v>#REF!</v>
      </c>
      <c r="AC218" s="27">
        <f>+N218-'[12]Приложение № 4'!E218</f>
        <v>0</v>
      </c>
      <c r="AE218" s="98" t="e">
        <f>+N218-#REF!</f>
        <v>#REF!</v>
      </c>
      <c r="AG218" s="101" t="s">
        <v>769</v>
      </c>
      <c r="AH218" s="102">
        <f t="shared" si="31"/>
        <v>253386.96196416</v>
      </c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>
        <v>229386.96196416</v>
      </c>
      <c r="AV218" s="102">
        <v>24000</v>
      </c>
      <c r="AW218" s="102"/>
    </row>
    <row r="219" spans="1:49" ht="15" x14ac:dyDescent="0.25">
      <c r="A219" s="76">
        <f t="shared" si="30"/>
        <v>207</v>
      </c>
      <c r="B219" s="77">
        <f t="shared" si="30"/>
        <v>207</v>
      </c>
      <c r="C219" s="77" t="s">
        <v>87</v>
      </c>
      <c r="D219" s="77" t="s">
        <v>770</v>
      </c>
      <c r="E219" s="78" t="s">
        <v>592</v>
      </c>
      <c r="F219" s="78"/>
      <c r="G219" s="78" t="s">
        <v>570</v>
      </c>
      <c r="H219" s="78" t="s">
        <v>579</v>
      </c>
      <c r="I219" s="78" t="s">
        <v>572</v>
      </c>
      <c r="J219" s="44">
        <v>1343.33</v>
      </c>
      <c r="K219" s="44">
        <v>1245.6199999999999</v>
      </c>
      <c r="L219" s="44">
        <v>0</v>
      </c>
      <c r="M219" s="79">
        <v>45</v>
      </c>
      <c r="N219" s="72">
        <f t="shared" si="32"/>
        <v>201169.38</v>
      </c>
      <c r="O219" s="44">
        <v>0</v>
      </c>
      <c r="P219" s="44"/>
      <c r="Q219" s="44"/>
      <c r="R219" s="44">
        <f>+'[12]Приложение № 4'!E219</f>
        <v>201169.38</v>
      </c>
      <c r="S219" s="44"/>
      <c r="T219" s="44"/>
      <c r="U219" s="44">
        <v>1393.45</v>
      </c>
      <c r="V219" s="44">
        <v>1393.45</v>
      </c>
      <c r="W219" s="80" t="s">
        <v>1101</v>
      </c>
      <c r="X219" s="96" t="e">
        <f>+N219-#REF!</f>
        <v>#REF!</v>
      </c>
      <c r="Y219" s="94">
        <v>396446.68</v>
      </c>
      <c r="Z219" s="94">
        <f t="shared" si="33"/>
        <v>136021.70399999997</v>
      </c>
      <c r="AB219" s="96" t="e">
        <f>+N219-#REF!</f>
        <v>#REF!</v>
      </c>
      <c r="AC219" s="27">
        <f>+N219-'[12]Приложение № 4'!E219</f>
        <v>0</v>
      </c>
      <c r="AE219" s="98" t="e">
        <f>+N219-#REF!</f>
        <v>#REF!</v>
      </c>
      <c r="AG219" s="101" t="s">
        <v>770</v>
      </c>
      <c r="AH219" s="102">
        <f t="shared" si="31"/>
        <v>202120.03291058214</v>
      </c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>
        <v>178120.03291058214</v>
      </c>
      <c r="AV219" s="102">
        <v>24000</v>
      </c>
      <c r="AW219" s="102"/>
    </row>
    <row r="220" spans="1:49" ht="15" x14ac:dyDescent="0.25">
      <c r="A220" s="76">
        <f t="shared" si="30"/>
        <v>208</v>
      </c>
      <c r="B220" s="77">
        <f t="shared" si="30"/>
        <v>208</v>
      </c>
      <c r="C220" s="77" t="s">
        <v>87</v>
      </c>
      <c r="D220" s="77" t="s">
        <v>771</v>
      </c>
      <c r="E220" s="78" t="s">
        <v>623</v>
      </c>
      <c r="F220" s="78"/>
      <c r="G220" s="78" t="s">
        <v>570</v>
      </c>
      <c r="H220" s="78" t="s">
        <v>572</v>
      </c>
      <c r="I220" s="78" t="s">
        <v>572</v>
      </c>
      <c r="J220" s="44">
        <v>670.4</v>
      </c>
      <c r="K220" s="44">
        <v>618</v>
      </c>
      <c r="L220" s="44">
        <v>0</v>
      </c>
      <c r="M220" s="79">
        <v>27</v>
      </c>
      <c r="N220" s="72">
        <f t="shared" si="32"/>
        <v>352845.43</v>
      </c>
      <c r="O220" s="44">
        <v>0</v>
      </c>
      <c r="P220" s="44"/>
      <c r="Q220" s="44"/>
      <c r="R220" s="44">
        <f>+'[12]Приложение № 4'!E220</f>
        <v>352845.43</v>
      </c>
      <c r="S220" s="44"/>
      <c r="T220" s="44"/>
      <c r="U220" s="44">
        <v>7151.25</v>
      </c>
      <c r="V220" s="44">
        <v>7151.25</v>
      </c>
      <c r="W220" s="80" t="s">
        <v>1101</v>
      </c>
      <c r="X220" s="96" t="e">
        <f>+N220-#REF!</f>
        <v>#REF!</v>
      </c>
      <c r="Y220" s="94">
        <v>222705.18</v>
      </c>
      <c r="Z220" s="94">
        <f t="shared" si="33"/>
        <v>67485.600000000006</v>
      </c>
      <c r="AB220" s="96" t="e">
        <f>+N220-#REF!</f>
        <v>#REF!</v>
      </c>
      <c r="AC220" s="27">
        <f>+N220-'[12]Приложение № 4'!E220</f>
        <v>0</v>
      </c>
      <c r="AE220" s="98" t="e">
        <f>+N220-#REF!</f>
        <v>#REF!</v>
      </c>
      <c r="AG220" s="101" t="s">
        <v>771</v>
      </c>
      <c r="AH220" s="102">
        <f t="shared" si="31"/>
        <v>354609.94305657753</v>
      </c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>
        <v>330609.94305657753</v>
      </c>
      <c r="AV220" s="102">
        <v>24000</v>
      </c>
      <c r="AW220" s="102"/>
    </row>
    <row r="221" spans="1:49" ht="15" x14ac:dyDescent="0.25">
      <c r="A221" s="76">
        <f t="shared" si="30"/>
        <v>209</v>
      </c>
      <c r="B221" s="77">
        <f t="shared" si="30"/>
        <v>209</v>
      </c>
      <c r="C221" s="77" t="s">
        <v>87</v>
      </c>
      <c r="D221" s="77" t="s">
        <v>772</v>
      </c>
      <c r="E221" s="78" t="s">
        <v>1103</v>
      </c>
      <c r="F221" s="78"/>
      <c r="G221" s="78" t="s">
        <v>570</v>
      </c>
      <c r="H221" s="78" t="s">
        <v>572</v>
      </c>
      <c r="I221" s="78" t="s">
        <v>572</v>
      </c>
      <c r="J221" s="44">
        <v>676.82</v>
      </c>
      <c r="K221" s="44">
        <v>624.66</v>
      </c>
      <c r="L221" s="44">
        <v>0</v>
      </c>
      <c r="M221" s="79">
        <v>34</v>
      </c>
      <c r="N221" s="72">
        <f t="shared" si="32"/>
        <v>252532.38999999998</v>
      </c>
      <c r="O221" s="44">
        <v>0</v>
      </c>
      <c r="P221" s="44"/>
      <c r="Q221" s="44"/>
      <c r="R221" s="44">
        <f>+'[12]Приложение № 4'!E221</f>
        <v>252532.38999999998</v>
      </c>
      <c r="S221" s="44"/>
      <c r="T221" s="44"/>
      <c r="U221" s="44">
        <v>3590.64</v>
      </c>
      <c r="V221" s="44">
        <v>3590.64</v>
      </c>
      <c r="W221" s="80" t="s">
        <v>1101</v>
      </c>
      <c r="X221" s="96" t="e">
        <f>+N221-#REF!</f>
        <v>#REF!</v>
      </c>
      <c r="Y221" s="94">
        <v>196222.01</v>
      </c>
      <c r="Z221" s="94">
        <f t="shared" si="33"/>
        <v>68212.871999999988</v>
      </c>
      <c r="AB221" s="96" t="e">
        <f>+N221-#REF!</f>
        <v>#REF!</v>
      </c>
      <c r="AC221" s="27">
        <f>+N221-'[12]Приложение № 4'!E221</f>
        <v>0</v>
      </c>
      <c r="AE221" s="98" t="e">
        <f>+N221-#REF!</f>
        <v>#REF!</v>
      </c>
      <c r="AG221" s="101" t="s">
        <v>772</v>
      </c>
      <c r="AH221" s="102">
        <f t="shared" si="31"/>
        <v>253758.64596863999</v>
      </c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>
        <v>229758.64596863999</v>
      </c>
      <c r="AV221" s="102">
        <v>24000</v>
      </c>
      <c r="AW221" s="102"/>
    </row>
    <row r="222" spans="1:49" ht="15" x14ac:dyDescent="0.25">
      <c r="A222" s="76">
        <f t="shared" si="30"/>
        <v>210</v>
      </c>
      <c r="B222" s="77">
        <f t="shared" si="30"/>
        <v>210</v>
      </c>
      <c r="C222" s="77" t="s">
        <v>87</v>
      </c>
      <c r="D222" s="77" t="s">
        <v>773</v>
      </c>
      <c r="E222" s="78" t="s">
        <v>1108</v>
      </c>
      <c r="F222" s="78"/>
      <c r="G222" s="78" t="s">
        <v>570</v>
      </c>
      <c r="H222" s="78" t="s">
        <v>572</v>
      </c>
      <c r="I222" s="78" t="s">
        <v>572</v>
      </c>
      <c r="J222" s="44">
        <v>706.48</v>
      </c>
      <c r="K222" s="44">
        <v>656.6</v>
      </c>
      <c r="L222" s="44">
        <v>0</v>
      </c>
      <c r="M222" s="79">
        <v>23</v>
      </c>
      <c r="N222" s="72">
        <f t="shared" si="32"/>
        <v>380273.64</v>
      </c>
      <c r="O222" s="44">
        <v>0</v>
      </c>
      <c r="P222" s="44"/>
      <c r="Q222" s="44"/>
      <c r="R222" s="44">
        <f>+'[12]Приложение № 4'!E222</f>
        <v>380273.64</v>
      </c>
      <c r="S222" s="44"/>
      <c r="T222" s="44"/>
      <c r="U222" s="44">
        <v>7912.51</v>
      </c>
      <c r="V222" s="44">
        <v>7912.51</v>
      </c>
      <c r="W222" s="80" t="s">
        <v>1101</v>
      </c>
      <c r="X222" s="96" t="e">
        <f>+N222-#REF!</f>
        <v>#REF!</v>
      </c>
      <c r="Y222" s="94">
        <v>230959.78</v>
      </c>
      <c r="Z222" s="94">
        <f t="shared" si="33"/>
        <v>71700.72</v>
      </c>
      <c r="AB222" s="96" t="e">
        <f>+N222-#REF!</f>
        <v>#REF!</v>
      </c>
      <c r="AC222" s="27">
        <f>+N222-'[12]Приложение № 4'!E222</f>
        <v>0</v>
      </c>
      <c r="AE222" s="98" t="e">
        <f>+N222-#REF!</f>
        <v>#REF!</v>
      </c>
      <c r="AG222" s="101" t="s">
        <v>773</v>
      </c>
      <c r="AH222" s="102">
        <f t="shared" si="31"/>
        <v>382185.3324549825</v>
      </c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>
        <v>358185.3324549825</v>
      </c>
      <c r="AV222" s="102">
        <v>24000</v>
      </c>
      <c r="AW222" s="102"/>
    </row>
    <row r="223" spans="1:49" ht="15" x14ac:dyDescent="0.25">
      <c r="A223" s="76">
        <f t="shared" si="30"/>
        <v>211</v>
      </c>
      <c r="B223" s="77">
        <f t="shared" si="30"/>
        <v>211</v>
      </c>
      <c r="C223" s="77" t="s">
        <v>87</v>
      </c>
      <c r="D223" s="77" t="s">
        <v>774</v>
      </c>
      <c r="E223" s="78" t="s">
        <v>1108</v>
      </c>
      <c r="F223" s="78"/>
      <c r="G223" s="78" t="s">
        <v>570</v>
      </c>
      <c r="H223" s="78" t="s">
        <v>572</v>
      </c>
      <c r="I223" s="78" t="s">
        <v>572</v>
      </c>
      <c r="J223" s="44">
        <v>685.95</v>
      </c>
      <c r="K223" s="44">
        <v>636.15</v>
      </c>
      <c r="L223" s="44">
        <v>0</v>
      </c>
      <c r="M223" s="79">
        <v>27</v>
      </c>
      <c r="N223" s="72">
        <f t="shared" si="32"/>
        <v>148651.82</v>
      </c>
      <c r="O223" s="44">
        <v>0</v>
      </c>
      <c r="P223" s="44"/>
      <c r="Q223" s="44"/>
      <c r="R223" s="44">
        <f>+'[12]Приложение № 4'!E223</f>
        <v>148651.82</v>
      </c>
      <c r="S223" s="44"/>
      <c r="T223" s="44"/>
      <c r="U223" s="44">
        <v>4321.87</v>
      </c>
      <c r="V223" s="44">
        <v>4321.87</v>
      </c>
      <c r="W223" s="80" t="s">
        <v>1101</v>
      </c>
      <c r="X223" s="96" t="e">
        <f>+N223-#REF!</f>
        <v>#REF!</v>
      </c>
      <c r="Y223" s="94">
        <v>248004.58</v>
      </c>
      <c r="Z223" s="94">
        <f t="shared" si="33"/>
        <v>69467.579999999987</v>
      </c>
      <c r="AB223" s="96" t="e">
        <f>+N223-#REF!</f>
        <v>#REF!</v>
      </c>
      <c r="AC223" s="27">
        <f>+N223-'[12]Приложение № 4'!E223</f>
        <v>0</v>
      </c>
      <c r="AE223" s="98" t="e">
        <f>+N223-#REF!</f>
        <v>#REF!</v>
      </c>
      <c r="AG223" s="101" t="s">
        <v>774</v>
      </c>
      <c r="AH223" s="102">
        <f t="shared" si="31"/>
        <v>149320.67243150316</v>
      </c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>
        <v>125320.67243150316</v>
      </c>
      <c r="AV223" s="102">
        <v>24000</v>
      </c>
      <c r="AW223" s="102"/>
    </row>
    <row r="224" spans="1:49" ht="15" x14ac:dyDescent="0.25">
      <c r="A224" s="76">
        <f t="shared" si="30"/>
        <v>212</v>
      </c>
      <c r="B224" s="77">
        <f t="shared" si="30"/>
        <v>212</v>
      </c>
      <c r="C224" s="77" t="s">
        <v>87</v>
      </c>
      <c r="D224" s="77" t="s">
        <v>775</v>
      </c>
      <c r="E224" s="78" t="s">
        <v>1109</v>
      </c>
      <c r="F224" s="78"/>
      <c r="G224" s="78" t="s">
        <v>570</v>
      </c>
      <c r="H224" s="78" t="s">
        <v>572</v>
      </c>
      <c r="I224" s="78" t="s">
        <v>572</v>
      </c>
      <c r="J224" s="44">
        <v>704.18</v>
      </c>
      <c r="K224" s="44">
        <v>654.26</v>
      </c>
      <c r="L224" s="44">
        <v>0</v>
      </c>
      <c r="M224" s="79">
        <v>34</v>
      </c>
      <c r="N224" s="72">
        <f t="shared" si="32"/>
        <v>356869.12000000005</v>
      </c>
      <c r="O224" s="44">
        <v>0</v>
      </c>
      <c r="P224" s="44"/>
      <c r="Q224" s="44"/>
      <c r="R224" s="44">
        <f>+'[12]Приложение № 4'!E224</f>
        <v>356869.12000000005</v>
      </c>
      <c r="S224" s="44"/>
      <c r="T224" s="44"/>
      <c r="U224" s="44">
        <v>7151.25</v>
      </c>
      <c r="V224" s="44">
        <v>7151.25</v>
      </c>
      <c r="W224" s="80" t="s">
        <v>1101</v>
      </c>
      <c r="X224" s="96" t="e">
        <f>+N224-#REF!</f>
        <v>#REF!</v>
      </c>
      <c r="Y224" s="94">
        <v>207868.51</v>
      </c>
      <c r="Z224" s="94">
        <f t="shared" si="33"/>
        <v>71445.191999999995</v>
      </c>
      <c r="AB224" s="96" t="e">
        <f>+N224-#REF!</f>
        <v>#REF!</v>
      </c>
      <c r="AC224" s="27">
        <f>+N224-'[12]Приложение № 4'!E224</f>
        <v>0</v>
      </c>
      <c r="AE224" s="98" t="e">
        <f>+N224-#REF!</f>
        <v>#REF!</v>
      </c>
      <c r="AG224" s="101" t="s">
        <v>775</v>
      </c>
      <c r="AH224" s="102">
        <f t="shared" si="31"/>
        <v>358655.2185367255</v>
      </c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>
        <v>334655.2185367255</v>
      </c>
      <c r="AV224" s="102">
        <v>24000</v>
      </c>
      <c r="AW224" s="102"/>
    </row>
    <row r="225" spans="1:49" ht="15" x14ac:dyDescent="0.25">
      <c r="A225" s="76">
        <f t="shared" si="30"/>
        <v>213</v>
      </c>
      <c r="B225" s="77">
        <f t="shared" si="30"/>
        <v>213</v>
      </c>
      <c r="C225" s="77" t="s">
        <v>87</v>
      </c>
      <c r="D225" s="77" t="s">
        <v>776</v>
      </c>
      <c r="E225" s="78" t="s">
        <v>1106</v>
      </c>
      <c r="F225" s="78"/>
      <c r="G225" s="78" t="s">
        <v>570</v>
      </c>
      <c r="H225" s="78" t="s">
        <v>572</v>
      </c>
      <c r="I225" s="78" t="s">
        <v>572</v>
      </c>
      <c r="J225" s="44">
        <v>785.98</v>
      </c>
      <c r="K225" s="44">
        <v>723.06</v>
      </c>
      <c r="L225" s="44">
        <v>0</v>
      </c>
      <c r="M225" s="79">
        <v>29</v>
      </c>
      <c r="N225" s="72">
        <f t="shared" si="32"/>
        <v>390055.05</v>
      </c>
      <c r="O225" s="44">
        <v>0</v>
      </c>
      <c r="P225" s="44"/>
      <c r="Q225" s="44"/>
      <c r="R225" s="44">
        <f>+'[12]Приложение № 4'!E225</f>
        <v>390055.05</v>
      </c>
      <c r="S225" s="44"/>
      <c r="T225" s="44"/>
      <c r="U225" s="44">
        <v>7912.51</v>
      </c>
      <c r="V225" s="44">
        <v>7912.51</v>
      </c>
      <c r="W225" s="80" t="s">
        <v>1101</v>
      </c>
      <c r="X225" s="96" t="e">
        <f>+N225-#REF!</f>
        <v>#REF!</v>
      </c>
      <c r="Y225" s="94">
        <v>244637.31</v>
      </c>
      <c r="Z225" s="94">
        <f t="shared" si="33"/>
        <v>78958.152000000002</v>
      </c>
      <c r="AB225" s="96" t="e">
        <f>+N225-#REF!</f>
        <v>#REF!</v>
      </c>
      <c r="AC225" s="27">
        <f>+N225-'[12]Приложение № 4'!E225</f>
        <v>0</v>
      </c>
      <c r="AE225" s="98" t="e">
        <f>+N225-#REF!</f>
        <v>#REF!</v>
      </c>
      <c r="AG225" s="101" t="s">
        <v>776</v>
      </c>
      <c r="AH225" s="102">
        <f t="shared" si="31"/>
        <v>392019.21018424747</v>
      </c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>
        <v>368019.21018424747</v>
      </c>
      <c r="AV225" s="102">
        <v>24000</v>
      </c>
      <c r="AW225" s="102"/>
    </row>
    <row r="226" spans="1:49" ht="15" x14ac:dyDescent="0.25">
      <c r="A226" s="76">
        <f t="shared" si="30"/>
        <v>214</v>
      </c>
      <c r="B226" s="77">
        <f t="shared" si="30"/>
        <v>214</v>
      </c>
      <c r="C226" s="77" t="s">
        <v>87</v>
      </c>
      <c r="D226" s="77" t="s">
        <v>777</v>
      </c>
      <c r="E226" s="78" t="s">
        <v>1106</v>
      </c>
      <c r="F226" s="78"/>
      <c r="G226" s="78" t="s">
        <v>570</v>
      </c>
      <c r="H226" s="78" t="s">
        <v>572</v>
      </c>
      <c r="I226" s="78" t="s">
        <v>572</v>
      </c>
      <c r="J226" s="44">
        <v>691.94</v>
      </c>
      <c r="K226" s="44">
        <v>642.98</v>
      </c>
      <c r="L226" s="44">
        <v>0</v>
      </c>
      <c r="M226" s="79">
        <v>26</v>
      </c>
      <c r="N226" s="72">
        <f t="shared" si="32"/>
        <v>480430.27000000008</v>
      </c>
      <c r="O226" s="44">
        <v>0</v>
      </c>
      <c r="P226" s="44"/>
      <c r="Q226" s="44"/>
      <c r="R226" s="44">
        <f>+'[12]Приложение № 4'!E226</f>
        <v>480430.27000000008</v>
      </c>
      <c r="S226" s="44"/>
      <c r="T226" s="44"/>
      <c r="U226" s="44">
        <v>11473.12</v>
      </c>
      <c r="V226" s="44">
        <v>11473.12</v>
      </c>
      <c r="W226" s="80" t="s">
        <v>1101</v>
      </c>
      <c r="X226" s="96" t="e">
        <f>+N226-#REF!</f>
        <v>#REF!</v>
      </c>
      <c r="Y226" s="94">
        <v>232976.83</v>
      </c>
      <c r="Z226" s="94">
        <f t="shared" si="33"/>
        <v>70213.415999999997</v>
      </c>
      <c r="AB226" s="96" t="e">
        <f>+N226-#REF!</f>
        <v>#REF!</v>
      </c>
      <c r="AC226" s="27">
        <f>+N226-'[12]Приложение № 4'!E226</f>
        <v>0</v>
      </c>
      <c r="AE226" s="98" t="e">
        <f>+N226-#REF!</f>
        <v>#REF!</v>
      </c>
      <c r="AG226" s="101" t="s">
        <v>777</v>
      </c>
      <c r="AH226" s="102">
        <f t="shared" si="31"/>
        <v>482879.36579393281</v>
      </c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>
        <v>458879.36579393281</v>
      </c>
      <c r="AV226" s="102">
        <v>24000</v>
      </c>
      <c r="AW226" s="102"/>
    </row>
    <row r="227" spans="1:49" ht="15" x14ac:dyDescent="0.25">
      <c r="A227" s="76">
        <f t="shared" si="30"/>
        <v>215</v>
      </c>
      <c r="B227" s="77">
        <f t="shared" si="30"/>
        <v>215</v>
      </c>
      <c r="C227" s="77" t="s">
        <v>87</v>
      </c>
      <c r="D227" s="77" t="s">
        <v>778</v>
      </c>
      <c r="E227" s="78" t="s">
        <v>1109</v>
      </c>
      <c r="F227" s="78"/>
      <c r="G227" s="78" t="s">
        <v>570</v>
      </c>
      <c r="H227" s="78" t="s">
        <v>572</v>
      </c>
      <c r="I227" s="78" t="s">
        <v>572</v>
      </c>
      <c r="J227" s="44">
        <v>681.08</v>
      </c>
      <c r="K227" s="44">
        <v>633.20000000000005</v>
      </c>
      <c r="L227" s="44">
        <v>0</v>
      </c>
      <c r="M227" s="79">
        <v>30</v>
      </c>
      <c r="N227" s="72">
        <f t="shared" si="32"/>
        <v>377148.54</v>
      </c>
      <c r="O227" s="44">
        <v>0</v>
      </c>
      <c r="P227" s="44"/>
      <c r="Q227" s="44"/>
      <c r="R227" s="44">
        <f>+'[12]Приложение № 4'!E227</f>
        <v>377148.54</v>
      </c>
      <c r="S227" s="44"/>
      <c r="T227" s="44"/>
      <c r="U227" s="44">
        <v>7912.51</v>
      </c>
      <c r="V227" s="44">
        <v>7912.51</v>
      </c>
      <c r="W227" s="80" t="s">
        <v>1101</v>
      </c>
      <c r="X227" s="96" t="e">
        <f>+N227-#REF!</f>
        <v>#REF!</v>
      </c>
      <c r="Y227" s="94">
        <v>242635.36</v>
      </c>
      <c r="Z227" s="94">
        <f t="shared" si="33"/>
        <v>69145.440000000002</v>
      </c>
      <c r="AB227" s="96" t="e">
        <f>+N227-#REF!</f>
        <v>#REF!</v>
      </c>
      <c r="AC227" s="27">
        <f>+N227-'[12]Приложение № 4'!E227</f>
        <v>0</v>
      </c>
      <c r="AE227" s="98" t="e">
        <f>+N227-#REF!</f>
        <v>#REF!</v>
      </c>
      <c r="AG227" s="101" t="s">
        <v>778</v>
      </c>
      <c r="AH227" s="102">
        <f t="shared" si="31"/>
        <v>379043.4394446261</v>
      </c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>
        <v>355043.4394446261</v>
      </c>
      <c r="AV227" s="102">
        <v>24000</v>
      </c>
      <c r="AW227" s="102"/>
    </row>
    <row r="228" spans="1:49" ht="15" x14ac:dyDescent="0.25">
      <c r="A228" s="76">
        <f t="shared" si="30"/>
        <v>216</v>
      </c>
      <c r="B228" s="77">
        <f t="shared" si="30"/>
        <v>216</v>
      </c>
      <c r="C228" s="77" t="s">
        <v>87</v>
      </c>
      <c r="D228" s="77" t="s">
        <v>779</v>
      </c>
      <c r="E228" s="78" t="s">
        <v>592</v>
      </c>
      <c r="F228" s="78"/>
      <c r="G228" s="78" t="s">
        <v>570</v>
      </c>
      <c r="H228" s="78" t="s">
        <v>572</v>
      </c>
      <c r="I228" s="78" t="s">
        <v>572</v>
      </c>
      <c r="J228" s="44">
        <v>784.81</v>
      </c>
      <c r="K228" s="44">
        <v>721.89</v>
      </c>
      <c r="L228" s="44">
        <v>0</v>
      </c>
      <c r="M228" s="79">
        <v>30</v>
      </c>
      <c r="N228" s="72">
        <f t="shared" si="32"/>
        <v>259197.48</v>
      </c>
      <c r="O228" s="44">
        <v>0</v>
      </c>
      <c r="P228" s="44"/>
      <c r="Q228" s="44"/>
      <c r="R228" s="44">
        <f>+'[12]Приложение № 4'!E228</f>
        <v>259197.48</v>
      </c>
      <c r="S228" s="44"/>
      <c r="T228" s="44"/>
      <c r="U228" s="44">
        <v>3590.64</v>
      </c>
      <c r="V228" s="44">
        <v>3590.64</v>
      </c>
      <c r="W228" s="80" t="s">
        <v>1101</v>
      </c>
      <c r="X228" s="96" t="e">
        <f>+N228-#REF!</f>
        <v>#REF!</v>
      </c>
      <c r="Y228" s="94">
        <v>268195.93</v>
      </c>
      <c r="Z228" s="94">
        <f t="shared" si="33"/>
        <v>78830.387999999992</v>
      </c>
      <c r="AB228" s="96" t="e">
        <f>+N228-#REF!</f>
        <v>#REF!</v>
      </c>
      <c r="AC228" s="27">
        <f>+N228-'[12]Приложение № 4'!E228</f>
        <v>0</v>
      </c>
      <c r="AE228" s="98" t="e">
        <f>+N228-#REF!</f>
        <v>#REF!</v>
      </c>
      <c r="AG228" s="101" t="s">
        <v>779</v>
      </c>
      <c r="AH228" s="102">
        <f t="shared" si="31"/>
        <v>260459.50667712002</v>
      </c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>
        <v>236459.50667712002</v>
      </c>
      <c r="AV228" s="102">
        <v>24000</v>
      </c>
      <c r="AW228" s="102"/>
    </row>
    <row r="229" spans="1:49" ht="15" x14ac:dyDescent="0.25">
      <c r="A229" s="76">
        <f t="shared" si="30"/>
        <v>217</v>
      </c>
      <c r="B229" s="77">
        <f t="shared" si="30"/>
        <v>217</v>
      </c>
      <c r="C229" s="77" t="s">
        <v>87</v>
      </c>
      <c r="D229" s="77" t="s">
        <v>780</v>
      </c>
      <c r="E229" s="78" t="s">
        <v>1106</v>
      </c>
      <c r="F229" s="78"/>
      <c r="G229" s="78" t="s">
        <v>570</v>
      </c>
      <c r="H229" s="78" t="s">
        <v>572</v>
      </c>
      <c r="I229" s="78" t="s">
        <v>572</v>
      </c>
      <c r="J229" s="44">
        <v>688.5</v>
      </c>
      <c r="K229" s="44">
        <v>640.1</v>
      </c>
      <c r="L229" s="44">
        <v>0</v>
      </c>
      <c r="M229" s="79">
        <v>22</v>
      </c>
      <c r="N229" s="72">
        <f t="shared" si="32"/>
        <v>253253.27000000002</v>
      </c>
      <c r="O229" s="44">
        <v>0</v>
      </c>
      <c r="P229" s="44"/>
      <c r="Q229" s="44"/>
      <c r="R229" s="44">
        <f>+'[12]Приложение № 4'!E229</f>
        <v>253253.27000000002</v>
      </c>
      <c r="S229" s="44"/>
      <c r="T229" s="44"/>
      <c r="U229" s="44">
        <v>3590.64</v>
      </c>
      <c r="V229" s="44">
        <v>3590.64</v>
      </c>
      <c r="W229" s="80" t="s">
        <v>1101</v>
      </c>
      <c r="X229" s="96" t="e">
        <f>+N229-#REF!</f>
        <v>#REF!</v>
      </c>
      <c r="Y229" s="94">
        <v>213410.91</v>
      </c>
      <c r="Z229" s="94">
        <f t="shared" si="33"/>
        <v>69898.92</v>
      </c>
      <c r="AB229" s="96" t="e">
        <f>+N229-#REF!</f>
        <v>#REF!</v>
      </c>
      <c r="AC229" s="27">
        <f>+N229-'[12]Приложение № 4'!E229</f>
        <v>0</v>
      </c>
      <c r="AE229" s="98" t="e">
        <f>+N229-#REF!</f>
        <v>#REF!</v>
      </c>
      <c r="AG229" s="101" t="s">
        <v>780</v>
      </c>
      <c r="AH229" s="102">
        <f t="shared" si="31"/>
        <v>254483.39875200001</v>
      </c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>
        <v>230483.39875200001</v>
      </c>
      <c r="AV229" s="102">
        <v>24000</v>
      </c>
      <c r="AW229" s="102"/>
    </row>
    <row r="230" spans="1:49" ht="15" x14ac:dyDescent="0.25">
      <c r="A230" s="76">
        <f t="shared" si="30"/>
        <v>218</v>
      </c>
      <c r="B230" s="77">
        <f t="shared" si="30"/>
        <v>218</v>
      </c>
      <c r="C230" s="77" t="s">
        <v>87</v>
      </c>
      <c r="D230" s="77" t="s">
        <v>781</v>
      </c>
      <c r="E230" s="78" t="s">
        <v>594</v>
      </c>
      <c r="F230" s="78"/>
      <c r="G230" s="78" t="s">
        <v>570</v>
      </c>
      <c r="H230" s="78" t="s">
        <v>582</v>
      </c>
      <c r="I230" s="78" t="s">
        <v>574</v>
      </c>
      <c r="J230" s="44">
        <v>7035.55</v>
      </c>
      <c r="K230" s="44">
        <v>6562.99</v>
      </c>
      <c r="L230" s="44">
        <v>0</v>
      </c>
      <c r="M230" s="79">
        <v>230</v>
      </c>
      <c r="N230" s="72">
        <f t="shared" si="32"/>
        <v>888060.27999999991</v>
      </c>
      <c r="O230" s="44">
        <v>0</v>
      </c>
      <c r="P230" s="44"/>
      <c r="Q230" s="44"/>
      <c r="R230" s="44">
        <f>+'[12]Приложение № 4'!E230</f>
        <v>888060.27999999991</v>
      </c>
      <c r="S230" s="44"/>
      <c r="T230" s="44"/>
      <c r="U230" s="44">
        <v>3083.6</v>
      </c>
      <c r="V230" s="44">
        <v>3083.6</v>
      </c>
      <c r="W230" s="80" t="s">
        <v>1101</v>
      </c>
      <c r="X230" s="96" t="e">
        <f>+N230-#REF!</f>
        <v>#REF!</v>
      </c>
      <c r="Y230" s="94">
        <v>2099032.3199999998</v>
      </c>
      <c r="Z230" s="94">
        <f t="shared" si="33"/>
        <v>716678.50799999991</v>
      </c>
      <c r="AB230" s="96" t="e">
        <f>+N230-#REF!</f>
        <v>#REF!</v>
      </c>
      <c r="AC230" s="27">
        <f>+N230-'[12]Приложение № 4'!E230</f>
        <v>0</v>
      </c>
      <c r="AE230" s="98" t="e">
        <f>+N230-#REF!</f>
        <v>#REF!</v>
      </c>
      <c r="AG230" s="101" t="s">
        <v>781</v>
      </c>
      <c r="AH230" s="102">
        <f t="shared" si="31"/>
        <v>892696.63223616022</v>
      </c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>
        <v>868696.63223616022</v>
      </c>
      <c r="AV230" s="102">
        <v>24000</v>
      </c>
      <c r="AW230" s="102"/>
    </row>
    <row r="231" spans="1:49" ht="15" x14ac:dyDescent="0.25">
      <c r="A231" s="76">
        <f t="shared" si="30"/>
        <v>219</v>
      </c>
      <c r="B231" s="77">
        <f t="shared" si="30"/>
        <v>219</v>
      </c>
      <c r="C231" s="77" t="s">
        <v>87</v>
      </c>
      <c r="D231" s="77" t="s">
        <v>782</v>
      </c>
      <c r="E231" s="78" t="s">
        <v>609</v>
      </c>
      <c r="F231" s="78"/>
      <c r="G231" s="78" t="s">
        <v>570</v>
      </c>
      <c r="H231" s="78" t="s">
        <v>572</v>
      </c>
      <c r="I231" s="78" t="s">
        <v>572</v>
      </c>
      <c r="J231" s="44">
        <v>772.78</v>
      </c>
      <c r="K231" s="44">
        <v>710.3</v>
      </c>
      <c r="L231" s="44">
        <v>0</v>
      </c>
      <c r="M231" s="79">
        <v>35</v>
      </c>
      <c r="N231" s="72">
        <f t="shared" si="32"/>
        <v>365040.37</v>
      </c>
      <c r="O231" s="44">
        <v>0</v>
      </c>
      <c r="P231" s="44"/>
      <c r="Q231" s="44"/>
      <c r="R231" s="44">
        <f>+'[12]Приложение № 4'!E231</f>
        <v>365040.37</v>
      </c>
      <c r="S231" s="44"/>
      <c r="T231" s="44"/>
      <c r="U231" s="44">
        <v>7151.25</v>
      </c>
      <c r="V231" s="44">
        <v>7151.25</v>
      </c>
      <c r="W231" s="80" t="s">
        <v>1101</v>
      </c>
      <c r="X231" s="96" t="e">
        <f>+N231-#REF!</f>
        <v>#REF!</v>
      </c>
      <c r="Y231" s="94">
        <v>263502.03999999998</v>
      </c>
      <c r="Z231" s="94">
        <f t="shared" si="33"/>
        <v>77564.759999999995</v>
      </c>
      <c r="AB231" s="96" t="e">
        <f>+N231-#REF!</f>
        <v>#REF!</v>
      </c>
      <c r="AC231" s="27">
        <f>+N231-'[12]Приложение № 4'!E231</f>
        <v>0</v>
      </c>
      <c r="AE231" s="98" t="e">
        <f>+N231-#REF!</f>
        <v>#REF!</v>
      </c>
      <c r="AG231" s="101" t="s">
        <v>782</v>
      </c>
      <c r="AH231" s="102">
        <f t="shared" si="31"/>
        <v>366870.31320629769</v>
      </c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>
        <v>342870.31320629769</v>
      </c>
      <c r="AV231" s="102">
        <v>24000</v>
      </c>
      <c r="AW231" s="102"/>
    </row>
    <row r="232" spans="1:49" ht="15" x14ac:dyDescent="0.25">
      <c r="A232" s="76">
        <f t="shared" si="30"/>
        <v>220</v>
      </c>
      <c r="B232" s="77">
        <f t="shared" si="30"/>
        <v>220</v>
      </c>
      <c r="C232" s="77" t="s">
        <v>87</v>
      </c>
      <c r="D232" s="77" t="s">
        <v>783</v>
      </c>
      <c r="E232" s="78" t="s">
        <v>1107</v>
      </c>
      <c r="F232" s="78"/>
      <c r="G232" s="78" t="s">
        <v>570</v>
      </c>
      <c r="H232" s="78" t="s">
        <v>572</v>
      </c>
      <c r="I232" s="78" t="s">
        <v>572</v>
      </c>
      <c r="J232" s="44">
        <v>668.99</v>
      </c>
      <c r="K232" s="44">
        <v>624.47</v>
      </c>
      <c r="L232" s="44">
        <v>0</v>
      </c>
      <c r="M232" s="79">
        <v>25</v>
      </c>
      <c r="N232" s="72">
        <f t="shared" si="32"/>
        <v>237999.66</v>
      </c>
      <c r="O232" s="44">
        <v>0</v>
      </c>
      <c r="P232" s="44"/>
      <c r="Q232" s="44"/>
      <c r="R232" s="44">
        <f>+'[12]Приложение № 4'!E232</f>
        <v>237999.66</v>
      </c>
      <c r="S232" s="44"/>
      <c r="T232" s="44"/>
      <c r="U232" s="44">
        <v>3590.64</v>
      </c>
      <c r="V232" s="44">
        <v>3590.64</v>
      </c>
      <c r="W232" s="80" t="s">
        <v>1101</v>
      </c>
      <c r="X232" s="96" t="e">
        <f>+N232-#REF!</f>
        <v>#REF!</v>
      </c>
      <c r="Y232" s="94">
        <v>182453.94</v>
      </c>
      <c r="Z232" s="94">
        <f t="shared" si="33"/>
        <v>68192.123999999996</v>
      </c>
      <c r="AB232" s="96" t="e">
        <f>+N232-#REF!</f>
        <v>#REF!</v>
      </c>
      <c r="AC232" s="27">
        <f>+N232-'[12]Приложение № 4'!E232</f>
        <v>0</v>
      </c>
      <c r="AE232" s="98" t="e">
        <f>+N232-#REF!</f>
        <v>#REF!</v>
      </c>
      <c r="AG232" s="101" t="s">
        <v>783</v>
      </c>
      <c r="AH232" s="102">
        <f t="shared" si="31"/>
        <v>253272.78858048</v>
      </c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>
        <v>229272.78858048</v>
      </c>
      <c r="AV232" s="102">
        <v>24000</v>
      </c>
      <c r="AW232" s="102"/>
    </row>
    <row r="233" spans="1:49" ht="15" x14ac:dyDescent="0.25">
      <c r="A233" s="76">
        <f t="shared" si="30"/>
        <v>221</v>
      </c>
      <c r="B233" s="77">
        <f t="shared" si="30"/>
        <v>221</v>
      </c>
      <c r="C233" s="77" t="s">
        <v>87</v>
      </c>
      <c r="D233" s="77" t="s">
        <v>784</v>
      </c>
      <c r="E233" s="78" t="s">
        <v>1107</v>
      </c>
      <c r="F233" s="78"/>
      <c r="G233" s="78" t="s">
        <v>570</v>
      </c>
      <c r="H233" s="78" t="s">
        <v>572</v>
      </c>
      <c r="I233" s="78" t="s">
        <v>572</v>
      </c>
      <c r="J233" s="44">
        <v>417.31</v>
      </c>
      <c r="K233" s="44">
        <v>376.88</v>
      </c>
      <c r="L233" s="44">
        <v>0</v>
      </c>
      <c r="M233" s="79">
        <v>17</v>
      </c>
      <c r="N233" s="72">
        <f t="shared" si="32"/>
        <v>219802.34000000003</v>
      </c>
      <c r="O233" s="44">
        <v>0</v>
      </c>
      <c r="P233" s="44"/>
      <c r="Q233" s="44"/>
      <c r="R233" s="44">
        <f>+'[12]Приложение № 4'!E233</f>
        <v>219802.34000000003</v>
      </c>
      <c r="S233" s="44"/>
      <c r="T233" s="44"/>
      <c r="U233" s="44">
        <v>3590.64</v>
      </c>
      <c r="V233" s="44">
        <v>3590.64</v>
      </c>
      <c r="W233" s="80" t="s">
        <v>1101</v>
      </c>
      <c r="X233" s="96" t="e">
        <f>+N233-#REF!</f>
        <v>#REF!</v>
      </c>
      <c r="Y233" s="94">
        <v>128128.39</v>
      </c>
      <c r="Z233" s="94">
        <f t="shared" si="33"/>
        <v>41155.295999999995</v>
      </c>
      <c r="AB233" s="96" t="e">
        <f>+N233-#REF!</f>
        <v>#REF!</v>
      </c>
      <c r="AC233" s="27">
        <f>+N233-'[12]Приложение № 4'!E233</f>
        <v>0</v>
      </c>
      <c r="AE233" s="98" t="e">
        <f>+N233-#REF!</f>
        <v>#REF!</v>
      </c>
      <c r="AG233" s="101" t="s">
        <v>784</v>
      </c>
      <c r="AH233" s="102">
        <f t="shared" si="31"/>
        <v>234973.85531712</v>
      </c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>
        <v>210973.85531712</v>
      </c>
      <c r="AV233" s="102">
        <v>24000</v>
      </c>
      <c r="AW233" s="102"/>
    </row>
    <row r="234" spans="1:49" ht="15" x14ac:dyDescent="0.25">
      <c r="A234" s="76">
        <f t="shared" si="30"/>
        <v>222</v>
      </c>
      <c r="B234" s="77">
        <f t="shared" si="30"/>
        <v>222</v>
      </c>
      <c r="C234" s="77" t="s">
        <v>87</v>
      </c>
      <c r="D234" s="77" t="s">
        <v>785</v>
      </c>
      <c r="E234" s="78" t="s">
        <v>1110</v>
      </c>
      <c r="F234" s="78"/>
      <c r="G234" s="78" t="s">
        <v>570</v>
      </c>
      <c r="H234" s="78" t="s">
        <v>572</v>
      </c>
      <c r="I234" s="78" t="s">
        <v>572</v>
      </c>
      <c r="J234" s="44">
        <v>804.15</v>
      </c>
      <c r="K234" s="44">
        <v>746.39</v>
      </c>
      <c r="L234" s="44">
        <v>0</v>
      </c>
      <c r="M234" s="79">
        <v>32</v>
      </c>
      <c r="N234" s="72">
        <f t="shared" si="32"/>
        <v>492619.01999999996</v>
      </c>
      <c r="O234" s="44">
        <v>0</v>
      </c>
      <c r="P234" s="44"/>
      <c r="Q234" s="44"/>
      <c r="R234" s="44">
        <f>+'[12]Приложение № 4'!E234</f>
        <v>492619.01999999996</v>
      </c>
      <c r="S234" s="44"/>
      <c r="T234" s="44"/>
      <c r="U234" s="44">
        <v>10623.91</v>
      </c>
      <c r="V234" s="44">
        <v>10623.91</v>
      </c>
      <c r="W234" s="80" t="s">
        <v>1101</v>
      </c>
      <c r="X234" s="96" t="e">
        <f>+N234-#REF!</f>
        <v>#REF!</v>
      </c>
      <c r="Y234" s="94">
        <v>236049.52</v>
      </c>
      <c r="Z234" s="94">
        <f t="shared" si="33"/>
        <v>81505.788</v>
      </c>
      <c r="AB234" s="96" t="e">
        <f>+N234-#REF!</f>
        <v>#REF!</v>
      </c>
      <c r="AC234" s="27">
        <f>+N234-'[12]Приложение № 4'!E234</f>
        <v>0</v>
      </c>
      <c r="AE234" s="98" t="e">
        <f>+N234-#REF!</f>
        <v>#REF!</v>
      </c>
      <c r="AG234" s="101" t="s">
        <v>785</v>
      </c>
      <c r="AH234" s="102">
        <f t="shared" si="31"/>
        <v>495140.3905922831</v>
      </c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>
        <v>454095.43883068312</v>
      </c>
      <c r="AV234" s="102">
        <v>41044.951761599994</v>
      </c>
      <c r="AW234" s="102"/>
    </row>
    <row r="235" spans="1:49" ht="15" x14ac:dyDescent="0.25">
      <c r="A235" s="76">
        <f t="shared" si="30"/>
        <v>223</v>
      </c>
      <c r="B235" s="77">
        <f t="shared" si="30"/>
        <v>223</v>
      </c>
      <c r="C235" s="77" t="s">
        <v>87</v>
      </c>
      <c r="D235" s="77" t="s">
        <v>786</v>
      </c>
      <c r="E235" s="78" t="s">
        <v>1106</v>
      </c>
      <c r="F235" s="78"/>
      <c r="G235" s="78" t="s">
        <v>570</v>
      </c>
      <c r="H235" s="78" t="s">
        <v>579</v>
      </c>
      <c r="I235" s="78" t="s">
        <v>572</v>
      </c>
      <c r="J235" s="44">
        <v>1690.98</v>
      </c>
      <c r="K235" s="44">
        <v>1570.02</v>
      </c>
      <c r="L235" s="44">
        <v>0</v>
      </c>
      <c r="M235" s="79">
        <v>39</v>
      </c>
      <c r="N235" s="72">
        <f t="shared" si="32"/>
        <v>913803.31999999983</v>
      </c>
      <c r="O235" s="44">
        <v>0</v>
      </c>
      <c r="P235" s="44"/>
      <c r="Q235" s="44"/>
      <c r="R235" s="44">
        <f>+'[12]Приложение № 4'!E235</f>
        <v>913803.31999999983</v>
      </c>
      <c r="S235" s="44"/>
      <c r="T235" s="44"/>
      <c r="U235" s="44">
        <v>5377.6</v>
      </c>
      <c r="V235" s="44">
        <v>5377.6</v>
      </c>
      <c r="W235" s="80" t="s">
        <v>1101</v>
      </c>
      <c r="X235" s="96" t="e">
        <f>+N235-#REF!</f>
        <v>#REF!</v>
      </c>
      <c r="Y235" s="94">
        <v>426949.01</v>
      </c>
      <c r="Z235" s="94">
        <f t="shared" si="33"/>
        <v>171446.18399999998</v>
      </c>
      <c r="AB235" s="96" t="e">
        <f>+N235-#REF!</f>
        <v>#REF!</v>
      </c>
      <c r="AC235" s="27">
        <f>+N235-'[12]Приложение № 4'!E235</f>
        <v>0</v>
      </c>
      <c r="AE235" s="98" t="e">
        <f>+N235-#REF!</f>
        <v>#REF!</v>
      </c>
      <c r="AG235" s="101" t="s">
        <v>786</v>
      </c>
      <c r="AH235" s="102">
        <f t="shared" si="31"/>
        <v>918590.80870919395</v>
      </c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>
        <v>894590.80870919395</v>
      </c>
      <c r="AV235" s="102">
        <v>24000</v>
      </c>
      <c r="AW235" s="102"/>
    </row>
    <row r="236" spans="1:49" ht="15" x14ac:dyDescent="0.25">
      <c r="A236" s="76">
        <f t="shared" si="30"/>
        <v>224</v>
      </c>
      <c r="B236" s="77">
        <f t="shared" si="30"/>
        <v>224</v>
      </c>
      <c r="C236" s="77" t="s">
        <v>87</v>
      </c>
      <c r="D236" s="77" t="s">
        <v>787</v>
      </c>
      <c r="E236" s="78" t="s">
        <v>1106</v>
      </c>
      <c r="F236" s="78"/>
      <c r="G236" s="78" t="s">
        <v>570</v>
      </c>
      <c r="H236" s="78" t="s">
        <v>575</v>
      </c>
      <c r="I236" s="78" t="s">
        <v>579</v>
      </c>
      <c r="J236" s="44">
        <v>2145.14</v>
      </c>
      <c r="K236" s="44">
        <v>2035.58</v>
      </c>
      <c r="L236" s="44">
        <v>0</v>
      </c>
      <c r="M236" s="79">
        <v>51</v>
      </c>
      <c r="N236" s="72">
        <f t="shared" si="32"/>
        <v>447467.5</v>
      </c>
      <c r="O236" s="44">
        <v>0</v>
      </c>
      <c r="P236" s="44"/>
      <c r="Q236" s="44"/>
      <c r="R236" s="44">
        <f>+'[12]Приложение № 4'!E236</f>
        <v>447467.5</v>
      </c>
      <c r="S236" s="44"/>
      <c r="T236" s="44"/>
      <c r="U236" s="44">
        <v>3590.64</v>
      </c>
      <c r="V236" s="44">
        <v>3590.64</v>
      </c>
      <c r="W236" s="80" t="s">
        <v>1101</v>
      </c>
      <c r="X236" s="96" t="e">
        <f>+N236-#REF!</f>
        <v>#REF!</v>
      </c>
      <c r="Y236" s="94">
        <v>431915.12</v>
      </c>
      <c r="Z236" s="94">
        <f t="shared" si="33"/>
        <v>222285.33599999998</v>
      </c>
      <c r="AB236" s="96" t="e">
        <f>+N236-#REF!</f>
        <v>#REF!</v>
      </c>
      <c r="AC236" s="27">
        <f>+N236-'[12]Приложение № 4'!E236</f>
        <v>0</v>
      </c>
      <c r="AE236" s="98" t="e">
        <f>+N236-#REF!</f>
        <v>#REF!</v>
      </c>
      <c r="AG236" s="101" t="s">
        <v>787</v>
      </c>
      <c r="AH236" s="102">
        <f t="shared" si="31"/>
        <v>449745.93414528004</v>
      </c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>
        <v>425745.93414528004</v>
      </c>
      <c r="AV236" s="102">
        <v>24000</v>
      </c>
      <c r="AW236" s="102"/>
    </row>
    <row r="237" spans="1:49" ht="15" x14ac:dyDescent="0.25">
      <c r="A237" s="76">
        <f t="shared" si="30"/>
        <v>225</v>
      </c>
      <c r="B237" s="77">
        <f t="shared" si="30"/>
        <v>225</v>
      </c>
      <c r="C237" s="77" t="s">
        <v>87</v>
      </c>
      <c r="D237" s="77" t="s">
        <v>788</v>
      </c>
      <c r="E237" s="78" t="s">
        <v>1109</v>
      </c>
      <c r="F237" s="78"/>
      <c r="G237" s="78" t="s">
        <v>570</v>
      </c>
      <c r="H237" s="78" t="s">
        <v>575</v>
      </c>
      <c r="I237" s="78" t="s">
        <v>572</v>
      </c>
      <c r="J237" s="44">
        <v>631.38</v>
      </c>
      <c r="K237" s="44">
        <v>565.38</v>
      </c>
      <c r="L237" s="44">
        <v>0</v>
      </c>
      <c r="M237" s="79">
        <v>16</v>
      </c>
      <c r="N237" s="72">
        <f t="shared" si="32"/>
        <v>330031.41000000003</v>
      </c>
      <c r="O237" s="44">
        <v>0</v>
      </c>
      <c r="P237" s="44"/>
      <c r="Q237" s="44"/>
      <c r="R237" s="44">
        <f>+'[12]Приложение № 4'!E237</f>
        <v>330031.41000000003</v>
      </c>
      <c r="S237" s="44"/>
      <c r="T237" s="44"/>
      <c r="U237" s="44">
        <v>3590.64</v>
      </c>
      <c r="V237" s="44">
        <v>3590.64</v>
      </c>
      <c r="W237" s="80" t="s">
        <v>1101</v>
      </c>
      <c r="X237" s="96" t="e">
        <f>+N237-#REF!</f>
        <v>#REF!</v>
      </c>
      <c r="Y237" s="94">
        <v>163946.72</v>
      </c>
      <c r="Z237" s="94">
        <f t="shared" si="33"/>
        <v>61739.495999999999</v>
      </c>
      <c r="AB237" s="96" t="e">
        <f>+N237-#REF!</f>
        <v>#REF!</v>
      </c>
      <c r="AC237" s="27">
        <f>+N237-'[12]Приложение № 4'!E237</f>
        <v>0</v>
      </c>
      <c r="AE237" s="98" t="e">
        <f>+N237-#REF!</f>
        <v>#REF!</v>
      </c>
      <c r="AG237" s="101" t="s">
        <v>788</v>
      </c>
      <c r="AH237" s="102">
        <f t="shared" si="31"/>
        <v>331677.98779776</v>
      </c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>
        <v>307677.98779776</v>
      </c>
      <c r="AV237" s="102">
        <v>24000</v>
      </c>
      <c r="AW237" s="102"/>
    </row>
    <row r="238" spans="1:49" ht="15" x14ac:dyDescent="0.25">
      <c r="A238" s="76">
        <f t="shared" si="30"/>
        <v>226</v>
      </c>
      <c r="B238" s="77">
        <f t="shared" si="30"/>
        <v>226</v>
      </c>
      <c r="C238" s="77" t="s">
        <v>87</v>
      </c>
      <c r="D238" s="77" t="s">
        <v>789</v>
      </c>
      <c r="E238" s="78" t="s">
        <v>593</v>
      </c>
      <c r="F238" s="78"/>
      <c r="G238" s="78" t="s">
        <v>570</v>
      </c>
      <c r="H238" s="78" t="s">
        <v>579</v>
      </c>
      <c r="I238" s="78" t="s">
        <v>572</v>
      </c>
      <c r="J238" s="44">
        <v>1742.34</v>
      </c>
      <c r="K238" s="44">
        <v>1622.66</v>
      </c>
      <c r="L238" s="44">
        <v>0</v>
      </c>
      <c r="M238" s="79">
        <v>55</v>
      </c>
      <c r="N238" s="72">
        <f t="shared" si="32"/>
        <v>489810.22000000009</v>
      </c>
      <c r="O238" s="44">
        <v>0</v>
      </c>
      <c r="P238" s="44"/>
      <c r="Q238" s="44"/>
      <c r="R238" s="44">
        <f>+'[12]Приложение № 4'!E238</f>
        <v>489810.22000000009</v>
      </c>
      <c r="S238" s="44"/>
      <c r="T238" s="44"/>
      <c r="U238" s="44">
        <v>3083.6</v>
      </c>
      <c r="V238" s="44">
        <v>3083.6</v>
      </c>
      <c r="W238" s="80" t="s">
        <v>1101</v>
      </c>
      <c r="X238" s="96" t="e">
        <f>+N238-#REF!</f>
        <v>#REF!</v>
      </c>
      <c r="Y238" s="94">
        <v>465976.26</v>
      </c>
      <c r="Z238" s="94">
        <f t="shared" si="33"/>
        <v>177194.47200000001</v>
      </c>
      <c r="AB238" s="96" t="e">
        <f>+N238-#REF!</f>
        <v>#REF!</v>
      </c>
      <c r="AC238" s="27">
        <f>+N238-'[12]Приложение № 4'!E238</f>
        <v>0</v>
      </c>
      <c r="AE238" s="98" t="e">
        <f>+N238-#REF!</f>
        <v>#REF!</v>
      </c>
      <c r="AG238" s="101" t="s">
        <v>789</v>
      </c>
      <c r="AH238" s="102">
        <f t="shared" si="31"/>
        <v>506489.42198860802</v>
      </c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>
        <v>482489.42198860802</v>
      </c>
      <c r="AV238" s="102">
        <v>24000</v>
      </c>
      <c r="AW238" s="102"/>
    </row>
    <row r="239" spans="1:49" ht="15" x14ac:dyDescent="0.25">
      <c r="A239" s="76">
        <f t="shared" si="30"/>
        <v>227</v>
      </c>
      <c r="B239" s="77">
        <f t="shared" si="30"/>
        <v>227</v>
      </c>
      <c r="C239" s="77" t="s">
        <v>87</v>
      </c>
      <c r="D239" s="77" t="s">
        <v>790</v>
      </c>
      <c r="E239" s="78" t="s">
        <v>593</v>
      </c>
      <c r="F239" s="78"/>
      <c r="G239" s="78" t="s">
        <v>570</v>
      </c>
      <c r="H239" s="78" t="s">
        <v>572</v>
      </c>
      <c r="I239" s="78" t="s">
        <v>572</v>
      </c>
      <c r="J239" s="44">
        <v>1021.53</v>
      </c>
      <c r="K239" s="44">
        <v>959.05</v>
      </c>
      <c r="L239" s="44">
        <v>0</v>
      </c>
      <c r="M239" s="79">
        <v>31</v>
      </c>
      <c r="N239" s="72">
        <f t="shared" si="32"/>
        <v>265087.77</v>
      </c>
      <c r="O239" s="44">
        <v>0</v>
      </c>
      <c r="P239" s="44"/>
      <c r="Q239" s="44"/>
      <c r="R239" s="44">
        <f>+'[12]Приложение № 4'!E239</f>
        <v>265087.77</v>
      </c>
      <c r="S239" s="44"/>
      <c r="T239" s="44"/>
      <c r="U239" s="44">
        <v>3590.64</v>
      </c>
      <c r="V239" s="44">
        <v>3590.64</v>
      </c>
      <c r="W239" s="80" t="s">
        <v>1101</v>
      </c>
      <c r="X239" s="96" t="e">
        <f>+N239-#REF!</f>
        <v>#REF!</v>
      </c>
      <c r="Y239" s="94">
        <v>263059.39</v>
      </c>
      <c r="Z239" s="94">
        <f t="shared" si="33"/>
        <v>104728.26</v>
      </c>
      <c r="AB239" s="96" t="e">
        <f>+N239-#REF!</f>
        <v>#REF!</v>
      </c>
      <c r="AC239" s="27">
        <f>+N239-'[12]Приложение № 4'!E239</f>
        <v>0</v>
      </c>
      <c r="AE239" s="98" t="e">
        <f>+N239-#REF!</f>
        <v>#REF!</v>
      </c>
      <c r="AG239" s="101" t="s">
        <v>790</v>
      </c>
      <c r="AH239" s="102">
        <f t="shared" si="31"/>
        <v>280512.16069056001</v>
      </c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>
        <v>256512.16069056001</v>
      </c>
      <c r="AV239" s="102">
        <v>24000</v>
      </c>
      <c r="AW239" s="102"/>
    </row>
    <row r="240" spans="1:49" ht="15" x14ac:dyDescent="0.25">
      <c r="A240" s="76">
        <f t="shared" si="30"/>
        <v>228</v>
      </c>
      <c r="B240" s="77">
        <f t="shared" si="30"/>
        <v>228</v>
      </c>
      <c r="C240" s="77" t="s">
        <v>87</v>
      </c>
      <c r="D240" s="77" t="s">
        <v>791</v>
      </c>
      <c r="E240" s="78" t="s">
        <v>594</v>
      </c>
      <c r="F240" s="78"/>
      <c r="G240" s="78" t="s">
        <v>570</v>
      </c>
      <c r="H240" s="78" t="s">
        <v>572</v>
      </c>
      <c r="I240" s="78" t="s">
        <v>572</v>
      </c>
      <c r="J240" s="44">
        <v>989.4</v>
      </c>
      <c r="K240" s="44">
        <v>827.29</v>
      </c>
      <c r="L240" s="44">
        <v>0</v>
      </c>
      <c r="M240" s="79">
        <v>40</v>
      </c>
      <c r="N240" s="72">
        <f t="shared" si="32"/>
        <v>151227.33000000002</v>
      </c>
      <c r="O240" s="44">
        <v>0</v>
      </c>
      <c r="P240" s="44"/>
      <c r="Q240" s="44"/>
      <c r="R240" s="44">
        <f>+'[12]Приложение № 4'!E240</f>
        <v>151227.33000000002</v>
      </c>
      <c r="S240" s="44"/>
      <c r="T240" s="44"/>
      <c r="U240" s="44">
        <v>4321.87</v>
      </c>
      <c r="V240" s="44">
        <v>4321.87</v>
      </c>
      <c r="W240" s="80" t="s">
        <v>1101</v>
      </c>
      <c r="X240" s="96" t="e">
        <f>+N240-#REF!</f>
        <v>#REF!</v>
      </c>
      <c r="Y240" s="94">
        <v>328057.62</v>
      </c>
      <c r="Z240" s="94">
        <f t="shared" si="33"/>
        <v>90340.067999999985</v>
      </c>
      <c r="AB240" s="96" t="e">
        <f>+N240-#REF!</f>
        <v>#REF!</v>
      </c>
      <c r="AC240" s="27">
        <f>+N240-'[12]Приложение № 4'!E240</f>
        <v>0</v>
      </c>
      <c r="AE240" s="98" t="e">
        <f>+N240-#REF!</f>
        <v>#REF!</v>
      </c>
      <c r="AG240" s="101" t="s">
        <v>791</v>
      </c>
      <c r="AH240" s="102">
        <f t="shared" si="31"/>
        <v>168027.09748484468</v>
      </c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>
        <v>144027.09748484468</v>
      </c>
      <c r="AV240" s="102">
        <v>24000</v>
      </c>
      <c r="AW240" s="102"/>
    </row>
    <row r="241" spans="1:49" ht="15" x14ac:dyDescent="0.25">
      <c r="A241" s="76">
        <f t="shared" si="30"/>
        <v>229</v>
      </c>
      <c r="B241" s="77">
        <f t="shared" si="30"/>
        <v>229</v>
      </c>
      <c r="C241" s="77" t="s">
        <v>87</v>
      </c>
      <c r="D241" s="77" t="s">
        <v>792</v>
      </c>
      <c r="E241" s="78" t="s">
        <v>592</v>
      </c>
      <c r="F241" s="78"/>
      <c r="G241" s="78" t="s">
        <v>570</v>
      </c>
      <c r="H241" s="78" t="s">
        <v>572</v>
      </c>
      <c r="I241" s="78" t="s">
        <v>572</v>
      </c>
      <c r="J241" s="44">
        <v>791.72</v>
      </c>
      <c r="K241" s="44">
        <v>720</v>
      </c>
      <c r="L241" s="44">
        <v>0</v>
      </c>
      <c r="M241" s="79">
        <v>32</v>
      </c>
      <c r="N241" s="72">
        <f t="shared" si="32"/>
        <v>347385.10000000003</v>
      </c>
      <c r="O241" s="44">
        <v>0</v>
      </c>
      <c r="P241" s="44"/>
      <c r="Q241" s="44"/>
      <c r="R241" s="44">
        <f>+'[12]Приложение № 4'!E241</f>
        <v>347385.10000000003</v>
      </c>
      <c r="S241" s="44"/>
      <c r="T241" s="44"/>
      <c r="U241" s="44">
        <v>6302.04</v>
      </c>
      <c r="V241" s="44">
        <v>6302.04</v>
      </c>
      <c r="W241" s="80" t="s">
        <v>1101</v>
      </c>
      <c r="X241" s="96" t="e">
        <f>+N241-#REF!</f>
        <v>#REF!</v>
      </c>
      <c r="Y241" s="94">
        <v>232390.71</v>
      </c>
      <c r="Z241" s="94">
        <f t="shared" si="33"/>
        <v>78624</v>
      </c>
      <c r="AB241" s="96" t="e">
        <f>+N241-#REF!</f>
        <v>#REF!</v>
      </c>
      <c r="AC241" s="27">
        <f>+N241-'[12]Приложение № 4'!E241</f>
        <v>0</v>
      </c>
      <c r="AE241" s="98" t="e">
        <f>+N241-#REF!</f>
        <v>#REF!</v>
      </c>
      <c r="AG241" s="101" t="s">
        <v>792</v>
      </c>
      <c r="AH241" s="102">
        <f t="shared" si="31"/>
        <v>361257.85421409586</v>
      </c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>
        <v>320250.96689121588</v>
      </c>
      <c r="AV241" s="102">
        <v>41006.88732288</v>
      </c>
      <c r="AW241" s="102"/>
    </row>
    <row r="242" spans="1:49" ht="15" x14ac:dyDescent="0.25">
      <c r="A242" s="76">
        <f t="shared" si="30"/>
        <v>230</v>
      </c>
      <c r="B242" s="77">
        <f t="shared" si="30"/>
        <v>230</v>
      </c>
      <c r="C242" s="77" t="s">
        <v>220</v>
      </c>
      <c r="D242" s="77" t="s">
        <v>793</v>
      </c>
      <c r="E242" s="78" t="s">
        <v>605</v>
      </c>
      <c r="F242" s="78"/>
      <c r="G242" s="78" t="s">
        <v>570</v>
      </c>
      <c r="H242" s="78" t="s">
        <v>572</v>
      </c>
      <c r="I242" s="78" t="s">
        <v>575</v>
      </c>
      <c r="J242" s="44">
        <v>984.18</v>
      </c>
      <c r="K242" s="44">
        <v>916.32</v>
      </c>
      <c r="L242" s="44">
        <v>0</v>
      </c>
      <c r="M242" s="79">
        <v>43</v>
      </c>
      <c r="N242" s="72">
        <f t="shared" si="32"/>
        <v>228991.22</v>
      </c>
      <c r="O242" s="44">
        <v>0</v>
      </c>
      <c r="P242" s="44"/>
      <c r="Q242" s="44"/>
      <c r="R242" s="44">
        <f>+'[12]Приложение № 4'!E242</f>
        <v>228991.22</v>
      </c>
      <c r="S242" s="44"/>
      <c r="T242" s="44"/>
      <c r="U242" s="44">
        <v>3012.24</v>
      </c>
      <c r="V242" s="44">
        <v>3012.24</v>
      </c>
      <c r="W242" s="80" t="s">
        <v>1101</v>
      </c>
      <c r="X242" s="96" t="e">
        <f>+N242-#REF!</f>
        <v>#REF!</v>
      </c>
      <c r="Y242" s="94">
        <v>331898.69</v>
      </c>
      <c r="Z242" s="94">
        <f t="shared" si="33"/>
        <v>100062.144</v>
      </c>
      <c r="AB242" s="96" t="e">
        <f>+N242-#REF!</f>
        <v>#REF!</v>
      </c>
      <c r="AC242" s="27">
        <f>+N242-'[12]Приложение № 4'!E242</f>
        <v>0</v>
      </c>
      <c r="AE242" s="98" t="e">
        <f>+N242-#REF!</f>
        <v>#REF!</v>
      </c>
      <c r="AG242" s="101" t="s">
        <v>793</v>
      </c>
      <c r="AH242" s="102">
        <f t="shared" si="31"/>
        <v>244214.042208</v>
      </c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>
        <v>220214.042208</v>
      </c>
      <c r="AV242" s="102">
        <v>24000</v>
      </c>
      <c r="AW242" s="102"/>
    </row>
    <row r="243" spans="1:49" ht="15" x14ac:dyDescent="0.25">
      <c r="A243" s="76">
        <f t="shared" si="30"/>
        <v>231</v>
      </c>
      <c r="B243" s="77">
        <f t="shared" si="30"/>
        <v>231</v>
      </c>
      <c r="C243" s="77" t="s">
        <v>220</v>
      </c>
      <c r="D243" s="77" t="s">
        <v>794</v>
      </c>
      <c r="E243" s="78" t="s">
        <v>578</v>
      </c>
      <c r="F243" s="78"/>
      <c r="G243" s="78" t="s">
        <v>570</v>
      </c>
      <c r="H243" s="78" t="s">
        <v>572</v>
      </c>
      <c r="I243" s="78" t="s">
        <v>575</v>
      </c>
      <c r="J243" s="44">
        <v>1637.71</v>
      </c>
      <c r="K243" s="44">
        <v>1129.21</v>
      </c>
      <c r="L243" s="44">
        <v>0</v>
      </c>
      <c r="M243" s="79">
        <v>43</v>
      </c>
      <c r="N243" s="72">
        <f t="shared" si="32"/>
        <v>243246.87000000002</v>
      </c>
      <c r="O243" s="44">
        <v>0</v>
      </c>
      <c r="P243" s="44"/>
      <c r="Q243" s="44"/>
      <c r="R243" s="44">
        <f>+'[12]Приложение № 4'!E243</f>
        <v>243246.87000000002</v>
      </c>
      <c r="S243" s="44"/>
      <c r="T243" s="44"/>
      <c r="U243" s="44">
        <v>3012.24</v>
      </c>
      <c r="V243" s="44">
        <v>3012.24</v>
      </c>
      <c r="W243" s="80" t="s">
        <v>1101</v>
      </c>
      <c r="X243" s="96" t="e">
        <f>+N243-#REF!</f>
        <v>#REF!</v>
      </c>
      <c r="Y243" s="94">
        <v>438737.78</v>
      </c>
      <c r="Z243" s="94">
        <f t="shared" si="33"/>
        <v>123309.73199999999</v>
      </c>
      <c r="AB243" s="96" t="e">
        <f>+N243-#REF!</f>
        <v>#REF!</v>
      </c>
      <c r="AC243" s="27">
        <f>+N243-'[12]Приложение № 4'!E243</f>
        <v>0</v>
      </c>
      <c r="AE243" s="98" t="e">
        <f>+N243-#REF!</f>
        <v>#REF!</v>
      </c>
      <c r="AG243" s="101" t="s">
        <v>794</v>
      </c>
      <c r="AH243" s="102">
        <f t="shared" si="31"/>
        <v>258549.28929599994</v>
      </c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>
        <v>234549.28929599994</v>
      </c>
      <c r="AV243" s="102">
        <v>24000</v>
      </c>
      <c r="AW243" s="102"/>
    </row>
    <row r="244" spans="1:49" ht="15" x14ac:dyDescent="0.25">
      <c r="A244" s="76">
        <f t="shared" si="30"/>
        <v>232</v>
      </c>
      <c r="B244" s="77">
        <f t="shared" si="30"/>
        <v>232</v>
      </c>
      <c r="C244" s="77" t="s">
        <v>220</v>
      </c>
      <c r="D244" s="77" t="s">
        <v>795</v>
      </c>
      <c r="E244" s="78" t="s">
        <v>609</v>
      </c>
      <c r="F244" s="78"/>
      <c r="G244" s="78" t="s">
        <v>570</v>
      </c>
      <c r="H244" s="78" t="s">
        <v>572</v>
      </c>
      <c r="I244" s="78" t="s">
        <v>572</v>
      </c>
      <c r="J244" s="44">
        <v>729.53</v>
      </c>
      <c r="K244" s="44">
        <v>646.80999999999995</v>
      </c>
      <c r="L244" s="44">
        <v>0</v>
      </c>
      <c r="M244" s="79">
        <v>24</v>
      </c>
      <c r="N244" s="72">
        <f t="shared" si="32"/>
        <v>247222.07</v>
      </c>
      <c r="O244" s="44">
        <v>0</v>
      </c>
      <c r="P244" s="44"/>
      <c r="Q244" s="44"/>
      <c r="R244" s="44">
        <f>+'[12]Приложение № 4'!E244</f>
        <v>247222.07</v>
      </c>
      <c r="S244" s="44"/>
      <c r="T244" s="44"/>
      <c r="U244" s="44">
        <v>6272.01</v>
      </c>
      <c r="V244" s="44">
        <v>6272.01</v>
      </c>
      <c r="W244" s="80" t="s">
        <v>1101</v>
      </c>
      <c r="X244" s="96" t="e">
        <f>+N244-#REF!</f>
        <v>#REF!</v>
      </c>
      <c r="Y244" s="94">
        <v>219822.35</v>
      </c>
      <c r="Z244" s="94">
        <f>+(K244*9.1+L244*18.19)*12</f>
        <v>70631.652000000002</v>
      </c>
      <c r="AB244" s="96" t="e">
        <f>+N244-#REF!</f>
        <v>#REF!</v>
      </c>
      <c r="AC244" s="27">
        <f>+N244-'[12]Приложение № 4'!E244</f>
        <v>0</v>
      </c>
      <c r="AE244" s="96" t="e">
        <f>+N244-#REF!</f>
        <v>#REF!</v>
      </c>
      <c r="AG244" s="101" t="s">
        <v>795</v>
      </c>
      <c r="AH244" s="102">
        <f t="shared" si="31"/>
        <v>248419.84446086016</v>
      </c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>
        <v>207603.40182374016</v>
      </c>
      <c r="AV244" s="102">
        <v>40816.442637119995</v>
      </c>
      <c r="AW244" s="102"/>
    </row>
    <row r="245" spans="1:49" ht="15" x14ac:dyDescent="0.25">
      <c r="A245" s="76">
        <f t="shared" si="30"/>
        <v>233</v>
      </c>
      <c r="B245" s="77">
        <f t="shared" si="30"/>
        <v>233</v>
      </c>
      <c r="C245" s="77" t="s">
        <v>220</v>
      </c>
      <c r="D245" s="77" t="s">
        <v>796</v>
      </c>
      <c r="E245" s="78" t="s">
        <v>626</v>
      </c>
      <c r="F245" s="78"/>
      <c r="G245" s="78" t="s">
        <v>570</v>
      </c>
      <c r="H245" s="78" t="s">
        <v>572</v>
      </c>
      <c r="I245" s="78" t="s">
        <v>572</v>
      </c>
      <c r="J245" s="44">
        <v>730.46</v>
      </c>
      <c r="K245" s="44">
        <v>669.52</v>
      </c>
      <c r="L245" s="44">
        <v>0</v>
      </c>
      <c r="M245" s="79">
        <v>28</v>
      </c>
      <c r="N245" s="72">
        <f t="shared" si="32"/>
        <v>249477.59</v>
      </c>
      <c r="O245" s="44">
        <v>0</v>
      </c>
      <c r="P245" s="44"/>
      <c r="Q245" s="44"/>
      <c r="R245" s="44">
        <f>+'[12]Приложение № 4'!E245</f>
        <v>249477.59</v>
      </c>
      <c r="S245" s="44"/>
      <c r="T245" s="44"/>
      <c r="U245" s="44">
        <v>6272.01</v>
      </c>
      <c r="V245" s="44">
        <v>6272.01</v>
      </c>
      <c r="W245" s="80" t="s">
        <v>1101</v>
      </c>
      <c r="X245" s="96" t="e">
        <f>+N245-#REF!</f>
        <v>#REF!</v>
      </c>
      <c r="Y245" s="94">
        <v>286756.65000000002</v>
      </c>
      <c r="Z245" s="94">
        <f>+(K245*9.1+L245*18.19)*12</f>
        <v>73111.584000000003</v>
      </c>
      <c r="AB245" s="96" t="e">
        <f>+N245-#REF!</f>
        <v>#REF!</v>
      </c>
      <c r="AC245" s="27">
        <f>+N245-'[12]Приложение № 4'!E245</f>
        <v>0</v>
      </c>
      <c r="AE245" s="96" t="e">
        <f>+N245-#REF!</f>
        <v>#REF!</v>
      </c>
      <c r="AG245" s="101" t="s">
        <v>796</v>
      </c>
      <c r="AH245" s="102">
        <f t="shared" si="31"/>
        <v>250687.45332886663</v>
      </c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>
        <v>209868.16274902661</v>
      </c>
      <c r="AV245" s="102">
        <v>40819.290579840002</v>
      </c>
      <c r="AW245" s="102"/>
    </row>
    <row r="246" spans="1:49" ht="15" x14ac:dyDescent="0.25">
      <c r="A246" s="76">
        <f t="shared" si="30"/>
        <v>234</v>
      </c>
      <c r="B246" s="77">
        <f t="shared" si="30"/>
        <v>234</v>
      </c>
      <c r="C246" s="77" t="s">
        <v>220</v>
      </c>
      <c r="D246" s="77" t="s">
        <v>797</v>
      </c>
      <c r="E246" s="78" t="s">
        <v>593</v>
      </c>
      <c r="F246" s="78"/>
      <c r="G246" s="78" t="s">
        <v>570</v>
      </c>
      <c r="H246" s="78" t="s">
        <v>572</v>
      </c>
      <c r="I246" s="78" t="s">
        <v>572</v>
      </c>
      <c r="J246" s="44">
        <v>727.83</v>
      </c>
      <c r="K246" s="44">
        <v>666.9</v>
      </c>
      <c r="L246" s="44">
        <v>0</v>
      </c>
      <c r="M246" s="79">
        <v>20</v>
      </c>
      <c r="N246" s="72">
        <f t="shared" si="32"/>
        <v>249497.74000000005</v>
      </c>
      <c r="O246" s="44">
        <v>0</v>
      </c>
      <c r="P246" s="44"/>
      <c r="Q246" s="44"/>
      <c r="R246" s="44">
        <f>+'[12]Приложение № 4'!E246</f>
        <v>249497.74000000005</v>
      </c>
      <c r="S246" s="44"/>
      <c r="T246" s="44"/>
      <c r="U246" s="44">
        <v>6272.01</v>
      </c>
      <c r="V246" s="44">
        <v>6272.01</v>
      </c>
      <c r="W246" s="80" t="s">
        <v>1101</v>
      </c>
      <c r="X246" s="96" t="e">
        <f>+N246-#REF!</f>
        <v>#REF!</v>
      </c>
      <c r="Y246" s="94">
        <v>244293.03</v>
      </c>
      <c r="Z246" s="94">
        <f>+(K246*9.1+L246*18.19)*12</f>
        <v>72825.48</v>
      </c>
      <c r="AB246" s="96" t="e">
        <f>+N246-#REF!</f>
        <v>#REF!</v>
      </c>
      <c r="AC246" s="27">
        <f>+N246-'[12]Приложение № 4'!E246</f>
        <v>0</v>
      </c>
      <c r="AE246" s="96" t="e">
        <f>+N246-#REF!</f>
        <v>#REF!</v>
      </c>
      <c r="AG246" s="101" t="s">
        <v>797</v>
      </c>
      <c r="AH246" s="102">
        <f t="shared" si="31"/>
        <v>250707.70898091263</v>
      </c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>
        <v>209896.47226059262</v>
      </c>
      <c r="AV246" s="102">
        <v>40811.236720319997</v>
      </c>
      <c r="AW246" s="102"/>
    </row>
    <row r="247" spans="1:49" ht="15" x14ac:dyDescent="0.25">
      <c r="A247" s="76">
        <f t="shared" si="30"/>
        <v>235</v>
      </c>
      <c r="B247" s="77">
        <f t="shared" si="30"/>
        <v>235</v>
      </c>
      <c r="C247" s="77" t="s">
        <v>220</v>
      </c>
      <c r="D247" s="77" t="s">
        <v>1187</v>
      </c>
      <c r="E247" s="78">
        <v>1988</v>
      </c>
      <c r="F247" s="78">
        <v>2011</v>
      </c>
      <c r="G247" s="78" t="s">
        <v>44</v>
      </c>
      <c r="H247" s="78">
        <v>2</v>
      </c>
      <c r="I247" s="78">
        <v>2</v>
      </c>
      <c r="J247" s="44">
        <v>884.7</v>
      </c>
      <c r="K247" s="44">
        <v>818.23</v>
      </c>
      <c r="L247" s="44">
        <v>0</v>
      </c>
      <c r="M247" s="79">
        <v>30</v>
      </c>
      <c r="N247" s="72">
        <f>+P247+Q247+R247+S247+T247</f>
        <v>24000</v>
      </c>
      <c r="O247" s="44"/>
      <c r="P247" s="44"/>
      <c r="Q247" s="44"/>
      <c r="R247" s="44">
        <f>+'[12]Приложение № 4'!E247</f>
        <v>24000</v>
      </c>
      <c r="S247" s="44"/>
      <c r="T247" s="44"/>
      <c r="U247" s="44">
        <f>$N247/($K247+$L247)</f>
        <v>29.331606027645037</v>
      </c>
      <c r="V247" s="44"/>
      <c r="W247" s="80" t="s">
        <v>1101</v>
      </c>
      <c r="AC247" s="27">
        <f>+N247-'[12]Приложение № 4'!E247</f>
        <v>0</v>
      </c>
      <c r="AG247" s="107" t="s">
        <v>1187</v>
      </c>
      <c r="AH247" s="102">
        <f t="shared" si="31"/>
        <v>61088.724600000001</v>
      </c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6">
        <v>61088.724600000001</v>
      </c>
      <c r="AW247" s="106"/>
    </row>
    <row r="248" spans="1:49" ht="15" x14ac:dyDescent="0.25">
      <c r="A248" s="76">
        <f t="shared" si="30"/>
        <v>236</v>
      </c>
      <c r="B248" s="77">
        <f t="shared" si="30"/>
        <v>236</v>
      </c>
      <c r="C248" s="77" t="s">
        <v>88</v>
      </c>
      <c r="D248" s="77" t="s">
        <v>798</v>
      </c>
      <c r="E248" s="78" t="s">
        <v>578</v>
      </c>
      <c r="F248" s="78"/>
      <c r="G248" s="78" t="s">
        <v>570</v>
      </c>
      <c r="H248" s="78" t="s">
        <v>575</v>
      </c>
      <c r="I248" s="78" t="s">
        <v>572</v>
      </c>
      <c r="J248" s="44">
        <v>1071.67</v>
      </c>
      <c r="K248" s="44">
        <v>950.27</v>
      </c>
      <c r="L248" s="44">
        <v>0</v>
      </c>
      <c r="M248" s="79">
        <v>26</v>
      </c>
      <c r="N248" s="72">
        <f t="shared" si="32"/>
        <v>361702.52</v>
      </c>
      <c r="O248" s="44">
        <v>0</v>
      </c>
      <c r="P248" s="44"/>
      <c r="Q248" s="44"/>
      <c r="R248" s="44">
        <f>+'[12]Приложение № 4'!E248</f>
        <v>361702.52</v>
      </c>
      <c r="S248" s="44"/>
      <c r="T248" s="44"/>
      <c r="U248" s="44">
        <v>3590.64</v>
      </c>
      <c r="V248" s="44">
        <v>3590.64</v>
      </c>
      <c r="W248" s="80" t="s">
        <v>1101</v>
      </c>
      <c r="X248" s="96" t="e">
        <f>+N248-#REF!</f>
        <v>#REF!</v>
      </c>
      <c r="Y248" s="94">
        <v>342448.15</v>
      </c>
      <c r="Z248" s="94">
        <f t="shared" ref="Z248:Z272" si="34">+(K248*9.1+L248*18.19)*12</f>
        <v>103769.484</v>
      </c>
      <c r="AB248" s="96" t="e">
        <f>+N248-#REF!</f>
        <v>#REF!</v>
      </c>
      <c r="AC248" s="27">
        <f>+N248-'[12]Приложение № 4'!E248</f>
        <v>0</v>
      </c>
      <c r="AE248" s="98" t="e">
        <f>+N248-#REF!</f>
        <v>#REF!</v>
      </c>
      <c r="AG248" s="101" t="s">
        <v>798</v>
      </c>
      <c r="AH248" s="102">
        <f t="shared" si="31"/>
        <v>377666.39284799999</v>
      </c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>
        <v>353666.39284799999</v>
      </c>
      <c r="AV248" s="102">
        <v>24000</v>
      </c>
      <c r="AW248" s="102"/>
    </row>
    <row r="249" spans="1:49" ht="15" x14ac:dyDescent="0.25">
      <c r="A249" s="76">
        <f t="shared" si="30"/>
        <v>237</v>
      </c>
      <c r="B249" s="77">
        <f t="shared" si="30"/>
        <v>237</v>
      </c>
      <c r="C249" s="77" t="s">
        <v>88</v>
      </c>
      <c r="D249" s="77" t="s">
        <v>799</v>
      </c>
      <c r="E249" s="78" t="s">
        <v>580</v>
      </c>
      <c r="F249" s="78"/>
      <c r="G249" s="78" t="s">
        <v>570</v>
      </c>
      <c r="H249" s="78" t="s">
        <v>572</v>
      </c>
      <c r="I249" s="78" t="s">
        <v>576</v>
      </c>
      <c r="J249" s="44">
        <v>1135.04</v>
      </c>
      <c r="K249" s="44">
        <v>698.56</v>
      </c>
      <c r="L249" s="44">
        <v>0</v>
      </c>
      <c r="M249" s="79">
        <v>24</v>
      </c>
      <c r="N249" s="72">
        <f t="shared" si="32"/>
        <v>267536.37</v>
      </c>
      <c r="O249" s="44">
        <v>0</v>
      </c>
      <c r="P249" s="44"/>
      <c r="Q249" s="44"/>
      <c r="R249" s="44">
        <f>+'[12]Приложение № 4'!E249</f>
        <v>267536.37</v>
      </c>
      <c r="S249" s="44"/>
      <c r="T249" s="44"/>
      <c r="U249" s="44">
        <v>3590.64</v>
      </c>
      <c r="V249" s="44">
        <v>3590.64</v>
      </c>
      <c r="W249" s="80" t="s">
        <v>1101</v>
      </c>
      <c r="X249" s="96" t="e">
        <f>+N249-#REF!</f>
        <v>#REF!</v>
      </c>
      <c r="Y249" s="94">
        <v>263633.98</v>
      </c>
      <c r="Z249" s="94">
        <f t="shared" si="34"/>
        <v>76282.751999999979</v>
      </c>
      <c r="AB249" s="96" t="e">
        <f>+N249-#REF!</f>
        <v>#REF!</v>
      </c>
      <c r="AC249" s="27">
        <f>+N249-'[12]Приложение № 4'!E249</f>
        <v>0</v>
      </c>
      <c r="AE249" s="98" t="e">
        <f>+N249-#REF!</f>
        <v>#REF!</v>
      </c>
      <c r="AG249" s="101" t="s">
        <v>799</v>
      </c>
      <c r="AH249" s="102">
        <f t="shared" si="31"/>
        <v>282974.43494399998</v>
      </c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>
        <v>258974.43494400001</v>
      </c>
      <c r="AV249" s="102">
        <v>24000</v>
      </c>
      <c r="AW249" s="102"/>
    </row>
    <row r="250" spans="1:49" ht="15" x14ac:dyDescent="0.25">
      <c r="A250" s="76">
        <f t="shared" si="30"/>
        <v>238</v>
      </c>
      <c r="B250" s="77">
        <f t="shared" si="30"/>
        <v>238</v>
      </c>
      <c r="C250" s="77" t="s">
        <v>88</v>
      </c>
      <c r="D250" s="77" t="s">
        <v>800</v>
      </c>
      <c r="E250" s="78" t="s">
        <v>609</v>
      </c>
      <c r="F250" s="78"/>
      <c r="G250" s="78" t="s">
        <v>570</v>
      </c>
      <c r="H250" s="78" t="s">
        <v>572</v>
      </c>
      <c r="I250" s="78" t="s">
        <v>572</v>
      </c>
      <c r="J250" s="44">
        <v>428.97</v>
      </c>
      <c r="K250" s="44">
        <v>374.17</v>
      </c>
      <c r="L250" s="44">
        <v>0</v>
      </c>
      <c r="M250" s="79">
        <v>11</v>
      </c>
      <c r="N250" s="72">
        <f t="shared" si="32"/>
        <v>106870.23</v>
      </c>
      <c r="O250" s="44">
        <v>0</v>
      </c>
      <c r="P250" s="44"/>
      <c r="Q250" s="44"/>
      <c r="R250" s="44">
        <f>+'[12]Приложение № 4'!E250</f>
        <v>106870.23</v>
      </c>
      <c r="S250" s="44"/>
      <c r="T250" s="44"/>
      <c r="U250" s="44">
        <v>2711.4</v>
      </c>
      <c r="V250" s="44">
        <v>2711.4</v>
      </c>
      <c r="W250" s="80" t="s">
        <v>1101</v>
      </c>
      <c r="X250" s="96" t="e">
        <f>+N250-#REF!</f>
        <v>#REF!</v>
      </c>
      <c r="Y250" s="94">
        <v>155146.01999999999</v>
      </c>
      <c r="Z250" s="94">
        <f t="shared" si="34"/>
        <v>40859.364000000001</v>
      </c>
      <c r="AB250" s="96" t="e">
        <f>+N250-#REF!</f>
        <v>#REF!</v>
      </c>
      <c r="AC250" s="27">
        <f>+N250-'[12]Приложение № 4'!E250</f>
        <v>0</v>
      </c>
      <c r="AE250" s="98" t="e">
        <f>+N250-#REF!</f>
        <v>#REF!</v>
      </c>
      <c r="AG250" s="101" t="s">
        <v>800</v>
      </c>
      <c r="AH250" s="102">
        <f t="shared" si="31"/>
        <v>123422.31076458865</v>
      </c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>
        <v>83526.274217708647</v>
      </c>
      <c r="AV250" s="102">
        <v>39896.036546880001</v>
      </c>
      <c r="AW250" s="102"/>
    </row>
    <row r="251" spans="1:49" ht="15" x14ac:dyDescent="0.25">
      <c r="A251" s="76">
        <f t="shared" si="30"/>
        <v>239</v>
      </c>
      <c r="B251" s="77">
        <f t="shared" si="30"/>
        <v>239</v>
      </c>
      <c r="C251" s="77" t="s">
        <v>89</v>
      </c>
      <c r="D251" s="77" t="s">
        <v>1077</v>
      </c>
      <c r="E251" s="78" t="s">
        <v>601</v>
      </c>
      <c r="F251" s="78"/>
      <c r="G251" s="78" t="s">
        <v>570</v>
      </c>
      <c r="H251" s="78" t="s">
        <v>572</v>
      </c>
      <c r="I251" s="78" t="s">
        <v>572</v>
      </c>
      <c r="J251" s="44">
        <v>915</v>
      </c>
      <c r="K251" s="44">
        <v>889.38</v>
      </c>
      <c r="L251" s="44">
        <v>0</v>
      </c>
      <c r="M251" s="79">
        <v>32</v>
      </c>
      <c r="N251" s="72">
        <f>+P251+Q251+R251+S251+T251</f>
        <v>159665.22</v>
      </c>
      <c r="O251" s="44">
        <v>0</v>
      </c>
      <c r="P251" s="44"/>
      <c r="Q251" s="44"/>
      <c r="R251" s="44">
        <f>+'[12]Приложение № 4'!E251</f>
        <v>159665.22</v>
      </c>
      <c r="S251" s="44"/>
      <c r="T251" s="44"/>
      <c r="U251" s="44">
        <v>8989.49</v>
      </c>
      <c r="V251" s="44">
        <v>8989.49</v>
      </c>
      <c r="W251" s="80" t="s">
        <v>1101</v>
      </c>
      <c r="X251" s="96" t="e">
        <f>+N251-#REF!</f>
        <v>#REF!</v>
      </c>
      <c r="Y251" s="94">
        <v>308178.09000000003</v>
      </c>
      <c r="Z251" s="94">
        <f>+(K251*9.1+L251*18.19)*12</f>
        <v>97120.295999999988</v>
      </c>
      <c r="AB251" s="96" t="e">
        <f>+N251-#REF!</f>
        <v>#REF!</v>
      </c>
      <c r="AC251" s="27">
        <f>+N251-'[12]Приложение № 4'!E251</f>
        <v>0</v>
      </c>
      <c r="AE251" s="98" t="e">
        <f>+N251-#REF!</f>
        <v>#REF!</v>
      </c>
      <c r="AG251" s="101" t="s">
        <v>1077</v>
      </c>
      <c r="AH251" s="102">
        <f t="shared" si="31"/>
        <v>777318.64999999991</v>
      </c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>
        <v>706653.32</v>
      </c>
      <c r="AV251" s="102">
        <v>70665.33</v>
      </c>
      <c r="AW251" s="102"/>
    </row>
    <row r="252" spans="1:49" ht="15" x14ac:dyDescent="0.25">
      <c r="A252" s="76">
        <f t="shared" si="30"/>
        <v>240</v>
      </c>
      <c r="B252" s="77">
        <f t="shared" si="30"/>
        <v>240</v>
      </c>
      <c r="C252" s="77" t="s">
        <v>89</v>
      </c>
      <c r="D252" s="77" t="s">
        <v>1078</v>
      </c>
      <c r="E252" s="78" t="s">
        <v>601</v>
      </c>
      <c r="F252" s="78"/>
      <c r="G252" s="78" t="s">
        <v>570</v>
      </c>
      <c r="H252" s="78" t="s">
        <v>575</v>
      </c>
      <c r="I252" s="78" t="s">
        <v>572</v>
      </c>
      <c r="J252" s="44">
        <v>1015</v>
      </c>
      <c r="K252" s="44">
        <v>918.14</v>
      </c>
      <c r="L252" s="44">
        <v>0</v>
      </c>
      <c r="M252" s="79">
        <v>40</v>
      </c>
      <c r="N252" s="72">
        <f>+P252+Q252+R252+S252+T252</f>
        <v>295192.57</v>
      </c>
      <c r="O252" s="44">
        <v>0</v>
      </c>
      <c r="P252" s="44"/>
      <c r="Q252" s="44"/>
      <c r="R252" s="44">
        <f>+'[12]Приложение № 4'!E252</f>
        <v>295192.57</v>
      </c>
      <c r="S252" s="44"/>
      <c r="T252" s="44"/>
      <c r="U252" s="44">
        <v>8459.58</v>
      </c>
      <c r="V252" s="44">
        <v>8459.58</v>
      </c>
      <c r="W252" s="80" t="s">
        <v>1101</v>
      </c>
      <c r="X252" s="96" t="e">
        <f>+N252-#REF!</f>
        <v>#REF!</v>
      </c>
      <c r="Y252" s="94">
        <v>317541.37</v>
      </c>
      <c r="Z252" s="94">
        <f>+(K252*9.1+L252*18.19)*12</f>
        <v>100260.88799999998</v>
      </c>
      <c r="AB252" s="96" t="e">
        <f>+N252-#REF!</f>
        <v>#REF!</v>
      </c>
      <c r="AC252" s="27">
        <f>+N252-'[12]Приложение № 4'!E252</f>
        <v>0</v>
      </c>
      <c r="AE252" s="98" t="e">
        <f>+N252-#REF!</f>
        <v>#REF!</v>
      </c>
      <c r="AG252" s="101" t="s">
        <v>1078</v>
      </c>
      <c r="AH252" s="102">
        <f t="shared" si="31"/>
        <v>755151.69000000006</v>
      </c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>
        <v>686501.54</v>
      </c>
      <c r="AV252" s="102">
        <v>68650.149999999994</v>
      </c>
      <c r="AW252" s="102"/>
    </row>
    <row r="253" spans="1:49" ht="15" x14ac:dyDescent="0.25">
      <c r="A253" s="76">
        <f t="shared" si="30"/>
        <v>241</v>
      </c>
      <c r="B253" s="77">
        <f t="shared" si="30"/>
        <v>241</v>
      </c>
      <c r="C253" s="77" t="s">
        <v>89</v>
      </c>
      <c r="D253" s="77" t="s">
        <v>1079</v>
      </c>
      <c r="E253" s="78" t="s">
        <v>601</v>
      </c>
      <c r="F253" s="78"/>
      <c r="G253" s="78" t="s">
        <v>570</v>
      </c>
      <c r="H253" s="78" t="s">
        <v>575</v>
      </c>
      <c r="I253" s="78" t="s">
        <v>572</v>
      </c>
      <c r="J253" s="44">
        <v>1015</v>
      </c>
      <c r="K253" s="44">
        <v>913.24</v>
      </c>
      <c r="L253" s="44">
        <v>0</v>
      </c>
      <c r="M253" s="79">
        <v>40</v>
      </c>
      <c r="N253" s="72">
        <f>+P253+Q253+R253+S253+T253</f>
        <v>490976.17999999993</v>
      </c>
      <c r="O253" s="44">
        <v>0</v>
      </c>
      <c r="P253" s="44"/>
      <c r="Q253" s="44"/>
      <c r="R253" s="44">
        <f>+'[12]Приложение № 4'!E253</f>
        <v>490976.17999999993</v>
      </c>
      <c r="S253" s="44"/>
      <c r="T253" s="44"/>
      <c r="U253" s="44">
        <v>8459.58</v>
      </c>
      <c r="V253" s="44">
        <v>8459.58</v>
      </c>
      <c r="W253" s="80" t="s">
        <v>1101</v>
      </c>
      <c r="X253" s="96" t="e">
        <f>+N253-#REF!</f>
        <v>#REF!</v>
      </c>
      <c r="Y253" s="94">
        <v>383792.99</v>
      </c>
      <c r="Z253" s="94">
        <f>+(K253*9.1+L253*18.19)*12</f>
        <v>99725.808000000005</v>
      </c>
      <c r="AB253" s="96" t="e">
        <f>+N253-#REF!</f>
        <v>#REF!</v>
      </c>
      <c r="AC253" s="27">
        <f>+N253-'[12]Приложение № 4'!E253</f>
        <v>0</v>
      </c>
      <c r="AE253" s="98" t="e">
        <f>+N253-#REF!</f>
        <v>#REF!</v>
      </c>
      <c r="AG253" s="101" t="s">
        <v>1079</v>
      </c>
      <c r="AH253" s="102">
        <f t="shared" si="31"/>
        <v>751121.55</v>
      </c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>
        <v>682837.77</v>
      </c>
      <c r="AV253" s="102">
        <v>68283.78</v>
      </c>
      <c r="AW253" s="102"/>
    </row>
    <row r="254" spans="1:49" ht="15" x14ac:dyDescent="0.25">
      <c r="A254" s="76">
        <f t="shared" si="30"/>
        <v>242</v>
      </c>
      <c r="B254" s="77">
        <f t="shared" si="30"/>
        <v>242</v>
      </c>
      <c r="C254" s="77" t="s">
        <v>89</v>
      </c>
      <c r="D254" s="77" t="s">
        <v>1080</v>
      </c>
      <c r="E254" s="78" t="s">
        <v>599</v>
      </c>
      <c r="F254" s="78"/>
      <c r="G254" s="78" t="s">
        <v>570</v>
      </c>
      <c r="H254" s="78" t="s">
        <v>579</v>
      </c>
      <c r="I254" s="78" t="s">
        <v>579</v>
      </c>
      <c r="J254" s="44">
        <v>2725</v>
      </c>
      <c r="K254" s="44">
        <v>2467.31</v>
      </c>
      <c r="L254" s="44">
        <v>0</v>
      </c>
      <c r="M254" s="79">
        <v>84</v>
      </c>
      <c r="N254" s="72">
        <f>+P254+Q254+R254+S254+T254</f>
        <v>525619.65</v>
      </c>
      <c r="O254" s="44">
        <v>0</v>
      </c>
      <c r="P254" s="44"/>
      <c r="Q254" s="44"/>
      <c r="R254" s="44">
        <f>+'[12]Приложение № 4'!E254</f>
        <v>525619.65</v>
      </c>
      <c r="S254" s="44"/>
      <c r="T254" s="44"/>
      <c r="U254" s="44">
        <v>5304.03</v>
      </c>
      <c r="V254" s="44">
        <v>5304.03</v>
      </c>
      <c r="W254" s="80" t="s">
        <v>1101</v>
      </c>
      <c r="X254" s="96" t="e">
        <f>+N254-#REF!</f>
        <v>#REF!</v>
      </c>
      <c r="Y254" s="94">
        <v>932668.76</v>
      </c>
      <c r="Z254" s="94">
        <f>+(K254*9.1+L254*18.19)*12</f>
        <v>269430.25199999998</v>
      </c>
      <c r="AB254" s="96" t="e">
        <f>+N254-#REF!</f>
        <v>#REF!</v>
      </c>
      <c r="AC254" s="27">
        <f>+N254-'[12]Приложение № 4'!E254</f>
        <v>0</v>
      </c>
      <c r="AE254" s="98" t="e">
        <f>+N254-#REF!</f>
        <v>#REF!</v>
      </c>
      <c r="AG254" s="101" t="s">
        <v>1080</v>
      </c>
      <c r="AH254" s="102">
        <f t="shared" si="31"/>
        <v>1166995.6900000002</v>
      </c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>
        <v>1050296.1200000001</v>
      </c>
      <c r="AV254" s="102">
        <v>116699.57</v>
      </c>
      <c r="AW254" s="102"/>
    </row>
    <row r="255" spans="1:49" ht="15" x14ac:dyDescent="0.25">
      <c r="A255" s="76">
        <f t="shared" si="30"/>
        <v>243</v>
      </c>
      <c r="B255" s="77">
        <f t="shared" si="30"/>
        <v>243</v>
      </c>
      <c r="C255" s="77" t="s">
        <v>89</v>
      </c>
      <c r="D255" s="77" t="s">
        <v>801</v>
      </c>
      <c r="E255" s="78" t="s">
        <v>580</v>
      </c>
      <c r="F255" s="78"/>
      <c r="G255" s="78" t="s">
        <v>570</v>
      </c>
      <c r="H255" s="78" t="s">
        <v>572</v>
      </c>
      <c r="I255" s="78" t="s">
        <v>572</v>
      </c>
      <c r="J255" s="44">
        <v>1396.88</v>
      </c>
      <c r="K255" s="44">
        <v>1292.6300000000001</v>
      </c>
      <c r="L255" s="44">
        <v>0</v>
      </c>
      <c r="M255" s="79">
        <v>12</v>
      </c>
      <c r="N255" s="72">
        <f t="shared" si="32"/>
        <v>935051.49</v>
      </c>
      <c r="O255" s="44">
        <v>0</v>
      </c>
      <c r="P255" s="44"/>
      <c r="Q255" s="44"/>
      <c r="R255" s="44">
        <f>+'[12]Приложение № 4'!E255</f>
        <v>935051.49</v>
      </c>
      <c r="S255" s="44"/>
      <c r="T255" s="44"/>
      <c r="U255" s="44">
        <v>3560.61</v>
      </c>
      <c r="V255" s="44">
        <v>3560.61</v>
      </c>
      <c r="W255" s="80" t="s">
        <v>1101</v>
      </c>
      <c r="X255" s="96" t="e">
        <f>+N255-#REF!</f>
        <v>#REF!</v>
      </c>
      <c r="Y255" s="94">
        <v>429374.77</v>
      </c>
      <c r="Z255" s="94">
        <f t="shared" si="34"/>
        <v>141155.196</v>
      </c>
      <c r="AB255" s="96" t="e">
        <f>+N255-#REF!</f>
        <v>#REF!</v>
      </c>
      <c r="AC255" s="27">
        <f>+N255-'[12]Приложение № 4'!E255</f>
        <v>0</v>
      </c>
      <c r="AE255" s="98" t="e">
        <f>+N255-#REF!</f>
        <v>#REF!</v>
      </c>
      <c r="AG255" s="101" t="s">
        <v>801</v>
      </c>
      <c r="AH255" s="102">
        <f t="shared" si="31"/>
        <v>160395.14415753598</v>
      </c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>
        <v>136395.14415753598</v>
      </c>
      <c r="AV255" s="102">
        <v>24000</v>
      </c>
      <c r="AW255" s="102"/>
    </row>
    <row r="256" spans="1:49" ht="15" x14ac:dyDescent="0.25">
      <c r="A256" s="76">
        <f t="shared" si="30"/>
        <v>244</v>
      </c>
      <c r="B256" s="77">
        <f t="shared" si="30"/>
        <v>244</v>
      </c>
      <c r="C256" s="77" t="s">
        <v>89</v>
      </c>
      <c r="D256" s="77" t="s">
        <v>802</v>
      </c>
      <c r="E256" s="78" t="s">
        <v>1111</v>
      </c>
      <c r="F256" s="78"/>
      <c r="G256" s="78" t="s">
        <v>570</v>
      </c>
      <c r="H256" s="78" t="s">
        <v>572</v>
      </c>
      <c r="I256" s="78" t="s">
        <v>572</v>
      </c>
      <c r="J256" s="44">
        <v>1068.6199999999999</v>
      </c>
      <c r="K256" s="44">
        <v>383.54</v>
      </c>
      <c r="L256" s="44">
        <v>254.2</v>
      </c>
      <c r="M256" s="79">
        <v>27</v>
      </c>
      <c r="N256" s="72">
        <f t="shared" si="32"/>
        <v>136292.94</v>
      </c>
      <c r="O256" s="44">
        <v>0</v>
      </c>
      <c r="P256" s="44"/>
      <c r="Q256" s="44"/>
      <c r="R256" s="44">
        <f>+'[12]Приложение № 4'!E256</f>
        <v>136292.94</v>
      </c>
      <c r="S256" s="44"/>
      <c r="T256" s="44"/>
      <c r="U256" s="44">
        <v>2711.4</v>
      </c>
      <c r="V256" s="44">
        <v>2711.4</v>
      </c>
      <c r="W256" s="80" t="s">
        <v>1101</v>
      </c>
      <c r="X256" s="96" t="e">
        <f>+N256-#REF!</f>
        <v>#REF!</v>
      </c>
      <c r="Y256" s="94">
        <v>200081.03</v>
      </c>
      <c r="Z256" s="94">
        <f t="shared" si="34"/>
        <v>97369.343999999997</v>
      </c>
      <c r="AB256" s="96" t="e">
        <f>+N256-#REF!</f>
        <v>#REF!</v>
      </c>
      <c r="AC256" s="27">
        <f>+N256-'[12]Приложение № 4'!E256</f>
        <v>0</v>
      </c>
      <c r="AE256" s="98" t="e">
        <f>+N256-#REF!</f>
        <v>#REF!</v>
      </c>
      <c r="AG256" s="101" t="s">
        <v>802</v>
      </c>
      <c r="AH256" s="102">
        <f t="shared" si="31"/>
        <v>136897.11619527361</v>
      </c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>
        <v>95042.276894793613</v>
      </c>
      <c r="AV256" s="102">
        <v>41854.839300480002</v>
      </c>
      <c r="AW256" s="102"/>
    </row>
    <row r="257" spans="1:49" ht="15" x14ac:dyDescent="0.25">
      <c r="A257" s="76">
        <f t="shared" si="30"/>
        <v>245</v>
      </c>
      <c r="B257" s="77">
        <f t="shared" si="30"/>
        <v>245</v>
      </c>
      <c r="C257" s="77" t="s">
        <v>89</v>
      </c>
      <c r="D257" s="77" t="s">
        <v>803</v>
      </c>
      <c r="E257" s="78" t="s">
        <v>1107</v>
      </c>
      <c r="F257" s="78"/>
      <c r="G257" s="78" t="s">
        <v>570</v>
      </c>
      <c r="H257" s="78" t="s">
        <v>572</v>
      </c>
      <c r="I257" s="78" t="s">
        <v>572</v>
      </c>
      <c r="J257" s="44">
        <v>645.32000000000005</v>
      </c>
      <c r="K257" s="44">
        <v>377.82</v>
      </c>
      <c r="L257" s="44">
        <v>218.22</v>
      </c>
      <c r="M257" s="79">
        <v>18</v>
      </c>
      <c r="N257" s="72">
        <f t="shared" si="32"/>
        <v>134720.23000000001</v>
      </c>
      <c r="O257" s="44">
        <v>0</v>
      </c>
      <c r="P257" s="44"/>
      <c r="Q257" s="44"/>
      <c r="R257" s="44">
        <f>+'[12]Приложение № 4'!E257</f>
        <v>134720.23000000001</v>
      </c>
      <c r="S257" s="44"/>
      <c r="T257" s="44"/>
      <c r="U257" s="44">
        <v>2711.4</v>
      </c>
      <c r="V257" s="44">
        <v>2711.4</v>
      </c>
      <c r="W257" s="80" t="s">
        <v>1101</v>
      </c>
      <c r="X257" s="96" t="e">
        <f>+N257-#REF!</f>
        <v>#REF!</v>
      </c>
      <c r="Y257" s="94">
        <v>215114.18</v>
      </c>
      <c r="Z257" s="94">
        <f t="shared" si="34"/>
        <v>88891.005600000004</v>
      </c>
      <c r="AB257" s="96" t="e">
        <f>+N257-#REF!</f>
        <v>#REF!</v>
      </c>
      <c r="AC257" s="27">
        <f>+N257-'[12]Приложение № 4'!E257</f>
        <v>0</v>
      </c>
      <c r="AE257" s="98" t="e">
        <f>+N257-#REF!</f>
        <v>#REF!</v>
      </c>
      <c r="AG257" s="101" t="s">
        <v>803</v>
      </c>
      <c r="AH257" s="102">
        <f t="shared" si="31"/>
        <v>135315.94467408097</v>
      </c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>
        <v>94757.378656800967</v>
      </c>
      <c r="AV257" s="102">
        <v>40558.566017279998</v>
      </c>
      <c r="AW257" s="102"/>
    </row>
    <row r="258" spans="1:49" ht="15" x14ac:dyDescent="0.25">
      <c r="A258" s="76">
        <f t="shared" si="30"/>
        <v>246</v>
      </c>
      <c r="B258" s="77">
        <f t="shared" si="30"/>
        <v>246</v>
      </c>
      <c r="C258" s="77" t="s">
        <v>89</v>
      </c>
      <c r="D258" s="77" t="s">
        <v>977</v>
      </c>
      <c r="E258" s="78">
        <v>1984</v>
      </c>
      <c r="F258" s="78">
        <v>2008</v>
      </c>
      <c r="G258" s="78" t="s">
        <v>44</v>
      </c>
      <c r="H258" s="78">
        <v>4</v>
      </c>
      <c r="I258" s="78">
        <v>4</v>
      </c>
      <c r="J258" s="44">
        <v>2701.2</v>
      </c>
      <c r="K258" s="44">
        <v>1685.9</v>
      </c>
      <c r="L258" s="44">
        <v>791.3</v>
      </c>
      <c r="M258" s="79">
        <v>131</v>
      </c>
      <c r="N258" s="72">
        <f>+P258+Q258+R258+S258+T258</f>
        <v>519241.49000000005</v>
      </c>
      <c r="O258" s="44"/>
      <c r="P258" s="44"/>
      <c r="Q258" s="44"/>
      <c r="R258" s="44">
        <f>+'[12]Приложение № 4'!E258</f>
        <v>519241.49000000005</v>
      </c>
      <c r="S258" s="44"/>
      <c r="T258" s="44"/>
      <c r="U258" s="44">
        <f>$N258/($K258+$L258)</f>
        <v>209.60822299370261</v>
      </c>
      <c r="V258" s="44">
        <f>$N258/($K258+$L258)</f>
        <v>209.60822299370261</v>
      </c>
      <c r="W258" s="80" t="s">
        <v>1101</v>
      </c>
      <c r="AC258" s="27">
        <f>+N258-'[12]Приложение № 4'!E258</f>
        <v>0</v>
      </c>
      <c r="AG258" s="107" t="s">
        <v>977</v>
      </c>
      <c r="AH258" s="102">
        <f t="shared" si="31"/>
        <v>141389.16279999999</v>
      </c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6">
        <v>141389.16279999999</v>
      </c>
      <c r="AW258" s="106"/>
    </row>
    <row r="259" spans="1:49" ht="15" x14ac:dyDescent="0.25">
      <c r="A259" s="76">
        <f t="shared" si="30"/>
        <v>247</v>
      </c>
      <c r="B259" s="77">
        <f t="shared" si="30"/>
        <v>247</v>
      </c>
      <c r="C259" s="77" t="s">
        <v>89</v>
      </c>
      <c r="D259" s="77" t="s">
        <v>978</v>
      </c>
      <c r="E259" s="78">
        <v>1981</v>
      </c>
      <c r="F259" s="78">
        <v>2008</v>
      </c>
      <c r="G259" s="78" t="s">
        <v>44</v>
      </c>
      <c r="H259" s="78">
        <v>4</v>
      </c>
      <c r="I259" s="78">
        <v>4</v>
      </c>
      <c r="J259" s="44">
        <v>3412.51</v>
      </c>
      <c r="K259" s="44">
        <v>1825.4</v>
      </c>
      <c r="L259" s="44">
        <v>877.11</v>
      </c>
      <c r="M259" s="79">
        <v>119</v>
      </c>
      <c r="N259" s="72">
        <f>+P259+Q259+R259+S259+T259</f>
        <v>695202.3</v>
      </c>
      <c r="O259" s="44"/>
      <c r="P259" s="44"/>
      <c r="Q259" s="44"/>
      <c r="R259" s="44">
        <f>+'[12]Приложение № 4'!E259</f>
        <v>695202.3</v>
      </c>
      <c r="S259" s="44"/>
      <c r="T259" s="44"/>
      <c r="U259" s="44">
        <f>$N259/($K259+$L259)</f>
        <v>257.24319243962094</v>
      </c>
      <c r="V259" s="44">
        <f>$N259/($K259+$L259)</f>
        <v>257.24319243962094</v>
      </c>
      <c r="W259" s="80" t="s">
        <v>1101</v>
      </c>
      <c r="AC259" s="27">
        <f>+N259-'[12]Приложение № 4'!E259</f>
        <v>0</v>
      </c>
      <c r="AG259" s="107" t="s">
        <v>978</v>
      </c>
      <c r="AH259" s="102">
        <f t="shared" si="31"/>
        <v>154249.00120000003</v>
      </c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6">
        <v>154249.00120000003</v>
      </c>
      <c r="AW259" s="106"/>
    </row>
    <row r="260" spans="1:49" ht="15" x14ac:dyDescent="0.25">
      <c r="A260" s="76">
        <f t="shared" si="30"/>
        <v>248</v>
      </c>
      <c r="B260" s="77">
        <f t="shared" si="30"/>
        <v>248</v>
      </c>
      <c r="C260" s="77" t="s">
        <v>89</v>
      </c>
      <c r="D260" s="77" t="s">
        <v>804</v>
      </c>
      <c r="E260" s="78" t="s">
        <v>601</v>
      </c>
      <c r="F260" s="78"/>
      <c r="G260" s="78" t="s">
        <v>570</v>
      </c>
      <c r="H260" s="78" t="s">
        <v>575</v>
      </c>
      <c r="I260" s="78" t="s">
        <v>572</v>
      </c>
      <c r="J260" s="44">
        <v>906</v>
      </c>
      <c r="K260" s="44">
        <v>498.42</v>
      </c>
      <c r="L260" s="44">
        <v>363.42</v>
      </c>
      <c r="M260" s="79">
        <v>38</v>
      </c>
      <c r="N260" s="72">
        <f t="shared" si="32"/>
        <v>363410.07</v>
      </c>
      <c r="O260" s="44">
        <v>0</v>
      </c>
      <c r="P260" s="44"/>
      <c r="Q260" s="44"/>
      <c r="R260" s="44">
        <f>+'[12]Приложение № 4'!E260</f>
        <v>363410.07</v>
      </c>
      <c r="S260" s="44"/>
      <c r="T260" s="44"/>
      <c r="U260" s="44">
        <v>3590.64</v>
      </c>
      <c r="V260" s="44">
        <v>3590.64</v>
      </c>
      <c r="W260" s="80" t="s">
        <v>1101</v>
      </c>
      <c r="X260" s="96" t="e">
        <f>+N260-#REF!</f>
        <v>#REF!</v>
      </c>
      <c r="Y260" s="94">
        <v>263708.53000000003</v>
      </c>
      <c r="Z260" s="94">
        <f t="shared" si="34"/>
        <v>133754.78160000002</v>
      </c>
      <c r="AB260" s="96" t="e">
        <f>+N260-#REF!</f>
        <v>#REF!</v>
      </c>
      <c r="AC260" s="27">
        <f>+N260-'[12]Приложение № 4'!E260</f>
        <v>0</v>
      </c>
      <c r="AE260" s="98" t="e">
        <f>+N260-#REF!</f>
        <v>#REF!</v>
      </c>
      <c r="AG260" s="101" t="s">
        <v>804</v>
      </c>
      <c r="AH260" s="102">
        <f t="shared" si="31"/>
        <v>365236.22400000005</v>
      </c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>
        <v>341236.22400000005</v>
      </c>
      <c r="AV260" s="102">
        <v>24000</v>
      </c>
      <c r="AW260" s="102"/>
    </row>
    <row r="261" spans="1:49" ht="15" x14ac:dyDescent="0.25">
      <c r="A261" s="76">
        <f t="shared" si="30"/>
        <v>249</v>
      </c>
      <c r="B261" s="77">
        <f t="shared" si="30"/>
        <v>249</v>
      </c>
      <c r="C261" s="77" t="s">
        <v>89</v>
      </c>
      <c r="D261" s="77" t="s">
        <v>805</v>
      </c>
      <c r="E261" s="78" t="s">
        <v>578</v>
      </c>
      <c r="F261" s="78"/>
      <c r="G261" s="78" t="s">
        <v>570</v>
      </c>
      <c r="H261" s="78" t="s">
        <v>575</v>
      </c>
      <c r="I261" s="78" t="s">
        <v>572</v>
      </c>
      <c r="J261" s="44">
        <v>955.59</v>
      </c>
      <c r="K261" s="44">
        <v>534.08000000000004</v>
      </c>
      <c r="L261" s="44">
        <v>354.94</v>
      </c>
      <c r="M261" s="79">
        <v>45</v>
      </c>
      <c r="N261" s="72">
        <f t="shared" si="32"/>
        <v>176664.86</v>
      </c>
      <c r="O261" s="44">
        <v>0</v>
      </c>
      <c r="P261" s="44"/>
      <c r="Q261" s="44"/>
      <c r="R261" s="44">
        <f>+'[12]Приложение № 4'!E261</f>
        <v>176664.86</v>
      </c>
      <c r="S261" s="44"/>
      <c r="T261" s="44"/>
      <c r="U261" s="44">
        <v>3560.61</v>
      </c>
      <c r="V261" s="44">
        <v>3560.61</v>
      </c>
      <c r="W261" s="80" t="s">
        <v>1101</v>
      </c>
      <c r="X261" s="96" t="e">
        <f>+N261-#REF!</f>
        <v>#REF!</v>
      </c>
      <c r="Y261" s="94">
        <v>232208.16</v>
      </c>
      <c r="Z261" s="94">
        <f t="shared" si="34"/>
        <v>135797.83919999999</v>
      </c>
      <c r="AB261" s="96" t="e">
        <f>+N261-#REF!</f>
        <v>#REF!</v>
      </c>
      <c r="AC261" s="27">
        <f>+N261-'[12]Приложение № 4'!E261</f>
        <v>0</v>
      </c>
      <c r="AE261" s="98" t="e">
        <f>+N261-#REF!</f>
        <v>#REF!</v>
      </c>
      <c r="AG261" s="101" t="s">
        <v>805</v>
      </c>
      <c r="AH261" s="102">
        <f t="shared" si="31"/>
        <v>177486.25259048352</v>
      </c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>
        <v>153486.25259048352</v>
      </c>
      <c r="AV261" s="102">
        <v>24000</v>
      </c>
      <c r="AW261" s="102"/>
    </row>
    <row r="262" spans="1:49" ht="15" x14ac:dyDescent="0.25">
      <c r="A262" s="76">
        <f t="shared" si="30"/>
        <v>250</v>
      </c>
      <c r="B262" s="77">
        <f t="shared" si="30"/>
        <v>250</v>
      </c>
      <c r="C262" s="77" t="s">
        <v>89</v>
      </c>
      <c r="D262" s="77" t="s">
        <v>974</v>
      </c>
      <c r="E262" s="78" t="s">
        <v>569</v>
      </c>
      <c r="F262" s="78"/>
      <c r="G262" s="78" t="s">
        <v>570</v>
      </c>
      <c r="H262" s="78" t="s">
        <v>582</v>
      </c>
      <c r="I262" s="78" t="s">
        <v>575</v>
      </c>
      <c r="J262" s="44">
        <v>3210.94</v>
      </c>
      <c r="K262" s="44">
        <v>1645.15</v>
      </c>
      <c r="L262" s="44">
        <v>0</v>
      </c>
      <c r="M262" s="79">
        <v>89</v>
      </c>
      <c r="N262" s="72">
        <f t="shared" si="32"/>
        <v>302018.38</v>
      </c>
      <c r="O262" s="44">
        <v>0</v>
      </c>
      <c r="P262" s="44"/>
      <c r="Q262" s="44"/>
      <c r="R262" s="44">
        <f>+'[12]Приложение № 4'!E262</f>
        <v>302018.38</v>
      </c>
      <c r="S262" s="44"/>
      <c r="T262" s="44"/>
      <c r="U262" s="44">
        <v>1393.45</v>
      </c>
      <c r="V262" s="44">
        <v>1393.45</v>
      </c>
      <c r="W262" s="80" t="s">
        <v>1101</v>
      </c>
      <c r="X262" s="96" t="e">
        <f>+N262-#REF!</f>
        <v>#REF!</v>
      </c>
      <c r="Y262" s="94">
        <v>1071084.69</v>
      </c>
      <c r="Z262" s="94">
        <f t="shared" si="34"/>
        <v>179650.38</v>
      </c>
      <c r="AB262" s="96" t="e">
        <f>+N262-#REF!</f>
        <v>#REF!</v>
      </c>
      <c r="AC262" s="27">
        <f>+N262-'[12]Приложение № 4'!E262</f>
        <v>0</v>
      </c>
      <c r="AE262" s="98" t="e">
        <f>+N262-#REF!</f>
        <v>#REF!</v>
      </c>
      <c r="AG262" s="101" t="s">
        <v>974</v>
      </c>
      <c r="AH262" s="102">
        <f t="shared" si="31"/>
        <v>303510.16380278399</v>
      </c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>
        <v>279510.16380278399</v>
      </c>
      <c r="AV262" s="102">
        <v>24000</v>
      </c>
      <c r="AW262" s="102"/>
    </row>
    <row r="263" spans="1:49" ht="15" x14ac:dyDescent="0.25">
      <c r="A263" s="76">
        <f t="shared" si="30"/>
        <v>251</v>
      </c>
      <c r="B263" s="77">
        <f t="shared" si="30"/>
        <v>251</v>
      </c>
      <c r="C263" s="77" t="s">
        <v>89</v>
      </c>
      <c r="D263" s="77" t="s">
        <v>975</v>
      </c>
      <c r="E263" s="78" t="s">
        <v>1120</v>
      </c>
      <c r="F263" s="78"/>
      <c r="G263" s="78" t="s">
        <v>570</v>
      </c>
      <c r="H263" s="78" t="s">
        <v>572</v>
      </c>
      <c r="I263" s="78" t="s">
        <v>572</v>
      </c>
      <c r="J263" s="44">
        <v>1164.7</v>
      </c>
      <c r="K263" s="44">
        <v>429.9</v>
      </c>
      <c r="L263" s="44">
        <v>304.10000000000002</v>
      </c>
      <c r="M263" s="79">
        <v>37</v>
      </c>
      <c r="N263" s="72">
        <f t="shared" si="32"/>
        <v>143935.49000000002</v>
      </c>
      <c r="O263" s="44">
        <v>0</v>
      </c>
      <c r="P263" s="44"/>
      <c r="Q263" s="44"/>
      <c r="R263" s="44">
        <f>+'[12]Приложение № 4'!E263</f>
        <v>143935.49000000002</v>
      </c>
      <c r="S263" s="44"/>
      <c r="T263" s="44"/>
      <c r="U263" s="44">
        <v>2711.4</v>
      </c>
      <c r="V263" s="44">
        <v>2711.4</v>
      </c>
      <c r="W263" s="80" t="s">
        <v>1101</v>
      </c>
      <c r="X263" s="96" t="e">
        <f>+N263-#REF!</f>
        <v>#REF!</v>
      </c>
      <c r="Y263" s="94">
        <v>315754.71000000002</v>
      </c>
      <c r="Z263" s="94">
        <f t="shared" si="34"/>
        <v>113324.02799999999</v>
      </c>
      <c r="AB263" s="96" t="e">
        <f>+N263-#REF!</f>
        <v>#REF!</v>
      </c>
      <c r="AC263" s="27">
        <f>+N263-'[12]Приложение № 4'!E263</f>
        <v>0</v>
      </c>
      <c r="AE263" s="98" t="e">
        <f>+N263-#REF!</f>
        <v>#REF!</v>
      </c>
      <c r="AG263" s="101" t="s">
        <v>975</v>
      </c>
      <c r="AH263" s="102">
        <f t="shared" si="31"/>
        <v>144579.04839705792</v>
      </c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>
        <v>102429.98292825793</v>
      </c>
      <c r="AV263" s="102">
        <v>42149.0654688</v>
      </c>
      <c r="AW263" s="102"/>
    </row>
    <row r="264" spans="1:49" ht="15" x14ac:dyDescent="0.25">
      <c r="A264" s="76">
        <f t="shared" si="30"/>
        <v>252</v>
      </c>
      <c r="B264" s="77">
        <f t="shared" si="30"/>
        <v>252</v>
      </c>
      <c r="C264" s="77" t="s">
        <v>89</v>
      </c>
      <c r="D264" s="77" t="s">
        <v>976</v>
      </c>
      <c r="E264" s="78" t="s">
        <v>610</v>
      </c>
      <c r="F264" s="78"/>
      <c r="G264" s="78" t="s">
        <v>570</v>
      </c>
      <c r="H264" s="78" t="s">
        <v>572</v>
      </c>
      <c r="I264" s="78" t="s">
        <v>572</v>
      </c>
      <c r="J264" s="44">
        <v>772.26</v>
      </c>
      <c r="K264" s="44">
        <v>472.46</v>
      </c>
      <c r="L264" s="44">
        <v>0</v>
      </c>
      <c r="M264" s="79">
        <v>34</v>
      </c>
      <c r="N264" s="72">
        <f t="shared" si="32"/>
        <v>130555.51999999999</v>
      </c>
      <c r="O264" s="44">
        <v>0</v>
      </c>
      <c r="P264" s="44"/>
      <c r="Q264" s="44"/>
      <c r="R264" s="44">
        <f>+'[12]Приложение № 4'!E264</f>
        <v>130555.51999999999</v>
      </c>
      <c r="S264" s="44"/>
      <c r="T264" s="44"/>
      <c r="U264" s="44">
        <v>3560.61</v>
      </c>
      <c r="V264" s="44">
        <v>3560.61</v>
      </c>
      <c r="W264" s="80" t="s">
        <v>1101</v>
      </c>
      <c r="X264" s="96" t="e">
        <f>+N264-#REF!</f>
        <v>#REF!</v>
      </c>
      <c r="Y264" s="94">
        <v>197727.25</v>
      </c>
      <c r="Z264" s="94">
        <f t="shared" si="34"/>
        <v>51592.631999999998</v>
      </c>
      <c r="AB264" s="96" t="e">
        <f>+N264-#REF!</f>
        <v>#REF!</v>
      </c>
      <c r="AC264" s="27">
        <f>+N264-'[12]Приложение № 4'!E264</f>
        <v>0</v>
      </c>
      <c r="AE264" s="98" t="e">
        <f>+N264-#REF!</f>
        <v>#REF!</v>
      </c>
      <c r="AG264" s="101" t="s">
        <v>976</v>
      </c>
      <c r="AH264" s="102">
        <f t="shared" si="31"/>
        <v>131127.27161213954</v>
      </c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>
        <v>107127.27161213955</v>
      </c>
      <c r="AV264" s="102">
        <v>24000</v>
      </c>
      <c r="AW264" s="102"/>
    </row>
    <row r="265" spans="1:49" ht="15" x14ac:dyDescent="0.25">
      <c r="A265" s="76">
        <f t="shared" si="30"/>
        <v>253</v>
      </c>
      <c r="B265" s="77">
        <f t="shared" si="30"/>
        <v>253</v>
      </c>
      <c r="C265" s="77" t="s">
        <v>89</v>
      </c>
      <c r="D265" s="77" t="s">
        <v>979</v>
      </c>
      <c r="E265" s="78" t="s">
        <v>627</v>
      </c>
      <c r="F265" s="78"/>
      <c r="G265" s="78" t="s">
        <v>570</v>
      </c>
      <c r="H265" s="78" t="s">
        <v>582</v>
      </c>
      <c r="I265" s="78" t="s">
        <v>575</v>
      </c>
      <c r="J265" s="44">
        <v>3193.1</v>
      </c>
      <c r="K265" s="44">
        <v>2861.55</v>
      </c>
      <c r="L265" s="44">
        <v>0</v>
      </c>
      <c r="M265" s="79">
        <v>108</v>
      </c>
      <c r="N265" s="72">
        <f t="shared" si="32"/>
        <v>303189.93</v>
      </c>
      <c r="O265" s="44">
        <v>0</v>
      </c>
      <c r="P265" s="44"/>
      <c r="Q265" s="44"/>
      <c r="R265" s="44">
        <f>+'[12]Приложение № 4'!E265</f>
        <v>303189.93</v>
      </c>
      <c r="S265" s="44"/>
      <c r="T265" s="44"/>
      <c r="U265" s="44">
        <v>1393.45</v>
      </c>
      <c r="V265" s="44">
        <v>1393.45</v>
      </c>
      <c r="W265" s="80" t="s">
        <v>1101</v>
      </c>
      <c r="X265" s="96" t="e">
        <f>+N265-#REF!</f>
        <v>#REF!</v>
      </c>
      <c r="Y265" s="94">
        <v>954599.25</v>
      </c>
      <c r="Z265" s="94">
        <f t="shared" si="34"/>
        <v>312481.26</v>
      </c>
      <c r="AB265" s="96" t="e">
        <f>+N265-#REF!</f>
        <v>#REF!</v>
      </c>
      <c r="AC265" s="27">
        <f>+N265-'[12]Приложение № 4'!E265</f>
        <v>0</v>
      </c>
      <c r="AE265" s="98" t="e">
        <f>+N265-#REF!</f>
        <v>#REF!</v>
      </c>
      <c r="AG265" s="101" t="s">
        <v>979</v>
      </c>
      <c r="AH265" s="102">
        <f t="shared" si="31"/>
        <v>304687.99318682111</v>
      </c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>
        <v>280687.99318682111</v>
      </c>
      <c r="AV265" s="102">
        <v>24000</v>
      </c>
      <c r="AW265" s="102"/>
    </row>
    <row r="266" spans="1:49" ht="15" x14ac:dyDescent="0.25">
      <c r="A266" s="76">
        <f t="shared" si="30"/>
        <v>254</v>
      </c>
      <c r="B266" s="77">
        <f t="shared" si="30"/>
        <v>254</v>
      </c>
      <c r="C266" s="77" t="s">
        <v>89</v>
      </c>
      <c r="D266" s="77" t="s">
        <v>980</v>
      </c>
      <c r="E266" s="78" t="s">
        <v>627</v>
      </c>
      <c r="F266" s="78"/>
      <c r="G266" s="78" t="s">
        <v>570</v>
      </c>
      <c r="H266" s="78" t="s">
        <v>575</v>
      </c>
      <c r="I266" s="78" t="s">
        <v>576</v>
      </c>
      <c r="J266" s="44">
        <v>1369.5</v>
      </c>
      <c r="K266" s="44">
        <v>917.4</v>
      </c>
      <c r="L266" s="44">
        <v>0</v>
      </c>
      <c r="M266" s="79">
        <v>33</v>
      </c>
      <c r="N266" s="72">
        <f t="shared" si="32"/>
        <v>171877.99</v>
      </c>
      <c r="O266" s="44">
        <v>0</v>
      </c>
      <c r="P266" s="44"/>
      <c r="Q266" s="44"/>
      <c r="R266" s="44">
        <f>+'[12]Приложение № 4'!E266</f>
        <v>171877.99</v>
      </c>
      <c r="S266" s="44"/>
      <c r="T266" s="44"/>
      <c r="U266" s="44">
        <v>3560.61</v>
      </c>
      <c r="V266" s="44">
        <v>3560.61</v>
      </c>
      <c r="W266" s="80" t="s">
        <v>1101</v>
      </c>
      <c r="X266" s="96" t="e">
        <f>+N266-#REF!</f>
        <v>#REF!</v>
      </c>
      <c r="Y266" s="94">
        <v>339177.35</v>
      </c>
      <c r="Z266" s="94">
        <f t="shared" si="34"/>
        <v>100180.08</v>
      </c>
      <c r="AB266" s="96" t="e">
        <f>+N266-#REF!</f>
        <v>#REF!</v>
      </c>
      <c r="AC266" s="27">
        <f>+N266-'[12]Приложение № 4'!E266</f>
        <v>0</v>
      </c>
      <c r="AE266" s="98" t="e">
        <f>+N266-#REF!</f>
        <v>#REF!</v>
      </c>
      <c r="AG266" s="101" t="s">
        <v>980</v>
      </c>
      <c r="AH266" s="102">
        <f t="shared" si="31"/>
        <v>172671.46158963229</v>
      </c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>
        <v>148671.46158963229</v>
      </c>
      <c r="AV266" s="102">
        <v>24000</v>
      </c>
      <c r="AW266" s="102"/>
    </row>
    <row r="267" spans="1:49" ht="15" x14ac:dyDescent="0.25">
      <c r="A267" s="76">
        <f t="shared" si="30"/>
        <v>255</v>
      </c>
      <c r="B267" s="77">
        <f t="shared" si="30"/>
        <v>255</v>
      </c>
      <c r="C267" s="77" t="s">
        <v>89</v>
      </c>
      <c r="D267" s="77" t="s">
        <v>807</v>
      </c>
      <c r="E267" s="78" t="s">
        <v>1110</v>
      </c>
      <c r="F267" s="78"/>
      <c r="G267" s="78" t="s">
        <v>570</v>
      </c>
      <c r="H267" s="78" t="s">
        <v>572</v>
      </c>
      <c r="I267" s="78" t="s">
        <v>572</v>
      </c>
      <c r="J267" s="44">
        <v>1001.33</v>
      </c>
      <c r="K267" s="44">
        <v>636.99</v>
      </c>
      <c r="L267" s="44">
        <v>0</v>
      </c>
      <c r="M267" s="79">
        <v>24</v>
      </c>
      <c r="N267" s="72">
        <f t="shared" si="32"/>
        <v>272770.56</v>
      </c>
      <c r="O267" s="44">
        <v>0</v>
      </c>
      <c r="P267" s="44"/>
      <c r="Q267" s="44"/>
      <c r="R267" s="44">
        <f>+'[12]Приложение № 4'!E267</f>
        <v>272770.56</v>
      </c>
      <c r="S267" s="44"/>
      <c r="T267" s="44"/>
      <c r="U267" s="44">
        <v>2472.9</v>
      </c>
      <c r="V267" s="44">
        <v>2472.9</v>
      </c>
      <c r="W267" s="80" t="s">
        <v>1101</v>
      </c>
      <c r="X267" s="96" t="e">
        <f>+N267-#REF!</f>
        <v>#REF!</v>
      </c>
      <c r="Y267" s="94">
        <v>184144.01</v>
      </c>
      <c r="Z267" s="94">
        <f t="shared" si="34"/>
        <v>69559.30799999999</v>
      </c>
      <c r="AB267" s="96" t="e">
        <f>+N267-#REF!</f>
        <v>#REF!</v>
      </c>
      <c r="AC267" s="27">
        <f>+N267-'[12]Приложение № 4'!E267</f>
        <v>0</v>
      </c>
      <c r="AE267" s="98" t="e">
        <f>+N267-#REF!</f>
        <v>#REF!</v>
      </c>
      <c r="AG267" s="101" t="s">
        <v>807</v>
      </c>
      <c r="AH267" s="102">
        <f t="shared" si="31"/>
        <v>131594.80981473409</v>
      </c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>
        <v>89946.032950414083</v>
      </c>
      <c r="AV267" s="102">
        <v>41648.776864319996</v>
      </c>
      <c r="AW267" s="102"/>
    </row>
    <row r="268" spans="1:49" ht="15" x14ac:dyDescent="0.25">
      <c r="A268" s="76">
        <f t="shared" si="30"/>
        <v>256</v>
      </c>
      <c r="B268" s="77">
        <f t="shared" si="30"/>
        <v>256</v>
      </c>
      <c r="C268" s="77" t="s">
        <v>89</v>
      </c>
      <c r="D268" s="77" t="s">
        <v>981</v>
      </c>
      <c r="E268" s="78" t="s">
        <v>1106</v>
      </c>
      <c r="F268" s="78"/>
      <c r="G268" s="78" t="s">
        <v>570</v>
      </c>
      <c r="H268" s="78" t="s">
        <v>575</v>
      </c>
      <c r="I268" s="78" t="s">
        <v>579</v>
      </c>
      <c r="J268" s="44">
        <v>2714.3</v>
      </c>
      <c r="K268" s="44">
        <v>1853.65</v>
      </c>
      <c r="L268" s="44">
        <v>0</v>
      </c>
      <c r="M268" s="79">
        <v>91</v>
      </c>
      <c r="N268" s="72">
        <f t="shared" si="32"/>
        <v>403501.25</v>
      </c>
      <c r="O268" s="44">
        <v>0</v>
      </c>
      <c r="P268" s="44"/>
      <c r="Q268" s="44"/>
      <c r="R268" s="44">
        <f>+'[12]Приложение № 4'!E268</f>
        <v>403501.25</v>
      </c>
      <c r="S268" s="44"/>
      <c r="T268" s="44"/>
      <c r="U268" s="44">
        <v>4667.05</v>
      </c>
      <c r="V268" s="44">
        <v>4667.05</v>
      </c>
      <c r="W268" s="80" t="s">
        <v>1101</v>
      </c>
      <c r="X268" s="96" t="e">
        <f>+N268-#REF!</f>
        <v>#REF!</v>
      </c>
      <c r="Y268" s="94">
        <v>658640.77</v>
      </c>
      <c r="Z268" s="94">
        <f t="shared" si="34"/>
        <v>202418.58000000002</v>
      </c>
      <c r="AB268" s="96" t="e">
        <f>+N268-#REF!</f>
        <v>#REF!</v>
      </c>
      <c r="AC268" s="27">
        <f>+N268-'[12]Приложение № 4'!E268</f>
        <v>0</v>
      </c>
      <c r="AE268" s="98" t="e">
        <f>+N268-#REF!</f>
        <v>#REF!</v>
      </c>
      <c r="AG268" s="101" t="s">
        <v>981</v>
      </c>
      <c r="AH268" s="102">
        <f t="shared" si="31"/>
        <v>405537.56949666754</v>
      </c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>
        <v>360952.04990146752</v>
      </c>
      <c r="AV268" s="102">
        <v>44585.519595199999</v>
      </c>
      <c r="AW268" s="102"/>
    </row>
    <row r="269" spans="1:49" ht="15" x14ac:dyDescent="0.25">
      <c r="A269" s="76">
        <f t="shared" si="30"/>
        <v>257</v>
      </c>
      <c r="B269" s="77">
        <f t="shared" si="30"/>
        <v>257</v>
      </c>
      <c r="C269" s="77" t="s">
        <v>89</v>
      </c>
      <c r="D269" s="77" t="s">
        <v>1129</v>
      </c>
      <c r="E269" s="78" t="s">
        <v>621</v>
      </c>
      <c r="F269" s="78"/>
      <c r="G269" s="78" t="s">
        <v>570</v>
      </c>
      <c r="H269" s="78" t="s">
        <v>582</v>
      </c>
      <c r="I269" s="78" t="s">
        <v>572</v>
      </c>
      <c r="J269" s="44">
        <v>2030.46</v>
      </c>
      <c r="K269" s="44">
        <v>1617</v>
      </c>
      <c r="L269" s="44">
        <v>0</v>
      </c>
      <c r="M269" s="79">
        <v>59</v>
      </c>
      <c r="N269" s="72">
        <f t="shared" si="32"/>
        <v>261102.09</v>
      </c>
      <c r="O269" s="44">
        <v>0</v>
      </c>
      <c r="P269" s="44"/>
      <c r="Q269" s="44"/>
      <c r="R269" s="44">
        <f>+'[12]Приложение № 4'!E269</f>
        <v>261102.09</v>
      </c>
      <c r="S269" s="44"/>
      <c r="T269" s="44"/>
      <c r="U269" s="44">
        <v>1393.45</v>
      </c>
      <c r="V269" s="44">
        <v>1393.45</v>
      </c>
      <c r="W269" s="80" t="s">
        <v>1101</v>
      </c>
      <c r="X269" s="96" t="e">
        <f>+N269-#REF!</f>
        <v>#REF!</v>
      </c>
      <c r="Y269" s="94">
        <v>571253.1</v>
      </c>
      <c r="Z269" s="94">
        <f t="shared" si="34"/>
        <v>176576.4</v>
      </c>
      <c r="AB269" s="96" t="e">
        <f>+N269-#REF!</f>
        <v>#REF!</v>
      </c>
      <c r="AC269" s="27">
        <f>+N269-'[12]Приложение № 4'!E269</f>
        <v>0</v>
      </c>
      <c r="AE269" s="98" t="e">
        <f>+N269-#REF!</f>
        <v>#REF!</v>
      </c>
      <c r="AG269" s="101" t="s">
        <v>982</v>
      </c>
      <c r="AH269" s="102">
        <f t="shared" si="31"/>
        <v>262374.31758773711</v>
      </c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>
        <v>238374.31758773711</v>
      </c>
      <c r="AV269" s="102">
        <v>24000</v>
      </c>
      <c r="AW269" s="102"/>
    </row>
    <row r="270" spans="1:49" ht="15" x14ac:dyDescent="0.25">
      <c r="A270" s="76">
        <f t="shared" si="30"/>
        <v>258</v>
      </c>
      <c r="B270" s="77">
        <f t="shared" si="30"/>
        <v>258</v>
      </c>
      <c r="C270" s="77" t="s">
        <v>89</v>
      </c>
      <c r="D270" s="77" t="s">
        <v>806</v>
      </c>
      <c r="E270" s="78" t="s">
        <v>578</v>
      </c>
      <c r="F270" s="78"/>
      <c r="G270" s="78" t="s">
        <v>570</v>
      </c>
      <c r="H270" s="78" t="s">
        <v>582</v>
      </c>
      <c r="I270" s="78" t="s">
        <v>575</v>
      </c>
      <c r="J270" s="44">
        <v>3318.08</v>
      </c>
      <c r="K270" s="44">
        <v>2710.96</v>
      </c>
      <c r="L270" s="44">
        <v>0</v>
      </c>
      <c r="M270" s="79">
        <v>33</v>
      </c>
      <c r="N270" s="72">
        <f t="shared" si="32"/>
        <v>757264.42999999993</v>
      </c>
      <c r="O270" s="44">
        <v>0</v>
      </c>
      <c r="P270" s="44"/>
      <c r="Q270" s="44"/>
      <c r="R270" s="44">
        <f>+'[12]Приложение № 4'!E270</f>
        <v>757264.42999999993</v>
      </c>
      <c r="S270" s="44"/>
      <c r="T270" s="44"/>
      <c r="U270" s="44">
        <v>3083.6</v>
      </c>
      <c r="V270" s="44">
        <v>3083.6</v>
      </c>
      <c r="W270" s="80" t="s">
        <v>1101</v>
      </c>
      <c r="X270" s="96" t="e">
        <f>+N270-#REF!</f>
        <v>#REF!</v>
      </c>
      <c r="Y270" s="94">
        <v>987082.76</v>
      </c>
      <c r="Z270" s="94">
        <f t="shared" si="34"/>
        <v>296036.83199999999</v>
      </c>
      <c r="AB270" s="96" t="e">
        <f>+N270-#REF!</f>
        <v>#REF!</v>
      </c>
      <c r="AC270" s="27">
        <f>+N270-'[12]Приложение № 4'!E270</f>
        <v>0</v>
      </c>
      <c r="AE270" s="98" t="e">
        <f>+N270-#REF!</f>
        <v>#REF!</v>
      </c>
      <c r="AG270" s="101" t="s">
        <v>806</v>
      </c>
      <c r="AH270" s="102">
        <f t="shared" si="31"/>
        <v>761209.69067520008</v>
      </c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>
        <v>737209.69067520008</v>
      </c>
      <c r="AV270" s="102">
        <v>24000</v>
      </c>
      <c r="AW270" s="102"/>
    </row>
    <row r="271" spans="1:49" ht="15" x14ac:dyDescent="0.25">
      <c r="A271" s="76">
        <f t="shared" ref="A271:B334" si="35">+A270+1</f>
        <v>259</v>
      </c>
      <c r="B271" s="77">
        <f t="shared" si="35"/>
        <v>259</v>
      </c>
      <c r="C271" s="77" t="s">
        <v>89</v>
      </c>
      <c r="D271" s="77" t="s">
        <v>808</v>
      </c>
      <c r="E271" s="78" t="s">
        <v>1110</v>
      </c>
      <c r="F271" s="78"/>
      <c r="G271" s="78" t="s">
        <v>570</v>
      </c>
      <c r="H271" s="78" t="s">
        <v>572</v>
      </c>
      <c r="I271" s="78" t="s">
        <v>572</v>
      </c>
      <c r="J271" s="44">
        <v>1037.76</v>
      </c>
      <c r="K271" s="44">
        <v>620.04</v>
      </c>
      <c r="L271" s="44">
        <v>0</v>
      </c>
      <c r="M271" s="79">
        <v>19</v>
      </c>
      <c r="N271" s="72">
        <f t="shared" si="32"/>
        <v>247238.84</v>
      </c>
      <c r="O271" s="44">
        <v>0</v>
      </c>
      <c r="P271" s="44"/>
      <c r="Q271" s="44"/>
      <c r="R271" s="44">
        <f>+'[12]Приложение № 4'!E271</f>
        <v>247238.84</v>
      </c>
      <c r="S271" s="44"/>
      <c r="T271" s="44"/>
      <c r="U271" s="44">
        <v>6152.78</v>
      </c>
      <c r="V271" s="44">
        <v>6152.78</v>
      </c>
      <c r="W271" s="80" t="s">
        <v>1101</v>
      </c>
      <c r="X271" s="96" t="e">
        <f>+N271-#REF!</f>
        <v>#REF!</v>
      </c>
      <c r="Y271" s="94">
        <v>212505.85</v>
      </c>
      <c r="Z271" s="94">
        <f t="shared" si="34"/>
        <v>67708.367999999988</v>
      </c>
      <c r="AB271" s="96" t="e">
        <f>+N271-#REF!</f>
        <v>#REF!</v>
      </c>
      <c r="AC271" s="27">
        <f>+N271-'[12]Приложение № 4'!E271</f>
        <v>0</v>
      </c>
      <c r="AE271" s="98" t="e">
        <f>+N271-#REF!</f>
        <v>#REF!</v>
      </c>
      <c r="AG271" s="101" t="s">
        <v>808</v>
      </c>
      <c r="AH271" s="102">
        <f t="shared" si="31"/>
        <v>248439.95228755201</v>
      </c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>
        <v>206679.61568851201</v>
      </c>
      <c r="AV271" s="102">
        <v>41760.336599040005</v>
      </c>
      <c r="AW271" s="102"/>
    </row>
    <row r="272" spans="1:49" ht="15" x14ac:dyDescent="0.25">
      <c r="A272" s="76">
        <f t="shared" si="35"/>
        <v>260</v>
      </c>
      <c r="B272" s="77">
        <f t="shared" si="35"/>
        <v>260</v>
      </c>
      <c r="C272" s="77" t="s">
        <v>89</v>
      </c>
      <c r="D272" s="77" t="s">
        <v>809</v>
      </c>
      <c r="E272" s="78" t="s">
        <v>1111</v>
      </c>
      <c r="F272" s="78"/>
      <c r="G272" s="78" t="s">
        <v>570</v>
      </c>
      <c r="H272" s="78" t="s">
        <v>572</v>
      </c>
      <c r="I272" s="78" t="s">
        <v>572</v>
      </c>
      <c r="J272" s="44">
        <v>1023.9</v>
      </c>
      <c r="K272" s="44">
        <v>614.54</v>
      </c>
      <c r="L272" s="44">
        <v>0</v>
      </c>
      <c r="M272" s="79">
        <v>19</v>
      </c>
      <c r="N272" s="72">
        <f t="shared" si="32"/>
        <v>142668.31</v>
      </c>
      <c r="O272" s="44">
        <v>0</v>
      </c>
      <c r="P272" s="44"/>
      <c r="Q272" s="44"/>
      <c r="R272" s="44">
        <f>+'[12]Приложение № 4'!E272</f>
        <v>142668.31</v>
      </c>
      <c r="S272" s="44"/>
      <c r="T272" s="44"/>
      <c r="U272" s="44">
        <v>3492.67</v>
      </c>
      <c r="V272" s="44">
        <v>3492.67</v>
      </c>
      <c r="W272" s="80" t="s">
        <v>1101</v>
      </c>
      <c r="X272" s="96" t="e">
        <f>+N272-#REF!</f>
        <v>#REF!</v>
      </c>
      <c r="Y272" s="94">
        <v>225334.78</v>
      </c>
      <c r="Z272" s="94">
        <f t="shared" si="34"/>
        <v>67107.767999999996</v>
      </c>
      <c r="AB272" s="96" t="e">
        <f>+N272-#REF!</f>
        <v>#REF!</v>
      </c>
      <c r="AC272" s="27">
        <f>+N272-'[12]Приложение № 4'!E272</f>
        <v>0</v>
      </c>
      <c r="AE272" s="98" t="e">
        <f>+N272-#REF!</f>
        <v>#REF!</v>
      </c>
      <c r="AG272" s="101" t="s">
        <v>809</v>
      </c>
      <c r="AH272" s="102">
        <f t="shared" ref="AH272:AH294" si="36">SUM(AI272:AW272)</f>
        <v>143306.79703497601</v>
      </c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>
        <v>119306.79703497601</v>
      </c>
      <c r="AV272" s="102">
        <v>24000</v>
      </c>
      <c r="AW272" s="102"/>
    </row>
    <row r="273" spans="1:49" ht="15" x14ac:dyDescent="0.25">
      <c r="A273" s="76">
        <f t="shared" si="35"/>
        <v>261</v>
      </c>
      <c r="B273" s="77">
        <f t="shared" si="35"/>
        <v>261</v>
      </c>
      <c r="C273" s="166" t="s">
        <v>89</v>
      </c>
      <c r="D273" s="77" t="s">
        <v>810</v>
      </c>
      <c r="E273" s="167" t="s">
        <v>580</v>
      </c>
      <c r="F273" s="78"/>
      <c r="G273" s="78" t="s">
        <v>570</v>
      </c>
      <c r="H273" s="78" t="s">
        <v>582</v>
      </c>
      <c r="I273" s="78" t="s">
        <v>572</v>
      </c>
      <c r="J273" s="44">
        <v>1792.32</v>
      </c>
      <c r="K273" s="44">
        <v>1578.58</v>
      </c>
      <c r="L273" s="44">
        <v>0</v>
      </c>
      <c r="M273" s="79">
        <v>66</v>
      </c>
      <c r="N273" s="72">
        <f t="shared" si="32"/>
        <v>644876.55000000005</v>
      </c>
      <c r="O273" s="44">
        <v>0</v>
      </c>
      <c r="P273" s="44"/>
      <c r="Q273" s="44"/>
      <c r="R273" s="44">
        <f>+'[12]Приложение № 4'!E273</f>
        <v>644876.55000000005</v>
      </c>
      <c r="S273" s="44"/>
      <c r="T273" s="44"/>
      <c r="U273" s="44">
        <v>3083.6</v>
      </c>
      <c r="V273" s="44">
        <v>3083.6</v>
      </c>
      <c r="W273" s="80" t="s">
        <v>1101</v>
      </c>
      <c r="X273" s="96" t="e">
        <f>+N273-#REF!</f>
        <v>#REF!</v>
      </c>
      <c r="Y273" s="94">
        <v>780154.74</v>
      </c>
      <c r="Z273" s="94">
        <f>+(K273*9.1+L273*18.19)*12</f>
        <v>172380.93599999999</v>
      </c>
      <c r="AB273" s="96" t="e">
        <f>+N273-#REF!</f>
        <v>#REF!</v>
      </c>
      <c r="AC273" s="27">
        <f>+N273-'[12]Приложение № 4'!E273</f>
        <v>0</v>
      </c>
      <c r="AE273" s="98" t="e">
        <f>+N273-#REF!</f>
        <v>#REF!</v>
      </c>
      <c r="AG273" s="101" t="s">
        <v>810</v>
      </c>
      <c r="AH273" s="102">
        <f t="shared" si="36"/>
        <v>648217.12182028801</v>
      </c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>
        <v>624217.12182028801</v>
      </c>
      <c r="AV273" s="102">
        <v>24000</v>
      </c>
      <c r="AW273" s="102"/>
    </row>
    <row r="274" spans="1:49" ht="15" x14ac:dyDescent="0.25">
      <c r="A274" s="76">
        <f t="shared" si="35"/>
        <v>262</v>
      </c>
      <c r="B274" s="77">
        <f t="shared" si="35"/>
        <v>262</v>
      </c>
      <c r="C274" s="166" t="s">
        <v>1081</v>
      </c>
      <c r="D274" s="77" t="s">
        <v>1188</v>
      </c>
      <c r="E274" s="167">
        <v>1971</v>
      </c>
      <c r="F274" s="78">
        <v>1971</v>
      </c>
      <c r="G274" s="78" t="s">
        <v>52</v>
      </c>
      <c r="H274" s="78">
        <v>2</v>
      </c>
      <c r="I274" s="78">
        <v>1</v>
      </c>
      <c r="J274" s="44">
        <v>614.79999999999995</v>
      </c>
      <c r="K274" s="44">
        <v>371.4</v>
      </c>
      <c r="L274" s="44">
        <v>223</v>
      </c>
      <c r="M274" s="79">
        <v>25</v>
      </c>
      <c r="N274" s="72">
        <f>+P274+Q274+R274+S274+T274</f>
        <v>165696.95999999999</v>
      </c>
      <c r="O274" s="44"/>
      <c r="P274" s="44"/>
      <c r="Q274" s="44"/>
      <c r="R274" s="44">
        <f>+'[12]Приложение № 4'!E274</f>
        <v>165696.95999999999</v>
      </c>
      <c r="S274" s="44"/>
      <c r="T274" s="44"/>
      <c r="U274" s="44">
        <f>$N274/($K274+$L274)</f>
        <v>278.76339165545085</v>
      </c>
      <c r="V274" s="44">
        <f>$N274/($K274+$L274)</f>
        <v>278.76339165545085</v>
      </c>
      <c r="W274" s="80" t="s">
        <v>1101</v>
      </c>
      <c r="AC274" s="27">
        <f>+N274-'[12]Приложение № 4'!E274</f>
        <v>0</v>
      </c>
      <c r="AG274" s="103" t="s">
        <v>1189</v>
      </c>
      <c r="AH274" s="102">
        <f t="shared" si="36"/>
        <v>269584.17599999998</v>
      </c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>
        <v>242625.75839999996</v>
      </c>
      <c r="AV274" s="106">
        <v>26958.417599999997</v>
      </c>
      <c r="AW274" s="106"/>
    </row>
    <row r="275" spans="1:49" ht="15" x14ac:dyDescent="0.25">
      <c r="A275" s="76">
        <f t="shared" si="35"/>
        <v>263</v>
      </c>
      <c r="B275" s="77">
        <f t="shared" si="35"/>
        <v>263</v>
      </c>
      <c r="C275" s="166" t="s">
        <v>234</v>
      </c>
      <c r="D275" s="77" t="s">
        <v>811</v>
      </c>
      <c r="E275" s="167" t="s">
        <v>599</v>
      </c>
      <c r="F275" s="78"/>
      <c r="G275" s="78" t="s">
        <v>570</v>
      </c>
      <c r="H275" s="78" t="s">
        <v>582</v>
      </c>
      <c r="I275" s="78" t="s">
        <v>575</v>
      </c>
      <c r="J275" s="44">
        <v>2457.4</v>
      </c>
      <c r="K275" s="44">
        <v>2028.5</v>
      </c>
      <c r="L275" s="44">
        <v>0</v>
      </c>
      <c r="M275" s="79">
        <v>79</v>
      </c>
      <c r="N275" s="72">
        <f t="shared" si="32"/>
        <v>268177.34059008001</v>
      </c>
      <c r="O275" s="44">
        <v>0</v>
      </c>
      <c r="P275" s="44"/>
      <c r="Q275" s="44"/>
      <c r="R275" s="44">
        <f>+'[12]Приложение № 4'!E275</f>
        <v>268177.34059008001</v>
      </c>
      <c r="S275" s="44"/>
      <c r="T275" s="44"/>
      <c r="U275" s="44">
        <v>1410.12</v>
      </c>
      <c r="V275" s="44">
        <v>1410.12</v>
      </c>
      <c r="W275" s="80" t="s">
        <v>1101</v>
      </c>
      <c r="X275" s="96" t="e">
        <f>+N275-#REF!</f>
        <v>#REF!</v>
      </c>
      <c r="Y275" s="94">
        <v>557157.98</v>
      </c>
      <c r="Z275" s="94">
        <f t="shared" ref="Z275:Z292" si="37">+(K275*9.1+L275*18.19)*12</f>
        <v>221512.19999999998</v>
      </c>
      <c r="AB275" s="96" t="e">
        <f>+N275-#REF!</f>
        <v>#REF!</v>
      </c>
      <c r="AC275" s="27">
        <f>+N275-'[12]Приложение № 4'!E275</f>
        <v>0</v>
      </c>
      <c r="AE275" s="98" t="e">
        <f>+N275-#REF!</f>
        <v>#REF!</v>
      </c>
      <c r="AG275" s="101" t="s">
        <v>811</v>
      </c>
      <c r="AH275" s="102">
        <f t="shared" si="36"/>
        <v>268177.34059008001</v>
      </c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>
        <v>244177.34059008001</v>
      </c>
      <c r="AV275" s="102">
        <v>24000</v>
      </c>
      <c r="AW275" s="102"/>
    </row>
    <row r="276" spans="1:49" ht="15" x14ac:dyDescent="0.25">
      <c r="A276" s="76">
        <f t="shared" si="35"/>
        <v>264</v>
      </c>
      <c r="B276" s="77">
        <f t="shared" si="35"/>
        <v>264</v>
      </c>
      <c r="C276" s="77" t="s">
        <v>234</v>
      </c>
      <c r="D276" s="77" t="s">
        <v>812</v>
      </c>
      <c r="E276" s="78" t="s">
        <v>625</v>
      </c>
      <c r="F276" s="78"/>
      <c r="G276" s="78" t="s">
        <v>570</v>
      </c>
      <c r="H276" s="78" t="s">
        <v>582</v>
      </c>
      <c r="I276" s="78" t="s">
        <v>579</v>
      </c>
      <c r="J276" s="44">
        <v>3352.7</v>
      </c>
      <c r="K276" s="44">
        <v>2447.1</v>
      </c>
      <c r="L276" s="44">
        <v>0</v>
      </c>
      <c r="M276" s="79">
        <v>88</v>
      </c>
      <c r="N276" s="72">
        <f t="shared" si="32"/>
        <v>226580.60883839999</v>
      </c>
      <c r="O276" s="44">
        <v>0</v>
      </c>
      <c r="P276" s="44"/>
      <c r="Q276" s="44"/>
      <c r="R276" s="44">
        <f>+'[12]Приложение № 4'!E276</f>
        <v>226580.60883839999</v>
      </c>
      <c r="S276" s="44"/>
      <c r="T276" s="44"/>
      <c r="U276" s="44">
        <v>1410.12</v>
      </c>
      <c r="V276" s="44">
        <v>1410.12</v>
      </c>
      <c r="W276" s="80" t="s">
        <v>1101</v>
      </c>
      <c r="X276" s="96" t="e">
        <f>+N276-#REF!</f>
        <v>#REF!</v>
      </c>
      <c r="Y276" s="94">
        <v>987744.25</v>
      </c>
      <c r="Z276" s="94">
        <f t="shared" si="37"/>
        <v>267223.31999999995</v>
      </c>
      <c r="AB276" s="96" t="e">
        <f>+N276-#REF!</f>
        <v>#REF!</v>
      </c>
      <c r="AC276" s="27">
        <f>+N276-'[12]Приложение № 4'!E276</f>
        <v>0</v>
      </c>
      <c r="AE276" s="98" t="e">
        <f>+N276-#REF!</f>
        <v>#REF!</v>
      </c>
      <c r="AG276" s="101" t="s">
        <v>812</v>
      </c>
      <c r="AH276" s="102">
        <f t="shared" si="36"/>
        <v>287020.62115584</v>
      </c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>
        <v>263020.62115584</v>
      </c>
      <c r="AV276" s="102">
        <v>24000</v>
      </c>
      <c r="AW276" s="102"/>
    </row>
    <row r="277" spans="1:49" ht="15" x14ac:dyDescent="0.25">
      <c r="A277" s="76">
        <f t="shared" si="35"/>
        <v>265</v>
      </c>
      <c r="B277" s="77">
        <f t="shared" si="35"/>
        <v>265</v>
      </c>
      <c r="C277" s="77" t="s">
        <v>234</v>
      </c>
      <c r="D277" s="77" t="s">
        <v>813</v>
      </c>
      <c r="E277" s="78" t="s">
        <v>601</v>
      </c>
      <c r="F277" s="78"/>
      <c r="G277" s="78" t="s">
        <v>570</v>
      </c>
      <c r="H277" s="78" t="s">
        <v>582</v>
      </c>
      <c r="I277" s="78" t="s">
        <v>579</v>
      </c>
      <c r="J277" s="44">
        <v>3033.4</v>
      </c>
      <c r="K277" s="44">
        <v>2419.1999999999998</v>
      </c>
      <c r="L277" s="44">
        <v>0</v>
      </c>
      <c r="M277" s="79">
        <v>90</v>
      </c>
      <c r="N277" s="72">
        <f t="shared" si="32"/>
        <v>221565.7494528</v>
      </c>
      <c r="O277" s="44">
        <v>0</v>
      </c>
      <c r="P277" s="44"/>
      <c r="Q277" s="44"/>
      <c r="R277" s="44">
        <f>+'[12]Приложение № 4'!E277</f>
        <v>221565.7494528</v>
      </c>
      <c r="S277" s="44"/>
      <c r="T277" s="44"/>
      <c r="U277" s="44">
        <v>1410.12</v>
      </c>
      <c r="V277" s="44">
        <v>1410.12</v>
      </c>
      <c r="W277" s="80" t="s">
        <v>1101</v>
      </c>
      <c r="X277" s="96" t="e">
        <f>+N277-#REF!</f>
        <v>#REF!</v>
      </c>
      <c r="Y277" s="94">
        <v>778967.93</v>
      </c>
      <c r="Z277" s="94">
        <f t="shared" si="37"/>
        <v>264176.63999999996</v>
      </c>
      <c r="AB277" s="96" t="e">
        <f>+N277-#REF!</f>
        <v>#REF!</v>
      </c>
      <c r="AC277" s="27">
        <f>+N277-'[12]Приложение № 4'!E277</f>
        <v>0</v>
      </c>
      <c r="AE277" s="98" t="e">
        <f>+N277-#REF!</f>
        <v>#REF!</v>
      </c>
      <c r="AG277" s="101" t="s">
        <v>813</v>
      </c>
      <c r="AH277" s="102">
        <f t="shared" si="36"/>
        <v>280969.90556928003</v>
      </c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>
        <v>256969.90556928</v>
      </c>
      <c r="AV277" s="102">
        <v>24000</v>
      </c>
      <c r="AW277" s="102"/>
    </row>
    <row r="278" spans="1:49" ht="15" x14ac:dyDescent="0.25">
      <c r="A278" s="76">
        <f t="shared" si="35"/>
        <v>266</v>
      </c>
      <c r="B278" s="77">
        <f t="shared" si="35"/>
        <v>266</v>
      </c>
      <c r="C278" s="77" t="s">
        <v>234</v>
      </c>
      <c r="D278" s="77" t="s">
        <v>814</v>
      </c>
      <c r="E278" s="78" t="s">
        <v>631</v>
      </c>
      <c r="F278" s="78"/>
      <c r="G278" s="78" t="s">
        <v>570</v>
      </c>
      <c r="H278" s="78" t="s">
        <v>582</v>
      </c>
      <c r="I278" s="78" t="s">
        <v>579</v>
      </c>
      <c r="J278" s="44">
        <v>3389.2</v>
      </c>
      <c r="K278" s="44">
        <v>2471.1999999999998</v>
      </c>
      <c r="L278" s="44">
        <v>0</v>
      </c>
      <c r="M278" s="79">
        <v>85</v>
      </c>
      <c r="N278" s="72">
        <f t="shared" si="32"/>
        <v>287712.29393664002</v>
      </c>
      <c r="O278" s="44">
        <v>0</v>
      </c>
      <c r="P278" s="44"/>
      <c r="Q278" s="44"/>
      <c r="R278" s="44">
        <f>+'[12]Приложение № 4'!E278</f>
        <v>287712.29393664002</v>
      </c>
      <c r="S278" s="44"/>
      <c r="T278" s="44"/>
      <c r="U278" s="44">
        <v>1410.12</v>
      </c>
      <c r="V278" s="44">
        <v>1410.12</v>
      </c>
      <c r="W278" s="80" t="s">
        <v>1101</v>
      </c>
      <c r="X278" s="96" t="e">
        <f>+N278-#REF!</f>
        <v>#REF!</v>
      </c>
      <c r="Y278" s="94">
        <v>822734.23</v>
      </c>
      <c r="Z278" s="94">
        <f t="shared" si="37"/>
        <v>269855.03999999998</v>
      </c>
      <c r="AB278" s="96" t="e">
        <f>+N278-#REF!</f>
        <v>#REF!</v>
      </c>
      <c r="AC278" s="27">
        <f>+N278-'[12]Приложение № 4'!E278</f>
        <v>0</v>
      </c>
      <c r="AE278" s="98" t="e">
        <f>+N278-#REF!</f>
        <v>#REF!</v>
      </c>
      <c r="AG278" s="101" t="s">
        <v>814</v>
      </c>
      <c r="AH278" s="102">
        <f t="shared" si="36"/>
        <v>287712.29393664002</v>
      </c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>
        <v>263712.29393664002</v>
      </c>
      <c r="AV278" s="102">
        <v>24000</v>
      </c>
      <c r="AW278" s="102"/>
    </row>
    <row r="279" spans="1:49" ht="15" x14ac:dyDescent="0.25">
      <c r="A279" s="76">
        <f t="shared" si="35"/>
        <v>267</v>
      </c>
      <c r="B279" s="77">
        <f t="shared" si="35"/>
        <v>267</v>
      </c>
      <c r="C279" s="77" t="s">
        <v>234</v>
      </c>
      <c r="D279" s="77" t="s">
        <v>815</v>
      </c>
      <c r="E279" s="78" t="s">
        <v>631</v>
      </c>
      <c r="F279" s="78"/>
      <c r="G279" s="78" t="s">
        <v>570</v>
      </c>
      <c r="H279" s="78" t="s">
        <v>582</v>
      </c>
      <c r="I279" s="78" t="s">
        <v>579</v>
      </c>
      <c r="J279" s="44">
        <v>2864.2</v>
      </c>
      <c r="K279" s="44">
        <v>2466.6</v>
      </c>
      <c r="L279" s="44">
        <v>0</v>
      </c>
      <c r="M279" s="79">
        <v>87</v>
      </c>
      <c r="N279" s="72">
        <f t="shared" si="32"/>
        <v>277763.57585664</v>
      </c>
      <c r="O279" s="44">
        <v>0</v>
      </c>
      <c r="P279" s="44"/>
      <c r="Q279" s="44"/>
      <c r="R279" s="44">
        <f>+'[12]Приложение № 4'!E279</f>
        <v>277763.57585664</v>
      </c>
      <c r="S279" s="44"/>
      <c r="T279" s="44"/>
      <c r="U279" s="44">
        <v>1410.12</v>
      </c>
      <c r="V279" s="44">
        <v>1410.12</v>
      </c>
      <c r="W279" s="80" t="s">
        <v>1101</v>
      </c>
      <c r="X279" s="96" t="e">
        <f>+N279-#REF!</f>
        <v>#REF!</v>
      </c>
      <c r="Y279" s="94">
        <v>650204.17000000004</v>
      </c>
      <c r="Z279" s="94">
        <f t="shared" si="37"/>
        <v>269352.71999999997</v>
      </c>
      <c r="AB279" s="96" t="e">
        <f>+N279-#REF!</f>
        <v>#REF!</v>
      </c>
      <c r="AC279" s="27">
        <f>+N279-'[12]Приложение № 4'!E279</f>
        <v>0</v>
      </c>
      <c r="AE279" s="98" t="e">
        <f>+N279-#REF!</f>
        <v>#REF!</v>
      </c>
      <c r="AG279" s="101" t="s">
        <v>815</v>
      </c>
      <c r="AH279" s="102">
        <f t="shared" si="36"/>
        <v>277763.57585664</v>
      </c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>
        <v>253763.57585664</v>
      </c>
      <c r="AV279" s="102">
        <v>24000</v>
      </c>
      <c r="AW279" s="102"/>
    </row>
    <row r="280" spans="1:49" ht="15" x14ac:dyDescent="0.25">
      <c r="A280" s="76">
        <f t="shared" si="35"/>
        <v>268</v>
      </c>
      <c r="B280" s="77">
        <f t="shared" si="35"/>
        <v>268</v>
      </c>
      <c r="C280" s="77" t="s">
        <v>234</v>
      </c>
      <c r="D280" s="77" t="s">
        <v>816</v>
      </c>
      <c r="E280" s="78" t="s">
        <v>599</v>
      </c>
      <c r="F280" s="78"/>
      <c r="G280" s="78" t="s">
        <v>570</v>
      </c>
      <c r="H280" s="78" t="s">
        <v>582</v>
      </c>
      <c r="I280" s="78" t="s">
        <v>575</v>
      </c>
      <c r="J280" s="44">
        <v>2807.9</v>
      </c>
      <c r="K280" s="44">
        <v>2367.4</v>
      </c>
      <c r="L280" s="44">
        <v>0</v>
      </c>
      <c r="M280" s="79">
        <v>76</v>
      </c>
      <c r="N280" s="72">
        <f t="shared" si="32"/>
        <v>218024.09335680003</v>
      </c>
      <c r="O280" s="44">
        <v>0</v>
      </c>
      <c r="P280" s="44"/>
      <c r="Q280" s="44"/>
      <c r="R280" s="44">
        <f>+'[12]Приложение № 4'!E280</f>
        <v>218024.09335680003</v>
      </c>
      <c r="S280" s="44"/>
      <c r="T280" s="44"/>
      <c r="U280" s="44">
        <v>1410.12</v>
      </c>
      <c r="V280" s="44">
        <v>1410.12</v>
      </c>
      <c r="W280" s="80" t="s">
        <v>1101</v>
      </c>
      <c r="X280" s="96" t="e">
        <f>+N280-#REF!</f>
        <v>#REF!</v>
      </c>
      <c r="Y280" s="94">
        <v>620742.48</v>
      </c>
      <c r="Z280" s="94">
        <f t="shared" si="37"/>
        <v>258520.08000000002</v>
      </c>
      <c r="AB280" s="96" t="e">
        <f>+N280-#REF!</f>
        <v>#REF!</v>
      </c>
      <c r="AC280" s="27">
        <f>+N280-'[12]Приложение № 4'!E280</f>
        <v>0</v>
      </c>
      <c r="AE280" s="98" t="e">
        <f>+N280-#REF!</f>
        <v>#REF!</v>
      </c>
      <c r="AG280" s="101" t="s">
        <v>816</v>
      </c>
      <c r="AH280" s="102">
        <f t="shared" si="36"/>
        <v>276696.69427968003</v>
      </c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>
        <v>252696.69427968006</v>
      </c>
      <c r="AV280" s="102">
        <v>24000</v>
      </c>
      <c r="AW280" s="102"/>
    </row>
    <row r="281" spans="1:49" ht="15" x14ac:dyDescent="0.25">
      <c r="A281" s="76">
        <f t="shared" si="35"/>
        <v>269</v>
      </c>
      <c r="B281" s="77">
        <f t="shared" si="35"/>
        <v>269</v>
      </c>
      <c r="C281" s="77" t="s">
        <v>234</v>
      </c>
      <c r="D281" s="77" t="s">
        <v>817</v>
      </c>
      <c r="E281" s="78" t="s">
        <v>1109</v>
      </c>
      <c r="F281" s="78"/>
      <c r="G281" s="78" t="s">
        <v>1112</v>
      </c>
      <c r="H281" s="78" t="s">
        <v>579</v>
      </c>
      <c r="I281" s="78" t="s">
        <v>579</v>
      </c>
      <c r="J281" s="44">
        <v>2784.1</v>
      </c>
      <c r="K281" s="44">
        <v>2783</v>
      </c>
      <c r="L281" s="44">
        <v>0</v>
      </c>
      <c r="M281" s="79">
        <v>91</v>
      </c>
      <c r="N281" s="72">
        <f t="shared" si="32"/>
        <v>394760.17777919996</v>
      </c>
      <c r="O281" s="44">
        <v>0</v>
      </c>
      <c r="P281" s="44"/>
      <c r="Q281" s="44"/>
      <c r="R281" s="44">
        <f>+'[12]Приложение № 4'!E281</f>
        <v>394760.17777919996</v>
      </c>
      <c r="S281" s="44"/>
      <c r="T281" s="44"/>
      <c r="U281" s="44">
        <v>2884.94</v>
      </c>
      <c r="V281" s="44">
        <v>2884.94</v>
      </c>
      <c r="W281" s="80" t="s">
        <v>1101</v>
      </c>
      <c r="X281" s="96" t="e">
        <f>+N281-#REF!</f>
        <v>#REF!</v>
      </c>
      <c r="Y281" s="94">
        <v>862612.79</v>
      </c>
      <c r="Z281" s="94">
        <f t="shared" si="37"/>
        <v>303903.59999999998</v>
      </c>
      <c r="AB281" s="96" t="e">
        <f>+N281-#REF!</f>
        <v>#REF!</v>
      </c>
      <c r="AC281" s="27">
        <f>+N281-'[12]Приложение № 4'!E281</f>
        <v>0</v>
      </c>
      <c r="AE281" s="98" t="e">
        <f>+N281-#REF!</f>
        <v>#REF!</v>
      </c>
      <c r="AG281" s="101" t="s">
        <v>817</v>
      </c>
      <c r="AH281" s="102">
        <f t="shared" si="36"/>
        <v>376839.48289919994</v>
      </c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>
        <v>352839.48289919994</v>
      </c>
      <c r="AV281" s="102">
        <v>24000</v>
      </c>
      <c r="AW281" s="102"/>
    </row>
    <row r="282" spans="1:49" ht="15" x14ac:dyDescent="0.25">
      <c r="A282" s="76">
        <f t="shared" si="35"/>
        <v>270</v>
      </c>
      <c r="B282" s="77">
        <f t="shared" si="35"/>
        <v>270</v>
      </c>
      <c r="C282" s="77" t="s">
        <v>234</v>
      </c>
      <c r="D282" s="77" t="s">
        <v>818</v>
      </c>
      <c r="E282" s="78" t="s">
        <v>592</v>
      </c>
      <c r="F282" s="78"/>
      <c r="G282" s="78" t="s">
        <v>570</v>
      </c>
      <c r="H282" s="78" t="s">
        <v>579</v>
      </c>
      <c r="I282" s="78" t="s">
        <v>572</v>
      </c>
      <c r="J282" s="44">
        <v>1437.6</v>
      </c>
      <c r="K282" s="44">
        <v>982</v>
      </c>
      <c r="L282" s="44">
        <v>0</v>
      </c>
      <c r="M282" s="79">
        <v>55</v>
      </c>
      <c r="N282" s="72">
        <f t="shared" si="32"/>
        <v>208540.08387089521</v>
      </c>
      <c r="O282" s="44">
        <v>0</v>
      </c>
      <c r="P282" s="44"/>
      <c r="Q282" s="44"/>
      <c r="R282" s="44">
        <f>+'[12]Приложение № 4'!E282</f>
        <v>208540.08387089521</v>
      </c>
      <c r="S282" s="44"/>
      <c r="T282" s="44"/>
      <c r="U282" s="44">
        <v>2228.12</v>
      </c>
      <c r="V282" s="44">
        <v>2228.12</v>
      </c>
      <c r="W282" s="80" t="s">
        <v>1101</v>
      </c>
      <c r="X282" s="96" t="e">
        <f>+N282-#REF!</f>
        <v>#REF!</v>
      </c>
      <c r="Y282" s="94">
        <v>473378.23</v>
      </c>
      <c r="Z282" s="94">
        <f t="shared" si="37"/>
        <v>107234.4</v>
      </c>
      <c r="AB282" s="96" t="e">
        <f>+N282-#REF!</f>
        <v>#REF!</v>
      </c>
      <c r="AC282" s="27">
        <f>+N282-'[12]Приложение № 4'!E282</f>
        <v>0</v>
      </c>
      <c r="AE282" s="98" t="e">
        <f>+N282-#REF!</f>
        <v>#REF!</v>
      </c>
      <c r="AG282" s="101" t="s">
        <v>818</v>
      </c>
      <c r="AH282" s="102">
        <f t="shared" si="36"/>
        <v>208540.08387089521</v>
      </c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>
        <v>184540.08387089521</v>
      </c>
      <c r="AV282" s="102">
        <v>24000</v>
      </c>
      <c r="AW282" s="102"/>
    </row>
    <row r="283" spans="1:49" ht="15" x14ac:dyDescent="0.25">
      <c r="A283" s="76">
        <f t="shared" si="35"/>
        <v>271</v>
      </c>
      <c r="B283" s="77">
        <f t="shared" si="35"/>
        <v>271</v>
      </c>
      <c r="C283" s="77" t="s">
        <v>234</v>
      </c>
      <c r="D283" s="77" t="s">
        <v>819</v>
      </c>
      <c r="E283" s="78" t="s">
        <v>594</v>
      </c>
      <c r="F283" s="78"/>
      <c r="G283" s="78" t="s">
        <v>570</v>
      </c>
      <c r="H283" s="78" t="s">
        <v>579</v>
      </c>
      <c r="I283" s="78" t="s">
        <v>575</v>
      </c>
      <c r="J283" s="44">
        <v>2238.1999999999998</v>
      </c>
      <c r="K283" s="44">
        <v>2071.35</v>
      </c>
      <c r="L283" s="44">
        <v>0</v>
      </c>
      <c r="M283" s="79">
        <v>74</v>
      </c>
      <c r="N283" s="72">
        <f t="shared" si="32"/>
        <v>41034.599999999991</v>
      </c>
      <c r="O283" s="44">
        <v>0</v>
      </c>
      <c r="P283" s="44"/>
      <c r="Q283" s="44"/>
      <c r="R283" s="44">
        <f>+'[12]Приложение № 4'!E283</f>
        <v>41034.599999999991</v>
      </c>
      <c r="S283" s="44"/>
      <c r="T283" s="44"/>
      <c r="U283" s="44">
        <v>3230.02</v>
      </c>
      <c r="V283" s="44">
        <v>3230.02</v>
      </c>
      <c r="W283" s="80" t="s">
        <v>1101</v>
      </c>
      <c r="X283" s="96" t="e">
        <f>+N283-#REF!</f>
        <v>#REF!</v>
      </c>
      <c r="Y283" s="94">
        <v>550928.06000000006</v>
      </c>
      <c r="Z283" s="94">
        <f t="shared" si="37"/>
        <v>226191.41999999998</v>
      </c>
      <c r="AB283" s="96" t="e">
        <f>+N283-#REF!</f>
        <v>#REF!</v>
      </c>
      <c r="AC283" s="27">
        <f>+N283-'[12]Приложение № 4'!E283</f>
        <v>0</v>
      </c>
      <c r="AE283" s="98" t="e">
        <f>+N283-#REF!</f>
        <v>#REF!</v>
      </c>
      <c r="AG283" s="101" t="s">
        <v>819</v>
      </c>
      <c r="AH283" s="102">
        <f t="shared" si="36"/>
        <v>357706.72999680002</v>
      </c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>
        <v>333706.72999680002</v>
      </c>
      <c r="AV283" s="102">
        <v>24000</v>
      </c>
      <c r="AW283" s="102"/>
    </row>
    <row r="284" spans="1:49" ht="15" x14ac:dyDescent="0.25">
      <c r="A284" s="76">
        <f t="shared" si="35"/>
        <v>272</v>
      </c>
      <c r="B284" s="77">
        <f t="shared" si="35"/>
        <v>272</v>
      </c>
      <c r="C284" s="77" t="s">
        <v>234</v>
      </c>
      <c r="D284" s="77" t="s">
        <v>820</v>
      </c>
      <c r="E284" s="78" t="s">
        <v>625</v>
      </c>
      <c r="F284" s="78"/>
      <c r="G284" s="78" t="s">
        <v>570</v>
      </c>
      <c r="H284" s="78" t="s">
        <v>579</v>
      </c>
      <c r="I284" s="78" t="s">
        <v>579</v>
      </c>
      <c r="J284" s="44">
        <v>2629.8</v>
      </c>
      <c r="K284" s="44">
        <v>1855</v>
      </c>
      <c r="L284" s="44">
        <v>0</v>
      </c>
      <c r="M284" s="79">
        <v>59</v>
      </c>
      <c r="N284" s="72">
        <f t="shared" si="32"/>
        <v>541814.91922176001</v>
      </c>
      <c r="O284" s="44">
        <v>0</v>
      </c>
      <c r="P284" s="44"/>
      <c r="Q284" s="44"/>
      <c r="R284" s="44">
        <f>+'[12]Приложение № 4'!E284</f>
        <v>541814.91922176001</v>
      </c>
      <c r="S284" s="44"/>
      <c r="T284" s="44"/>
      <c r="U284" s="44">
        <v>4640.1400000000003</v>
      </c>
      <c r="V284" s="44">
        <v>4640.1400000000003</v>
      </c>
      <c r="W284" s="80" t="s">
        <v>1101</v>
      </c>
      <c r="X284" s="96" t="e">
        <f>+N284-#REF!</f>
        <v>#REF!</v>
      </c>
      <c r="Y284" s="94">
        <v>519352.06</v>
      </c>
      <c r="Z284" s="94">
        <f t="shared" si="37"/>
        <v>202566</v>
      </c>
      <c r="AB284" s="96" t="e">
        <f>+N284-#REF!</f>
        <v>#REF!</v>
      </c>
      <c r="AC284" s="27">
        <f>+N284-'[12]Приложение № 4'!E284</f>
        <v>0</v>
      </c>
      <c r="AE284" s="98" t="e">
        <f>+N284-#REF!</f>
        <v>#REF!</v>
      </c>
      <c r="AG284" s="101" t="s">
        <v>820</v>
      </c>
      <c r="AH284" s="102">
        <f t="shared" si="36"/>
        <v>541814.91922176001</v>
      </c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>
        <v>517814.91922175995</v>
      </c>
      <c r="AV284" s="102">
        <v>24000</v>
      </c>
      <c r="AW284" s="102"/>
    </row>
    <row r="285" spans="1:49" ht="15" x14ac:dyDescent="0.25">
      <c r="A285" s="76">
        <f t="shared" si="35"/>
        <v>273</v>
      </c>
      <c r="B285" s="77">
        <f t="shared" si="35"/>
        <v>273</v>
      </c>
      <c r="C285" s="77" t="s">
        <v>234</v>
      </c>
      <c r="D285" s="77" t="s">
        <v>983</v>
      </c>
      <c r="E285" s="78" t="s">
        <v>581</v>
      </c>
      <c r="F285" s="78"/>
      <c r="G285" s="78" t="s">
        <v>570</v>
      </c>
      <c r="H285" s="78" t="s">
        <v>582</v>
      </c>
      <c r="I285" s="78" t="s">
        <v>575</v>
      </c>
      <c r="J285" s="44">
        <v>2466.9</v>
      </c>
      <c r="K285" s="44">
        <v>2149.6</v>
      </c>
      <c r="L285" s="44">
        <v>0</v>
      </c>
      <c r="M285" s="79">
        <v>105</v>
      </c>
      <c r="N285" s="72">
        <f t="shared" ref="N285:N307" si="38">+P285+Q285+R285+S285+T285</f>
        <v>268357.36501248</v>
      </c>
      <c r="O285" s="44">
        <v>0</v>
      </c>
      <c r="P285" s="44"/>
      <c r="Q285" s="44"/>
      <c r="R285" s="44">
        <f>+'[12]Приложение № 4'!E285</f>
        <v>268357.36501248</v>
      </c>
      <c r="S285" s="44"/>
      <c r="T285" s="44"/>
      <c r="U285" s="44">
        <v>1410.12</v>
      </c>
      <c r="V285" s="44">
        <v>1410.12</v>
      </c>
      <c r="W285" s="80" t="s">
        <v>1101</v>
      </c>
      <c r="X285" s="96" t="e">
        <f>+N285-#REF!</f>
        <v>#REF!</v>
      </c>
      <c r="Y285" s="94">
        <v>531348.36</v>
      </c>
      <c r="Z285" s="94">
        <f t="shared" si="37"/>
        <v>234736.31999999995</v>
      </c>
      <c r="AB285" s="96" t="e">
        <f>+N285-#REF!</f>
        <v>#REF!</v>
      </c>
      <c r="AC285" s="27">
        <f>+N285-'[12]Приложение № 4'!E285</f>
        <v>0</v>
      </c>
      <c r="AE285" s="98" t="e">
        <f>+N285-#REF!</f>
        <v>#REF!</v>
      </c>
      <c r="AG285" s="101" t="s">
        <v>983</v>
      </c>
      <c r="AH285" s="102">
        <f t="shared" si="36"/>
        <v>268357.36501248</v>
      </c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>
        <v>244357.36501248</v>
      </c>
      <c r="AV285" s="102">
        <v>24000</v>
      </c>
      <c r="AW285" s="102"/>
    </row>
    <row r="286" spans="1:49" ht="15" x14ac:dyDescent="0.25">
      <c r="A286" s="76">
        <f t="shared" si="35"/>
        <v>274</v>
      </c>
      <c r="B286" s="77">
        <f t="shared" si="35"/>
        <v>274</v>
      </c>
      <c r="C286" s="77" t="s">
        <v>234</v>
      </c>
      <c r="D286" s="77" t="s">
        <v>984</v>
      </c>
      <c r="E286" s="78" t="s">
        <v>578</v>
      </c>
      <c r="F286" s="78"/>
      <c r="G286" s="78" t="s">
        <v>570</v>
      </c>
      <c r="H286" s="78" t="s">
        <v>582</v>
      </c>
      <c r="I286" s="78" t="s">
        <v>579</v>
      </c>
      <c r="J286" s="44">
        <v>3366.4</v>
      </c>
      <c r="K286" s="44">
        <v>2837.3</v>
      </c>
      <c r="L286" s="44">
        <v>0</v>
      </c>
      <c r="M286" s="79">
        <v>90</v>
      </c>
      <c r="N286" s="72">
        <f t="shared" si="38"/>
        <v>287280.23532288003</v>
      </c>
      <c r="O286" s="44">
        <v>0</v>
      </c>
      <c r="P286" s="44"/>
      <c r="Q286" s="44"/>
      <c r="R286" s="44">
        <f>+'[12]Приложение № 4'!E286</f>
        <v>287280.23532288003</v>
      </c>
      <c r="S286" s="44"/>
      <c r="T286" s="44"/>
      <c r="U286" s="44">
        <v>1410.12</v>
      </c>
      <c r="V286" s="44">
        <v>1410.12</v>
      </c>
      <c r="W286" s="80" t="s">
        <v>1101</v>
      </c>
      <c r="X286" s="96" t="e">
        <f>+N286-#REF!</f>
        <v>#REF!</v>
      </c>
      <c r="Y286" s="94">
        <v>730192.68</v>
      </c>
      <c r="Z286" s="94">
        <f t="shared" si="37"/>
        <v>309833.16000000003</v>
      </c>
      <c r="AB286" s="96" t="e">
        <f>+N286-#REF!</f>
        <v>#REF!</v>
      </c>
      <c r="AC286" s="27">
        <f>+N286-'[12]Приложение № 4'!E286</f>
        <v>0</v>
      </c>
      <c r="AE286" s="98" t="e">
        <f>+N286-#REF!</f>
        <v>#REF!</v>
      </c>
      <c r="AG286" s="101" t="s">
        <v>984</v>
      </c>
      <c r="AH286" s="102">
        <f t="shared" si="36"/>
        <v>287280.23532288003</v>
      </c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>
        <v>263280.23532288003</v>
      </c>
      <c r="AV286" s="102">
        <v>24000</v>
      </c>
      <c r="AW286" s="102"/>
    </row>
    <row r="287" spans="1:49" ht="15" x14ac:dyDescent="0.25">
      <c r="A287" s="76">
        <f t="shared" si="35"/>
        <v>275</v>
      </c>
      <c r="B287" s="77">
        <f t="shared" si="35"/>
        <v>275</v>
      </c>
      <c r="C287" s="77" t="s">
        <v>234</v>
      </c>
      <c r="D287" s="77" t="s">
        <v>985</v>
      </c>
      <c r="E287" s="78" t="s">
        <v>1120</v>
      </c>
      <c r="F287" s="78"/>
      <c r="G287" s="78" t="s">
        <v>570</v>
      </c>
      <c r="H287" s="78" t="s">
        <v>582</v>
      </c>
      <c r="I287" s="78" t="s">
        <v>579</v>
      </c>
      <c r="J287" s="44">
        <v>3381.4</v>
      </c>
      <c r="K287" s="44">
        <v>2449</v>
      </c>
      <c r="L287" s="44">
        <v>0</v>
      </c>
      <c r="M287" s="79">
        <v>88</v>
      </c>
      <c r="N287" s="72">
        <f t="shared" si="38"/>
        <v>281461.13080186542</v>
      </c>
      <c r="O287" s="44">
        <v>0</v>
      </c>
      <c r="P287" s="44"/>
      <c r="Q287" s="44"/>
      <c r="R287" s="44">
        <f>+'[12]Приложение № 4'!E287</f>
        <v>281461.13080186542</v>
      </c>
      <c r="S287" s="44"/>
      <c r="T287" s="44"/>
      <c r="U287" s="44">
        <f>N287/K287</f>
        <v>114.92900400239503</v>
      </c>
      <c r="V287" s="44">
        <v>1172.2830200640003</v>
      </c>
      <c r="W287" s="80" t="s">
        <v>1101</v>
      </c>
      <c r="X287" s="96" t="e">
        <f>+N287-#REF!</f>
        <v>#REF!</v>
      </c>
      <c r="Y287" s="94">
        <v>698628.94</v>
      </c>
      <c r="Z287" s="94">
        <f t="shared" si="37"/>
        <v>267430.8</v>
      </c>
      <c r="AB287" s="96" t="e">
        <f>+N287-#REF!</f>
        <v>#REF!</v>
      </c>
      <c r="AC287" s="27">
        <f>+N287-'[12]Приложение № 4'!E287</f>
        <v>0</v>
      </c>
      <c r="AE287" s="98" t="e">
        <f>+N287-#REF!</f>
        <v>#REF!</v>
      </c>
      <c r="AG287" s="101" t="s">
        <v>985</v>
      </c>
      <c r="AH287" s="102">
        <f t="shared" si="36"/>
        <v>281461.13080186542</v>
      </c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>
        <v>237701.29342906541</v>
      </c>
      <c r="AV287" s="102">
        <v>43759.837372800001</v>
      </c>
      <c r="AW287" s="102"/>
    </row>
    <row r="288" spans="1:49" ht="15" x14ac:dyDescent="0.25">
      <c r="A288" s="76">
        <f t="shared" si="35"/>
        <v>276</v>
      </c>
      <c r="B288" s="77">
        <f t="shared" si="35"/>
        <v>276</v>
      </c>
      <c r="C288" s="77" t="s">
        <v>234</v>
      </c>
      <c r="D288" s="77" t="s">
        <v>986</v>
      </c>
      <c r="E288" s="78" t="s">
        <v>605</v>
      </c>
      <c r="F288" s="78"/>
      <c r="G288" s="78" t="s">
        <v>570</v>
      </c>
      <c r="H288" s="78" t="s">
        <v>582</v>
      </c>
      <c r="I288" s="78" t="s">
        <v>579</v>
      </c>
      <c r="J288" s="44">
        <v>3395.5</v>
      </c>
      <c r="K288" s="44">
        <v>2449.9</v>
      </c>
      <c r="L288" s="44">
        <v>0</v>
      </c>
      <c r="M288" s="79">
        <v>86</v>
      </c>
      <c r="N288" s="72">
        <f t="shared" si="38"/>
        <v>287831.67855359998</v>
      </c>
      <c r="O288" s="44">
        <v>0</v>
      </c>
      <c r="P288" s="44"/>
      <c r="Q288" s="44"/>
      <c r="R288" s="44">
        <f>+'[12]Приложение № 4'!E288</f>
        <v>287831.67855359998</v>
      </c>
      <c r="S288" s="44"/>
      <c r="T288" s="44"/>
      <c r="U288" s="44">
        <v>1410.12</v>
      </c>
      <c r="V288" s="44">
        <v>1410.12</v>
      </c>
      <c r="W288" s="80" t="s">
        <v>1101</v>
      </c>
      <c r="X288" s="96" t="e">
        <f>+N288-#REF!</f>
        <v>#REF!</v>
      </c>
      <c r="Y288" s="94">
        <v>909308.19</v>
      </c>
      <c r="Z288" s="94">
        <f t="shared" si="37"/>
        <v>267529.08</v>
      </c>
      <c r="AB288" s="96" t="e">
        <f>+N288-#REF!</f>
        <v>#REF!</v>
      </c>
      <c r="AC288" s="27">
        <f>+N288-'[12]Приложение № 4'!E288</f>
        <v>0</v>
      </c>
      <c r="AE288" s="98" t="e">
        <f>+N288-#REF!</f>
        <v>#REF!</v>
      </c>
      <c r="AG288" s="101" t="s">
        <v>986</v>
      </c>
      <c r="AH288" s="102">
        <f t="shared" si="36"/>
        <v>287831.67855359998</v>
      </c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>
        <v>263831.67855359998</v>
      </c>
      <c r="AV288" s="102">
        <v>24000</v>
      </c>
      <c r="AW288" s="102"/>
    </row>
    <row r="289" spans="1:49" ht="15" x14ac:dyDescent="0.25">
      <c r="A289" s="76">
        <f t="shared" si="35"/>
        <v>277</v>
      </c>
      <c r="B289" s="77">
        <f t="shared" si="35"/>
        <v>277</v>
      </c>
      <c r="C289" s="77" t="s">
        <v>234</v>
      </c>
      <c r="D289" s="77" t="s">
        <v>987</v>
      </c>
      <c r="E289" s="78" t="s">
        <v>584</v>
      </c>
      <c r="F289" s="78"/>
      <c r="G289" s="78" t="s">
        <v>570</v>
      </c>
      <c r="H289" s="78" t="s">
        <v>582</v>
      </c>
      <c r="I289" s="78" t="s">
        <v>579</v>
      </c>
      <c r="J289" s="44">
        <v>3313.8</v>
      </c>
      <c r="K289" s="44">
        <v>2365.9</v>
      </c>
      <c r="L289" s="44">
        <v>0</v>
      </c>
      <c r="M289" s="79">
        <v>83</v>
      </c>
      <c r="N289" s="72">
        <f t="shared" si="38"/>
        <v>322815.71727245557</v>
      </c>
      <c r="O289" s="44">
        <v>0</v>
      </c>
      <c r="P289" s="44"/>
      <c r="Q289" s="44"/>
      <c r="R289" s="44">
        <f>+'[12]Приложение № 4'!E289</f>
        <v>322815.71727245557</v>
      </c>
      <c r="S289" s="44"/>
      <c r="T289" s="44"/>
      <c r="U289" s="44">
        <v>2228.12</v>
      </c>
      <c r="V289" s="44">
        <v>2228.12</v>
      </c>
      <c r="W289" s="80" t="s">
        <v>1101</v>
      </c>
      <c r="X289" s="96" t="e">
        <f>+N289-#REF!</f>
        <v>#REF!</v>
      </c>
      <c r="Y289" s="94">
        <v>709596.33</v>
      </c>
      <c r="Z289" s="94">
        <f t="shared" si="37"/>
        <v>258356.27999999997</v>
      </c>
      <c r="AB289" s="96" t="e">
        <f>+N289-#REF!</f>
        <v>#REF!</v>
      </c>
      <c r="AC289" s="27">
        <f>+N289-'[12]Приложение № 4'!E289</f>
        <v>0</v>
      </c>
      <c r="AE289" s="98" t="e">
        <f>+N289-#REF!</f>
        <v>#REF!</v>
      </c>
      <c r="AG289" s="101" t="s">
        <v>987</v>
      </c>
      <c r="AH289" s="102">
        <f t="shared" si="36"/>
        <v>322815.71727245557</v>
      </c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>
        <v>298815.71727245557</v>
      </c>
      <c r="AV289" s="102">
        <v>24000</v>
      </c>
      <c r="AW289" s="102"/>
    </row>
    <row r="290" spans="1:49" ht="15" x14ac:dyDescent="0.25">
      <c r="A290" s="76">
        <f t="shared" si="35"/>
        <v>278</v>
      </c>
      <c r="B290" s="77">
        <f t="shared" si="35"/>
        <v>278</v>
      </c>
      <c r="C290" s="77" t="s">
        <v>234</v>
      </c>
      <c r="D290" s="77" t="s">
        <v>988</v>
      </c>
      <c r="E290" s="78" t="s">
        <v>578</v>
      </c>
      <c r="F290" s="78"/>
      <c r="G290" s="78" t="s">
        <v>570</v>
      </c>
      <c r="H290" s="78" t="s">
        <v>582</v>
      </c>
      <c r="I290" s="78" t="s">
        <v>579</v>
      </c>
      <c r="J290" s="44">
        <v>3306.7</v>
      </c>
      <c r="K290" s="44">
        <v>2790.3</v>
      </c>
      <c r="L290" s="44">
        <v>0</v>
      </c>
      <c r="M290" s="79">
        <v>110</v>
      </c>
      <c r="N290" s="72">
        <f t="shared" si="38"/>
        <v>241502.54621568002</v>
      </c>
      <c r="O290" s="44">
        <v>0</v>
      </c>
      <c r="P290" s="44"/>
      <c r="Q290" s="44"/>
      <c r="R290" s="44">
        <f>+'[12]Приложение № 4'!E290</f>
        <v>241502.54621568002</v>
      </c>
      <c r="S290" s="44"/>
      <c r="T290" s="44"/>
      <c r="U290" s="44">
        <v>1410.12</v>
      </c>
      <c r="V290" s="44">
        <v>1410.12</v>
      </c>
      <c r="W290" s="80" t="s">
        <v>1101</v>
      </c>
      <c r="X290" s="96" t="e">
        <f>+N290-#REF!</f>
        <v>#REF!</v>
      </c>
      <c r="Y290" s="94">
        <v>650741.23</v>
      </c>
      <c r="Z290" s="94">
        <f t="shared" si="37"/>
        <v>304700.76</v>
      </c>
      <c r="AB290" s="96" t="e">
        <f>+N290-#REF!</f>
        <v>#REF!</v>
      </c>
      <c r="AC290" s="27">
        <f>+N290-'[12]Приложение № 4'!E290</f>
        <v>0</v>
      </c>
      <c r="AE290" s="98" t="e">
        <f>+N290-#REF!</f>
        <v>#REF!</v>
      </c>
      <c r="AG290" s="101" t="s">
        <v>988</v>
      </c>
      <c r="AH290" s="102">
        <f t="shared" si="36"/>
        <v>306517.909095168</v>
      </c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>
        <v>282517.909095168</v>
      </c>
      <c r="AV290" s="102">
        <v>24000</v>
      </c>
      <c r="AW290" s="102"/>
    </row>
    <row r="291" spans="1:49" ht="15" x14ac:dyDescent="0.25">
      <c r="A291" s="76">
        <f t="shared" si="35"/>
        <v>279</v>
      </c>
      <c r="B291" s="77">
        <f t="shared" si="35"/>
        <v>279</v>
      </c>
      <c r="C291" s="77" t="s">
        <v>234</v>
      </c>
      <c r="D291" s="77" t="s">
        <v>989</v>
      </c>
      <c r="E291" s="78" t="s">
        <v>740</v>
      </c>
      <c r="F291" s="78"/>
      <c r="G291" s="78" t="s">
        <v>570</v>
      </c>
      <c r="H291" s="78" t="s">
        <v>579</v>
      </c>
      <c r="I291" s="78"/>
      <c r="J291" s="44">
        <v>1408</v>
      </c>
      <c r="K291" s="44">
        <v>825.1</v>
      </c>
      <c r="L291" s="44"/>
      <c r="M291" s="79"/>
      <c r="N291" s="72">
        <f t="shared" si="38"/>
        <v>898204.23633291502</v>
      </c>
      <c r="O291" s="44">
        <v>0</v>
      </c>
      <c r="P291" s="44"/>
      <c r="Q291" s="44"/>
      <c r="R291" s="44">
        <f>+'[12]Приложение № 4'!E291</f>
        <v>898204.23633291502</v>
      </c>
      <c r="S291" s="44"/>
      <c r="T291" s="44"/>
      <c r="U291" s="44">
        <v>8293.15</v>
      </c>
      <c r="V291" s="44">
        <v>8293.15</v>
      </c>
      <c r="W291" s="80" t="s">
        <v>1101</v>
      </c>
      <c r="X291" s="96" t="e">
        <f>+N291-#REF!</f>
        <v>#REF!</v>
      </c>
      <c r="Z291" s="94">
        <f t="shared" si="37"/>
        <v>90100.92</v>
      </c>
      <c r="AB291" s="96" t="e">
        <f>+N291-#REF!</f>
        <v>#REF!</v>
      </c>
      <c r="AC291" s="27">
        <f>+N291-'[12]Приложение № 4'!E291</f>
        <v>0</v>
      </c>
      <c r="AE291" s="98" t="e">
        <f>+N291-#REF!</f>
        <v>#REF!</v>
      </c>
      <c r="AG291" s="101" t="s">
        <v>989</v>
      </c>
      <c r="AH291" s="102">
        <f t="shared" si="36"/>
        <v>898204.23633291502</v>
      </c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>
        <v>874204.23633291502</v>
      </c>
      <c r="AV291" s="102">
        <v>24000</v>
      </c>
      <c r="AW291" s="102"/>
    </row>
    <row r="292" spans="1:49" ht="15" x14ac:dyDescent="0.25">
      <c r="A292" s="76">
        <f t="shared" si="35"/>
        <v>280</v>
      </c>
      <c r="B292" s="77">
        <f t="shared" si="35"/>
        <v>280</v>
      </c>
      <c r="C292" s="77" t="s">
        <v>234</v>
      </c>
      <c r="D292" s="77" t="s">
        <v>990</v>
      </c>
      <c r="E292" s="78" t="s">
        <v>740</v>
      </c>
      <c r="F292" s="78"/>
      <c r="G292" s="78" t="s">
        <v>570</v>
      </c>
      <c r="H292" s="78" t="s">
        <v>579</v>
      </c>
      <c r="I292" s="78"/>
      <c r="J292" s="44">
        <v>1945.1</v>
      </c>
      <c r="K292" s="44">
        <v>927.4</v>
      </c>
      <c r="L292" s="44"/>
      <c r="M292" s="79"/>
      <c r="N292" s="72">
        <f t="shared" si="38"/>
        <v>913643.51444501453</v>
      </c>
      <c r="O292" s="44">
        <v>0</v>
      </c>
      <c r="P292" s="44"/>
      <c r="Q292" s="44"/>
      <c r="R292" s="44">
        <f>+'[12]Приложение № 4'!E292</f>
        <v>913643.51444501453</v>
      </c>
      <c r="S292" s="44"/>
      <c r="T292" s="44"/>
      <c r="U292" s="44">
        <v>8293.15</v>
      </c>
      <c r="V292" s="44">
        <v>8293.15</v>
      </c>
      <c r="W292" s="80" t="s">
        <v>1101</v>
      </c>
      <c r="X292" s="96" t="e">
        <f>+N292-#REF!</f>
        <v>#REF!</v>
      </c>
      <c r="Z292" s="94">
        <f t="shared" si="37"/>
        <v>101272.08</v>
      </c>
      <c r="AB292" s="96" t="e">
        <f>+N292-#REF!</f>
        <v>#REF!</v>
      </c>
      <c r="AC292" s="27">
        <f>+N292-'[12]Приложение № 4'!E292</f>
        <v>0</v>
      </c>
      <c r="AE292" s="98" t="e">
        <f>+N292-#REF!</f>
        <v>#REF!</v>
      </c>
      <c r="AG292" s="101" t="s">
        <v>990</v>
      </c>
      <c r="AH292" s="102">
        <f t="shared" si="36"/>
        <v>913643.51444501453</v>
      </c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>
        <v>889643.51444501453</v>
      </c>
      <c r="AV292" s="102">
        <v>24000</v>
      </c>
      <c r="AW292" s="102"/>
    </row>
    <row r="293" spans="1:49" ht="15" x14ac:dyDescent="0.25">
      <c r="A293" s="76">
        <f t="shared" si="35"/>
        <v>281</v>
      </c>
      <c r="B293" s="77">
        <f t="shared" si="35"/>
        <v>281</v>
      </c>
      <c r="C293" s="77" t="s">
        <v>1130</v>
      </c>
      <c r="D293" s="77" t="s">
        <v>991</v>
      </c>
      <c r="E293" s="78" t="s">
        <v>631</v>
      </c>
      <c r="F293" s="78"/>
      <c r="G293" s="78" t="s">
        <v>570</v>
      </c>
      <c r="H293" s="78" t="s">
        <v>572</v>
      </c>
      <c r="I293" s="78" t="s">
        <v>572</v>
      </c>
      <c r="J293" s="44">
        <v>898.8</v>
      </c>
      <c r="K293" s="44">
        <v>806.6</v>
      </c>
      <c r="L293" s="44">
        <v>0</v>
      </c>
      <c r="M293" s="79">
        <v>47</v>
      </c>
      <c r="N293" s="72">
        <f t="shared" si="38"/>
        <v>139829.15</v>
      </c>
      <c r="O293" s="44">
        <v>0</v>
      </c>
      <c r="P293" s="44"/>
      <c r="Q293" s="44"/>
      <c r="R293" s="44">
        <f>+'[12]Приложение № 4'!E293</f>
        <v>139829.15</v>
      </c>
      <c r="S293" s="44"/>
      <c r="T293" s="44"/>
      <c r="U293" s="44">
        <v>4018.93</v>
      </c>
      <c r="V293" s="44">
        <v>4018.93</v>
      </c>
      <c r="W293" s="80" t="s">
        <v>1101</v>
      </c>
      <c r="X293" s="96" t="e">
        <f>+N293-#REF!</f>
        <v>#REF!</v>
      </c>
      <c r="Z293" s="94">
        <f>+(K293*9.1+L293*18.19)*12</f>
        <v>88080.72</v>
      </c>
      <c r="AB293" s="96" t="e">
        <f>+N293-#REF!</f>
        <v>#REF!</v>
      </c>
      <c r="AC293" s="27">
        <f>+N293-'[12]Приложение № 4'!E293</f>
        <v>0</v>
      </c>
      <c r="AE293" s="98" t="e">
        <f>+N293-#REF!</f>
        <v>#REF!</v>
      </c>
      <c r="AG293" s="101" t="s">
        <v>991</v>
      </c>
      <c r="AH293" s="102">
        <f t="shared" si="36"/>
        <v>140425.13236862977</v>
      </c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>
        <v>116425.13236862977</v>
      </c>
      <c r="AV293" s="102">
        <v>24000</v>
      </c>
      <c r="AW293" s="102"/>
    </row>
    <row r="294" spans="1:49" ht="15" x14ac:dyDescent="0.25">
      <c r="A294" s="76">
        <f t="shared" si="35"/>
        <v>282</v>
      </c>
      <c r="B294" s="77">
        <f t="shared" si="35"/>
        <v>282</v>
      </c>
      <c r="C294" s="77" t="s">
        <v>95</v>
      </c>
      <c r="D294" s="77" t="s">
        <v>821</v>
      </c>
      <c r="E294" s="78" t="s">
        <v>594</v>
      </c>
      <c r="F294" s="78"/>
      <c r="G294" s="78" t="s">
        <v>570</v>
      </c>
      <c r="H294" s="78" t="s">
        <v>572</v>
      </c>
      <c r="I294" s="78" t="s">
        <v>572</v>
      </c>
      <c r="J294" s="44">
        <v>473.3</v>
      </c>
      <c r="K294" s="44">
        <v>439.1</v>
      </c>
      <c r="L294" s="44">
        <v>0</v>
      </c>
      <c r="M294" s="79">
        <v>9</v>
      </c>
      <c r="N294" s="72">
        <f t="shared" si="38"/>
        <v>325345.74999999994</v>
      </c>
      <c r="O294" s="44">
        <v>0</v>
      </c>
      <c r="P294" s="44">
        <v>65069.15</v>
      </c>
      <c r="Q294" s="44"/>
      <c r="R294" s="44">
        <v>260276.59999999995</v>
      </c>
      <c r="S294" s="44"/>
      <c r="T294" s="44"/>
      <c r="U294" s="44">
        <v>12839.29</v>
      </c>
      <c r="V294" s="44">
        <v>12839.29</v>
      </c>
      <c r="W294" s="80" t="s">
        <v>1101</v>
      </c>
      <c r="X294" s="96" t="e">
        <f>+N294-#REF!</f>
        <v>#REF!</v>
      </c>
      <c r="Y294" s="94">
        <v>77305.740000000005</v>
      </c>
      <c r="Z294" s="94">
        <f>+(K294*9.1+L294*18.19)*12</f>
        <v>47949.72</v>
      </c>
      <c r="AB294" s="96" t="e">
        <f>+N294-#REF!</f>
        <v>#REF!</v>
      </c>
      <c r="AC294" s="27">
        <f>+N294-'[12]Приложение № 4'!E294</f>
        <v>0</v>
      </c>
      <c r="AE294" s="98" t="e">
        <f>+N294-#REF!</f>
        <v>#REF!</v>
      </c>
      <c r="AG294" s="101" t="s">
        <v>821</v>
      </c>
      <c r="AH294" s="102">
        <f t="shared" si="36"/>
        <v>264053.02735891199</v>
      </c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>
        <v>224021.23887571198</v>
      </c>
      <c r="AV294" s="102">
        <v>40031.788483199998</v>
      </c>
      <c r="AW294" s="102"/>
    </row>
    <row r="295" spans="1:49" ht="15" x14ac:dyDescent="0.25">
      <c r="A295" s="76">
        <f t="shared" si="35"/>
        <v>283</v>
      </c>
      <c r="B295" s="77">
        <f t="shared" si="35"/>
        <v>283</v>
      </c>
      <c r="C295" s="77" t="s">
        <v>1143</v>
      </c>
      <c r="D295" s="77" t="s">
        <v>1190</v>
      </c>
      <c r="E295" s="78">
        <v>1971</v>
      </c>
      <c r="F295" s="78">
        <v>1971</v>
      </c>
      <c r="G295" s="78" t="s">
        <v>52</v>
      </c>
      <c r="H295" s="78">
        <v>2</v>
      </c>
      <c r="I295" s="78">
        <v>1</v>
      </c>
      <c r="J295" s="44">
        <v>528</v>
      </c>
      <c r="K295" s="44">
        <v>486.3</v>
      </c>
      <c r="L295" s="44">
        <v>0</v>
      </c>
      <c r="M295" s="79">
        <v>41</v>
      </c>
      <c r="N295" s="72">
        <f t="shared" si="38"/>
        <v>193273.23000000004</v>
      </c>
      <c r="O295" s="44"/>
      <c r="P295" s="68"/>
      <c r="Q295" s="68"/>
      <c r="R295" s="44">
        <f>+'[12]Приложение № 4'!E295</f>
        <v>193273.23000000004</v>
      </c>
      <c r="S295" s="68"/>
      <c r="T295" s="68"/>
      <c r="U295" s="68">
        <f t="shared" ref="U295:V297" si="39">$N295/($K295+$L295)</f>
        <v>397.43621221468237</v>
      </c>
      <c r="V295" s="68">
        <f t="shared" si="39"/>
        <v>397.43621221468237</v>
      </c>
      <c r="W295" s="80" t="s">
        <v>1101</v>
      </c>
      <c r="X295" s="76"/>
      <c r="Y295" s="77"/>
      <c r="Z295" s="77"/>
      <c r="AA295" s="77"/>
      <c r="AC295" s="27">
        <f>+N295-'[12]Приложение № 4'!E295</f>
        <v>0</v>
      </c>
    </row>
    <row r="296" spans="1:49" ht="15" x14ac:dyDescent="0.25">
      <c r="A296" s="76">
        <f t="shared" si="35"/>
        <v>284</v>
      </c>
      <c r="B296" s="77">
        <f t="shared" si="35"/>
        <v>284</v>
      </c>
      <c r="C296" s="77" t="s">
        <v>1143</v>
      </c>
      <c r="D296" s="77" t="s">
        <v>1191</v>
      </c>
      <c r="E296" s="78">
        <v>1978</v>
      </c>
      <c r="F296" s="78">
        <v>1978</v>
      </c>
      <c r="G296" s="78" t="s">
        <v>52</v>
      </c>
      <c r="H296" s="78">
        <v>2</v>
      </c>
      <c r="I296" s="78">
        <v>2</v>
      </c>
      <c r="J296" s="44">
        <v>522.4</v>
      </c>
      <c r="K296" s="44">
        <v>480.6</v>
      </c>
      <c r="L296" s="44">
        <v>0</v>
      </c>
      <c r="M296" s="79">
        <v>38</v>
      </c>
      <c r="N296" s="72">
        <f t="shared" si="38"/>
        <v>220690.63999999998</v>
      </c>
      <c r="O296" s="44"/>
      <c r="P296" s="68"/>
      <c r="Q296" s="68"/>
      <c r="R296" s="44">
        <f>+'[12]Приложение № 4'!E296</f>
        <v>220690.63999999998</v>
      </c>
      <c r="S296" s="68"/>
      <c r="T296" s="68"/>
      <c r="U296" s="68">
        <f t="shared" si="39"/>
        <v>459.19816895547228</v>
      </c>
      <c r="V296" s="68">
        <f t="shared" si="39"/>
        <v>459.19816895547228</v>
      </c>
      <c r="W296" s="80" t="s">
        <v>1101</v>
      </c>
      <c r="X296" s="76"/>
      <c r="Y296" s="77"/>
      <c r="Z296" s="77"/>
      <c r="AA296" s="77"/>
      <c r="AC296" s="27">
        <f>+N296-'[12]Приложение № 4'!E296</f>
        <v>0</v>
      </c>
    </row>
    <row r="297" spans="1:49" ht="15" x14ac:dyDescent="0.25">
      <c r="A297" s="76">
        <f t="shared" si="35"/>
        <v>285</v>
      </c>
      <c r="B297" s="77">
        <f t="shared" si="35"/>
        <v>285</v>
      </c>
      <c r="C297" s="77" t="s">
        <v>1145</v>
      </c>
      <c r="D297" s="77" t="s">
        <v>1192</v>
      </c>
      <c r="E297" s="78">
        <v>1991</v>
      </c>
      <c r="F297" s="78">
        <v>1991</v>
      </c>
      <c r="G297" s="78" t="s">
        <v>52</v>
      </c>
      <c r="H297" s="78">
        <v>2</v>
      </c>
      <c r="I297" s="78">
        <v>1</v>
      </c>
      <c r="J297" s="44">
        <v>689.4</v>
      </c>
      <c r="K297" s="44">
        <v>582.4</v>
      </c>
      <c r="L297" s="44">
        <v>0</v>
      </c>
      <c r="M297" s="79">
        <v>20</v>
      </c>
      <c r="N297" s="72">
        <f t="shared" si="38"/>
        <v>71066.701252655272</v>
      </c>
      <c r="O297" s="44"/>
      <c r="P297" s="68"/>
      <c r="Q297" s="68"/>
      <c r="R297" s="44">
        <f>+'[12]Приложение № 4'!E297</f>
        <v>71066.701252655272</v>
      </c>
      <c r="S297" s="68"/>
      <c r="T297" s="68"/>
      <c r="U297" s="68">
        <f t="shared" si="39"/>
        <v>122.02386890909216</v>
      </c>
      <c r="V297" s="68">
        <f t="shared" si="39"/>
        <v>122.02386890909216</v>
      </c>
      <c r="W297" s="80" t="s">
        <v>1101</v>
      </c>
      <c r="X297" s="76"/>
      <c r="Y297" s="77"/>
      <c r="Z297" s="77"/>
      <c r="AA297" s="77"/>
      <c r="AC297" s="27">
        <f>+N297-'[12]Приложение № 4'!E297</f>
        <v>0</v>
      </c>
    </row>
    <row r="298" spans="1:49" ht="15" x14ac:dyDescent="0.25">
      <c r="A298" s="76">
        <f t="shared" si="35"/>
        <v>286</v>
      </c>
      <c r="B298" s="77">
        <f t="shared" si="35"/>
        <v>286</v>
      </c>
      <c r="C298" s="77" t="s">
        <v>47</v>
      </c>
      <c r="D298" s="77" t="s">
        <v>1009</v>
      </c>
      <c r="E298" s="78" t="s">
        <v>1107</v>
      </c>
      <c r="F298" s="78"/>
      <c r="G298" s="78" t="s">
        <v>570</v>
      </c>
      <c r="H298" s="78" t="s">
        <v>575</v>
      </c>
      <c r="I298" s="78" t="s">
        <v>575</v>
      </c>
      <c r="J298" s="44">
        <v>977.7</v>
      </c>
      <c r="K298" s="44">
        <v>821.5</v>
      </c>
      <c r="L298" s="44">
        <v>156.19999999999999</v>
      </c>
      <c r="M298" s="79">
        <v>40</v>
      </c>
      <c r="N298" s="72">
        <f t="shared" si="38"/>
        <v>122177.85</v>
      </c>
      <c r="O298" s="44">
        <v>0</v>
      </c>
      <c r="P298" s="44"/>
      <c r="Q298" s="44"/>
      <c r="R298" s="44">
        <f>+'[12]Приложение № 4'!E298</f>
        <v>122177.85</v>
      </c>
      <c r="S298" s="44"/>
      <c r="T298" s="44"/>
      <c r="U298" s="44">
        <v>1035.83</v>
      </c>
      <c r="V298" s="44">
        <v>1035.83</v>
      </c>
      <c r="W298" s="80" t="s">
        <v>1101</v>
      </c>
      <c r="X298" s="96" t="e">
        <f>+N298-#REF!</f>
        <v>#REF!</v>
      </c>
      <c r="Y298" s="94">
        <v>239696.68</v>
      </c>
      <c r="Z298" s="94">
        <f>+(K298*9.1+L298*18.19)*12</f>
        <v>123803.136</v>
      </c>
      <c r="AB298" s="96" t="e">
        <f>+N298-#REF!</f>
        <v>#REF!</v>
      </c>
      <c r="AC298" s="27">
        <f>+N298-'[12]Приложение № 4'!E298</f>
        <v>0</v>
      </c>
      <c r="AE298" s="98" t="e">
        <f>+N298-#REF!</f>
        <v>#REF!</v>
      </c>
      <c r="AG298" s="101" t="s">
        <v>1009</v>
      </c>
      <c r="AH298" s="102">
        <f>SUM(AI298:AW298)</f>
        <v>122683.00992000001</v>
      </c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>
        <v>98683.009920000011</v>
      </c>
      <c r="AV298" s="102">
        <v>24000</v>
      </c>
      <c r="AW298" s="102"/>
    </row>
    <row r="299" spans="1:49" ht="15" x14ac:dyDescent="0.25">
      <c r="A299" s="76">
        <f t="shared" si="35"/>
        <v>287</v>
      </c>
      <c r="B299" s="77">
        <f t="shared" si="35"/>
        <v>287</v>
      </c>
      <c r="C299" s="77" t="s">
        <v>47</v>
      </c>
      <c r="D299" s="77" t="s">
        <v>1010</v>
      </c>
      <c r="E299" s="78" t="s">
        <v>585</v>
      </c>
      <c r="F299" s="78"/>
      <c r="G299" s="78" t="s">
        <v>570</v>
      </c>
      <c r="H299" s="78" t="s">
        <v>579</v>
      </c>
      <c r="I299" s="78" t="s">
        <v>576</v>
      </c>
      <c r="J299" s="44">
        <v>1513.9</v>
      </c>
      <c r="K299" s="44">
        <v>1273.3</v>
      </c>
      <c r="L299" s="44">
        <v>109.8</v>
      </c>
      <c r="M299" s="79">
        <v>46</v>
      </c>
      <c r="N299" s="72">
        <f t="shared" si="38"/>
        <v>1068939.3299999998</v>
      </c>
      <c r="O299" s="44">
        <v>0</v>
      </c>
      <c r="P299" s="44"/>
      <c r="Q299" s="44"/>
      <c r="R299" s="44">
        <f>+'[12]Приложение № 4'!E299</f>
        <v>1068939.3299999998</v>
      </c>
      <c r="S299" s="44"/>
      <c r="T299" s="44"/>
      <c r="U299" s="44">
        <v>7422.55</v>
      </c>
      <c r="V299" s="44">
        <v>7422.55</v>
      </c>
      <c r="W299" s="80" t="s">
        <v>1101</v>
      </c>
      <c r="X299" s="96" t="e">
        <f>+N299-#REF!</f>
        <v>#REF!</v>
      </c>
      <c r="Y299" s="94">
        <v>356713.45</v>
      </c>
      <c r="Z299" s="94">
        <f>+(K299*9.1+L299*18.19)*12</f>
        <v>163011.50399999999</v>
      </c>
      <c r="AB299" s="96" t="e">
        <f>+N299-#REF!</f>
        <v>#REF!</v>
      </c>
      <c r="AC299" s="27">
        <f>+N299-'[12]Приложение № 4'!E299</f>
        <v>0</v>
      </c>
      <c r="AE299" s="98" t="e">
        <f>+N299-#REF!</f>
        <v>#REF!</v>
      </c>
      <c r="AG299" s="101" t="s">
        <v>1010</v>
      </c>
      <c r="AH299" s="102">
        <f>SUM(AI299:AW299)</f>
        <v>1074315.936074632</v>
      </c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>
        <v>1033029.189893032</v>
      </c>
      <c r="AV299" s="102">
        <v>41286.7461816</v>
      </c>
      <c r="AW299" s="102"/>
    </row>
    <row r="300" spans="1:49" ht="15" x14ac:dyDescent="0.25">
      <c r="A300" s="76">
        <f t="shared" si="35"/>
        <v>288</v>
      </c>
      <c r="B300" s="77">
        <f t="shared" si="35"/>
        <v>288</v>
      </c>
      <c r="C300" s="77" t="s">
        <v>47</v>
      </c>
      <c r="D300" s="77" t="s">
        <v>1011</v>
      </c>
      <c r="E300" s="78" t="s">
        <v>587</v>
      </c>
      <c r="F300" s="78"/>
      <c r="G300" s="78" t="s">
        <v>570</v>
      </c>
      <c r="H300" s="78" t="s">
        <v>582</v>
      </c>
      <c r="I300" s="78" t="s">
        <v>579</v>
      </c>
      <c r="J300" s="44">
        <v>3387.5</v>
      </c>
      <c r="K300" s="44">
        <v>2883.4</v>
      </c>
      <c r="L300" s="44">
        <v>504.1</v>
      </c>
      <c r="M300" s="79">
        <v>108</v>
      </c>
      <c r="N300" s="72">
        <f t="shared" si="38"/>
        <v>1564470.2899999998</v>
      </c>
      <c r="O300" s="44">
        <v>0</v>
      </c>
      <c r="P300" s="44"/>
      <c r="Q300" s="44"/>
      <c r="R300" s="44">
        <f>+'[12]Приложение № 4'!E300</f>
        <v>1564470.2899999998</v>
      </c>
      <c r="S300" s="44"/>
      <c r="T300" s="44"/>
      <c r="U300" s="44">
        <v>7422.55</v>
      </c>
      <c r="V300" s="44">
        <v>7422.55</v>
      </c>
      <c r="W300" s="80" t="s">
        <v>1101</v>
      </c>
      <c r="X300" s="96" t="e">
        <f>+N300-#REF!</f>
        <v>#REF!</v>
      </c>
      <c r="Y300" s="94">
        <v>1079298.32</v>
      </c>
      <c r="Z300" s="94">
        <f>+(K300*9.1+L300*18.19)*12</f>
        <v>424902.228</v>
      </c>
      <c r="AB300" s="96" t="e">
        <f>+N300-#REF!</f>
        <v>#REF!</v>
      </c>
      <c r="AC300" s="27">
        <f>+N300-'[12]Приложение № 4'!E300</f>
        <v>0</v>
      </c>
      <c r="AE300" s="98" t="e">
        <f>+N300-#REF!</f>
        <v>#REF!</v>
      </c>
      <c r="AG300" s="101" t="s">
        <v>1011</v>
      </c>
      <c r="AH300" s="102">
        <f>SUM(AI300:AW300)</f>
        <v>1572396.5495708508</v>
      </c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>
        <v>1528627.3721708509</v>
      </c>
      <c r="AV300" s="102">
        <v>43769.1774</v>
      </c>
      <c r="AW300" s="102"/>
    </row>
    <row r="301" spans="1:49" ht="15" x14ac:dyDescent="0.25">
      <c r="A301" s="76">
        <f t="shared" si="35"/>
        <v>289</v>
      </c>
      <c r="B301" s="77">
        <f t="shared" si="35"/>
        <v>289</v>
      </c>
      <c r="C301" s="77" t="s">
        <v>47</v>
      </c>
      <c r="D301" s="77" t="s">
        <v>736</v>
      </c>
      <c r="E301" s="78" t="s">
        <v>586</v>
      </c>
      <c r="F301" s="78"/>
      <c r="G301" s="78" t="s">
        <v>570</v>
      </c>
      <c r="H301" s="78" t="s">
        <v>582</v>
      </c>
      <c r="I301" s="78" t="s">
        <v>579</v>
      </c>
      <c r="J301" s="44">
        <v>6010.4</v>
      </c>
      <c r="K301" s="44">
        <v>4154.3999999999996</v>
      </c>
      <c r="L301" s="44">
        <v>1856</v>
      </c>
      <c r="M301" s="79">
        <v>135</v>
      </c>
      <c r="N301" s="72">
        <f t="shared" si="38"/>
        <v>1865203.4000000004</v>
      </c>
      <c r="O301" s="44">
        <v>0</v>
      </c>
      <c r="P301" s="44"/>
      <c r="Q301" s="44"/>
      <c r="R301" s="44">
        <f>+'[12]Приложение № 4'!E301</f>
        <v>1865203.4000000004</v>
      </c>
      <c r="S301" s="44"/>
      <c r="T301" s="44"/>
      <c r="U301" s="44">
        <v>7422.55</v>
      </c>
      <c r="V301" s="44">
        <v>7422.55</v>
      </c>
      <c r="W301" s="80" t="s">
        <v>1101</v>
      </c>
      <c r="X301" s="96" t="e">
        <f>+N301-#REF!</f>
        <v>#REF!</v>
      </c>
      <c r="Y301" s="94">
        <v>2132659.2599999998</v>
      </c>
      <c r="Z301" s="94">
        <f>+(K301*9.1+L301*18.19)*12</f>
        <v>858788.15999999992</v>
      </c>
      <c r="AB301" s="96" t="e">
        <f>+N301-#REF!</f>
        <v>#REF!</v>
      </c>
      <c r="AC301" s="27">
        <f>+N301-'[12]Приложение № 4'!E301</f>
        <v>0</v>
      </c>
      <c r="AE301" s="98" t="e">
        <f>+N301-#REF!</f>
        <v>#REF!</v>
      </c>
      <c r="AG301" s="101" t="s">
        <v>736</v>
      </c>
      <c r="AH301" s="102">
        <f>SUM(AI301:AW301)</f>
        <v>1539782.5259807999</v>
      </c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>
        <v>1495997.29</v>
      </c>
      <c r="AV301" s="102">
        <v>43785.235980799996</v>
      </c>
      <c r="AW301" s="102"/>
    </row>
    <row r="302" spans="1:49" ht="15" x14ac:dyDescent="0.25">
      <c r="A302" s="76">
        <f t="shared" si="35"/>
        <v>290</v>
      </c>
      <c r="B302" s="77">
        <f t="shared" si="35"/>
        <v>290</v>
      </c>
      <c r="C302" s="77" t="s">
        <v>47</v>
      </c>
      <c r="D302" s="77" t="s">
        <v>1012</v>
      </c>
      <c r="E302" s="78" t="s">
        <v>1120</v>
      </c>
      <c r="F302" s="78"/>
      <c r="G302" s="78" t="s">
        <v>570</v>
      </c>
      <c r="H302" s="78" t="s">
        <v>582</v>
      </c>
      <c r="I302" s="78" t="s">
        <v>579</v>
      </c>
      <c r="J302" s="44">
        <v>1881.6</v>
      </c>
      <c r="K302" s="44">
        <v>1701</v>
      </c>
      <c r="L302" s="44">
        <v>180.6</v>
      </c>
      <c r="M302" s="79">
        <v>76</v>
      </c>
      <c r="N302" s="72">
        <f t="shared" si="38"/>
        <v>1393697.61</v>
      </c>
      <c r="O302" s="44">
        <v>0</v>
      </c>
      <c r="P302" s="44"/>
      <c r="Q302" s="44"/>
      <c r="R302" s="44">
        <f>+'[12]Приложение № 4'!E302</f>
        <v>1393697.61</v>
      </c>
      <c r="S302" s="44"/>
      <c r="T302" s="44"/>
      <c r="U302" s="44">
        <v>7422.55</v>
      </c>
      <c r="V302" s="44">
        <v>7422.55</v>
      </c>
      <c r="W302" s="80" t="s">
        <v>1101</v>
      </c>
      <c r="X302" s="96" t="e">
        <f>+N302-#REF!</f>
        <v>#REF!</v>
      </c>
      <c r="Y302" s="94">
        <v>491726.1</v>
      </c>
      <c r="Z302" s="94">
        <f>+(K302*9.1+L302*18.19)*12</f>
        <v>225170.568</v>
      </c>
      <c r="AB302" s="96" t="e">
        <f>+N302-#REF!</f>
        <v>#REF!</v>
      </c>
      <c r="AC302" s="27">
        <f>+N302-'[12]Приложение № 4'!E302</f>
        <v>0</v>
      </c>
      <c r="AE302" s="98" t="e">
        <f>+N302-#REF!</f>
        <v>#REF!</v>
      </c>
      <c r="AG302" s="101" t="s">
        <v>1012</v>
      </c>
      <c r="AH302" s="102">
        <f>SUM(AI302:AW302)</f>
        <v>1400745.2039936571</v>
      </c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>
        <v>1359281.7883904572</v>
      </c>
      <c r="AV302" s="102">
        <v>41463.415603200003</v>
      </c>
      <c r="AW302" s="102"/>
    </row>
    <row r="303" spans="1:49" ht="15" x14ac:dyDescent="0.25">
      <c r="A303" s="76">
        <f t="shared" si="35"/>
        <v>291</v>
      </c>
      <c r="B303" s="77">
        <f t="shared" si="35"/>
        <v>291</v>
      </c>
      <c r="C303" s="77" t="s">
        <v>47</v>
      </c>
      <c r="D303" s="77" t="s">
        <v>855</v>
      </c>
      <c r="E303" s="78" t="s">
        <v>1107</v>
      </c>
      <c r="F303" s="78"/>
      <c r="G303" s="78" t="s">
        <v>570</v>
      </c>
      <c r="H303" s="78" t="s">
        <v>575</v>
      </c>
      <c r="I303" s="78" t="s">
        <v>575</v>
      </c>
      <c r="J303" s="44">
        <v>1006.1</v>
      </c>
      <c r="K303" s="44">
        <v>851.2</v>
      </c>
      <c r="L303" s="44">
        <v>154.9</v>
      </c>
      <c r="M303" s="79">
        <v>38</v>
      </c>
      <c r="N303" s="72">
        <f t="shared" si="38"/>
        <v>806648.31</v>
      </c>
      <c r="O303" s="44">
        <v>0</v>
      </c>
      <c r="P303" s="44"/>
      <c r="Q303" s="44"/>
      <c r="R303" s="44">
        <f>+'[12]Приложение № 4'!E303</f>
        <v>806648.31</v>
      </c>
      <c r="S303" s="44"/>
      <c r="T303" s="44"/>
      <c r="U303" s="44">
        <v>16188.78</v>
      </c>
      <c r="V303" s="44">
        <v>16188.78</v>
      </c>
      <c r="W303" s="80" t="s">
        <v>1101</v>
      </c>
      <c r="X303" s="96" t="e">
        <f>+N303-#REF!</f>
        <v>#REF!</v>
      </c>
      <c r="Y303" s="94">
        <v>309947.13</v>
      </c>
      <c r="Z303" s="94">
        <f t="shared" ref="Z303:Z307" si="40">+(K303*9.1+L303*18.19)*12</f>
        <v>126762.61199999999</v>
      </c>
      <c r="AB303" s="96" t="e">
        <f>+N303-#REF!</f>
        <v>#REF!</v>
      </c>
      <c r="AC303" s="27">
        <f>+N303-'[12]Приложение № 4'!E303</f>
        <v>0</v>
      </c>
      <c r="AE303" s="98" t="e">
        <f>+N303-#REF!</f>
        <v>#REF!</v>
      </c>
      <c r="AG303" s="101" t="s">
        <v>855</v>
      </c>
      <c r="AH303" s="102">
        <f t="shared" si="28"/>
        <v>810677.92805763206</v>
      </c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>
        <v>769870.37290723203</v>
      </c>
      <c r="AV303" s="102">
        <v>40807.555150400003</v>
      </c>
      <c r="AW303" s="102"/>
    </row>
    <row r="304" spans="1:49" ht="15" x14ac:dyDescent="0.25">
      <c r="A304" s="76">
        <f t="shared" si="35"/>
        <v>292</v>
      </c>
      <c r="B304" s="77">
        <f t="shared" si="35"/>
        <v>292</v>
      </c>
      <c r="C304" s="77" t="s">
        <v>47</v>
      </c>
      <c r="D304" s="77" t="s">
        <v>856</v>
      </c>
      <c r="E304" s="78" t="s">
        <v>609</v>
      </c>
      <c r="F304" s="78"/>
      <c r="G304" s="78" t="s">
        <v>570</v>
      </c>
      <c r="H304" s="78" t="s">
        <v>579</v>
      </c>
      <c r="I304" s="78" t="s">
        <v>575</v>
      </c>
      <c r="J304" s="44">
        <v>1349.4</v>
      </c>
      <c r="K304" s="44">
        <v>1213.5999999999999</v>
      </c>
      <c r="L304" s="44">
        <v>135.80000000000001</v>
      </c>
      <c r="M304" s="79">
        <v>40</v>
      </c>
      <c r="N304" s="72">
        <f t="shared" si="38"/>
        <v>1049040.8400000003</v>
      </c>
      <c r="O304" s="44">
        <v>0</v>
      </c>
      <c r="P304" s="44"/>
      <c r="Q304" s="44"/>
      <c r="R304" s="44">
        <f>+'[12]Приложение № 4'!E304</f>
        <v>1049040.8400000003</v>
      </c>
      <c r="S304" s="44"/>
      <c r="T304" s="44"/>
      <c r="U304" s="44">
        <v>7422.55</v>
      </c>
      <c r="V304" s="44">
        <v>7422.55</v>
      </c>
      <c r="W304" s="80" t="s">
        <v>1101</v>
      </c>
      <c r="X304" s="96" t="e">
        <f>+N304-#REF!</f>
        <v>#REF!</v>
      </c>
      <c r="Y304" s="94">
        <v>316337.09000000003</v>
      </c>
      <c r="Z304" s="94">
        <f t="shared" si="40"/>
        <v>162167.54399999999</v>
      </c>
      <c r="AB304" s="96" t="e">
        <f>+N304-#REF!</f>
        <v>#REF!</v>
      </c>
      <c r="AC304" s="27">
        <f>+N304-'[12]Приложение № 4'!E304</f>
        <v>0</v>
      </c>
      <c r="AE304" s="98" t="e">
        <f>+N304-#REF!</f>
        <v>#REF!</v>
      </c>
      <c r="AG304" s="101" t="s">
        <v>856</v>
      </c>
      <c r="AH304" s="102">
        <f t="shared" si="28"/>
        <v>1054318.4541773621</v>
      </c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>
        <v>1013325.5615837621</v>
      </c>
      <c r="AV304" s="102">
        <v>40992.892593600001</v>
      </c>
      <c r="AW304" s="102"/>
    </row>
    <row r="305" spans="1:49" ht="15" x14ac:dyDescent="0.25">
      <c r="A305" s="76">
        <f t="shared" si="35"/>
        <v>293</v>
      </c>
      <c r="B305" s="77">
        <f t="shared" si="35"/>
        <v>293</v>
      </c>
      <c r="C305" s="77" t="s">
        <v>47</v>
      </c>
      <c r="D305" s="77" t="s">
        <v>857</v>
      </c>
      <c r="E305" s="78" t="s">
        <v>609</v>
      </c>
      <c r="F305" s="78"/>
      <c r="G305" s="78" t="s">
        <v>570</v>
      </c>
      <c r="H305" s="78" t="s">
        <v>579</v>
      </c>
      <c r="I305" s="78" t="s">
        <v>576</v>
      </c>
      <c r="J305" s="44">
        <v>1339.8</v>
      </c>
      <c r="K305" s="44">
        <v>1242.7</v>
      </c>
      <c r="L305" s="44">
        <v>97.1</v>
      </c>
      <c r="M305" s="79">
        <v>56</v>
      </c>
      <c r="N305" s="72">
        <f t="shared" si="38"/>
        <v>1047879.7699999999</v>
      </c>
      <c r="O305" s="44">
        <v>0</v>
      </c>
      <c r="P305" s="44"/>
      <c r="Q305" s="44"/>
      <c r="R305" s="44">
        <f>+'[12]Приложение № 4'!E305</f>
        <v>1047879.7699999999</v>
      </c>
      <c r="S305" s="44"/>
      <c r="T305" s="44"/>
      <c r="U305" s="44">
        <v>7422.55</v>
      </c>
      <c r="V305" s="44">
        <v>7422.55</v>
      </c>
      <c r="W305" s="80" t="s">
        <v>1101</v>
      </c>
      <c r="X305" s="96" t="e">
        <f>+N305-#REF!</f>
        <v>#REF!</v>
      </c>
      <c r="Y305" s="94">
        <v>370870.91</v>
      </c>
      <c r="Z305" s="94">
        <f t="shared" si="40"/>
        <v>156897.82799999998</v>
      </c>
      <c r="AB305" s="96" t="e">
        <f>+N305-#REF!</f>
        <v>#REF!</v>
      </c>
      <c r="AC305" s="27">
        <f>+N305-'[12]Приложение № 4'!E305</f>
        <v>0</v>
      </c>
      <c r="AE305" s="98" t="e">
        <f>+N305-#REF!</f>
        <v>#REF!</v>
      </c>
      <c r="AG305" s="101" t="s">
        <v>857</v>
      </c>
      <c r="AH305" s="102">
        <f t="shared" si="28"/>
        <v>1053151.4278781898</v>
      </c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>
        <v>1012175.6841869899</v>
      </c>
      <c r="AV305" s="102">
        <v>40975.743691199998</v>
      </c>
      <c r="AW305" s="102"/>
    </row>
    <row r="306" spans="1:49" ht="15" x14ac:dyDescent="0.25">
      <c r="A306" s="76">
        <f t="shared" si="35"/>
        <v>294</v>
      </c>
      <c r="B306" s="77">
        <f t="shared" si="35"/>
        <v>294</v>
      </c>
      <c r="C306" s="77" t="s">
        <v>47</v>
      </c>
      <c r="D306" s="77" t="s">
        <v>858</v>
      </c>
      <c r="E306" s="78" t="s">
        <v>626</v>
      </c>
      <c r="F306" s="78"/>
      <c r="G306" s="78" t="s">
        <v>570</v>
      </c>
      <c r="H306" s="78" t="s">
        <v>579</v>
      </c>
      <c r="I306" s="78" t="s">
        <v>576</v>
      </c>
      <c r="J306" s="44">
        <v>1341.9</v>
      </c>
      <c r="K306" s="44">
        <v>1114.2</v>
      </c>
      <c r="L306" s="44">
        <v>227.7</v>
      </c>
      <c r="M306" s="79">
        <v>44</v>
      </c>
      <c r="N306" s="72">
        <f t="shared" si="38"/>
        <v>1048133.78</v>
      </c>
      <c r="O306" s="44">
        <v>0</v>
      </c>
      <c r="P306" s="44"/>
      <c r="Q306" s="44"/>
      <c r="R306" s="44">
        <f>+'[12]Приложение № 4'!E306</f>
        <v>1048133.78</v>
      </c>
      <c r="S306" s="44"/>
      <c r="T306" s="44"/>
      <c r="U306" s="44">
        <v>7422.55</v>
      </c>
      <c r="V306" s="44">
        <v>7422.55</v>
      </c>
      <c r="W306" s="80" t="s">
        <v>1101</v>
      </c>
      <c r="X306" s="96" t="e">
        <f>+N306-#REF!</f>
        <v>#REF!</v>
      </c>
      <c r="Y306" s="94">
        <v>360789.23</v>
      </c>
      <c r="Z306" s="94">
        <f t="shared" si="40"/>
        <v>171372.99599999998</v>
      </c>
      <c r="AB306" s="96" t="e">
        <f>+N306-#REF!</f>
        <v>#REF!</v>
      </c>
      <c r="AC306" s="27">
        <f>+N306-'[12]Приложение № 4'!E306</f>
        <v>0</v>
      </c>
      <c r="AE306" s="98" t="e">
        <f>+N306-#REF!</f>
        <v>#REF!</v>
      </c>
      <c r="AG306" s="101" t="s">
        <v>858</v>
      </c>
      <c r="AH306" s="102">
        <f t="shared" si="28"/>
        <v>1053406.7148811338</v>
      </c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>
        <v>1012427.2198675337</v>
      </c>
      <c r="AV306" s="102">
        <v>40979.495013599997</v>
      </c>
      <c r="AW306" s="102"/>
    </row>
    <row r="307" spans="1:49" ht="15" x14ac:dyDescent="0.25">
      <c r="A307" s="76">
        <f t="shared" si="35"/>
        <v>295</v>
      </c>
      <c r="B307" s="77">
        <f t="shared" si="35"/>
        <v>295</v>
      </c>
      <c r="C307" s="77" t="s">
        <v>47</v>
      </c>
      <c r="D307" s="77" t="s">
        <v>859</v>
      </c>
      <c r="E307" s="78" t="s">
        <v>1106</v>
      </c>
      <c r="F307" s="78"/>
      <c r="G307" s="78" t="s">
        <v>570</v>
      </c>
      <c r="H307" s="78" t="s">
        <v>579</v>
      </c>
      <c r="I307" s="78" t="s">
        <v>579</v>
      </c>
      <c r="J307" s="44">
        <v>1346</v>
      </c>
      <c r="K307" s="44">
        <v>1047.9000000000001</v>
      </c>
      <c r="L307" s="44">
        <v>298.10000000000002</v>
      </c>
      <c r="M307" s="79">
        <v>44</v>
      </c>
      <c r="N307" s="72">
        <f t="shared" si="38"/>
        <v>1048629.6599999999</v>
      </c>
      <c r="O307" s="44">
        <v>0</v>
      </c>
      <c r="P307" s="44"/>
      <c r="Q307" s="44"/>
      <c r="R307" s="44">
        <f>+'[12]Приложение № 4'!E307</f>
        <v>1048629.6599999999</v>
      </c>
      <c r="S307" s="44"/>
      <c r="T307" s="44"/>
      <c r="U307" s="44">
        <v>7422.55</v>
      </c>
      <c r="V307" s="44">
        <v>7422.55</v>
      </c>
      <c r="W307" s="80" t="s">
        <v>1101</v>
      </c>
      <c r="X307" s="96" t="e">
        <f>+N307-#REF!</f>
        <v>#REF!</v>
      </c>
      <c r="Z307" s="94">
        <f t="shared" si="40"/>
        <v>179499.94800000003</v>
      </c>
      <c r="AB307" s="96" t="e">
        <f>+N307-#REF!</f>
        <v>#REF!</v>
      </c>
      <c r="AC307" s="27">
        <f>+N307-'[12]Приложение № 4'!E307</f>
        <v>0</v>
      </c>
      <c r="AE307" s="98" t="e">
        <f>+N307-#REF!</f>
        <v>#REF!</v>
      </c>
      <c r="AG307" s="101" t="s">
        <v>859</v>
      </c>
      <c r="AH307" s="102">
        <f t="shared" si="28"/>
        <v>1053905.1323630719</v>
      </c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>
        <v>1012918.3133390718</v>
      </c>
      <c r="AV307" s="102">
        <v>40986.819023999997</v>
      </c>
      <c r="AW307" s="102"/>
    </row>
    <row r="308" spans="1:49" ht="15" x14ac:dyDescent="0.25">
      <c r="A308" s="76">
        <f t="shared" si="35"/>
        <v>296</v>
      </c>
      <c r="B308" s="77">
        <f t="shared" si="35"/>
        <v>296</v>
      </c>
      <c r="C308" s="77" t="s">
        <v>1144</v>
      </c>
      <c r="D308" s="77" t="s">
        <v>1193</v>
      </c>
      <c r="E308" s="78">
        <v>1983</v>
      </c>
      <c r="F308" s="78">
        <v>2011</v>
      </c>
      <c r="G308" s="78" t="s">
        <v>44</v>
      </c>
      <c r="H308" s="78">
        <v>4</v>
      </c>
      <c r="I308" s="78">
        <v>4</v>
      </c>
      <c r="J308" s="44">
        <v>2773.4</v>
      </c>
      <c r="K308" s="44">
        <v>2633</v>
      </c>
      <c r="L308" s="44">
        <v>0</v>
      </c>
      <c r="M308" s="79">
        <v>98</v>
      </c>
      <c r="N308" s="72">
        <f>+P308+Q308+R308+S308+T308</f>
        <v>179293.58000000002</v>
      </c>
      <c r="O308" s="44"/>
      <c r="P308" s="68"/>
      <c r="Q308" s="68"/>
      <c r="R308" s="44">
        <f>+'[12]Приложение № 4'!E308</f>
        <v>179293.58000000002</v>
      </c>
      <c r="S308" s="68"/>
      <c r="T308" s="68"/>
      <c r="U308" s="68">
        <f>$N308/($K308+$L308)</f>
        <v>68.094789213824541</v>
      </c>
      <c r="V308" s="68">
        <f>$N308/($K308+$L308)</f>
        <v>68.094789213824541</v>
      </c>
      <c r="W308" s="80" t="s">
        <v>1101</v>
      </c>
      <c r="X308" s="76"/>
      <c r="Y308" s="77"/>
      <c r="Z308" s="77"/>
      <c r="AA308" s="77"/>
      <c r="AC308" s="27">
        <f>+N308-'[12]Приложение № 4'!E308</f>
        <v>0</v>
      </c>
    </row>
    <row r="309" spans="1:49" ht="15" x14ac:dyDescent="0.25">
      <c r="A309" s="76">
        <f t="shared" si="35"/>
        <v>297</v>
      </c>
      <c r="B309" s="77">
        <f t="shared" si="35"/>
        <v>297</v>
      </c>
      <c r="C309" s="77" t="s">
        <v>50</v>
      </c>
      <c r="D309" s="77" t="s">
        <v>860</v>
      </c>
      <c r="E309" s="78" t="s">
        <v>577</v>
      </c>
      <c r="F309" s="78"/>
      <c r="G309" s="78" t="s">
        <v>573</v>
      </c>
      <c r="H309" s="78" t="s">
        <v>571</v>
      </c>
      <c r="I309" s="78" t="s">
        <v>572</v>
      </c>
      <c r="J309" s="44">
        <v>4698.7</v>
      </c>
      <c r="K309" s="44">
        <v>4085.6</v>
      </c>
      <c r="L309" s="44">
        <v>0</v>
      </c>
      <c r="M309" s="79">
        <v>152</v>
      </c>
      <c r="N309" s="72">
        <f t="shared" ref="N309:N372" si="41">+P309+Q309+R309+S309+T309</f>
        <v>403663.92</v>
      </c>
      <c r="O309" s="44">
        <v>0</v>
      </c>
      <c r="P309" s="44"/>
      <c r="Q309" s="44"/>
      <c r="R309" s="44">
        <f>+'[12]Приложение № 4'!E309</f>
        <v>403663.92</v>
      </c>
      <c r="S309" s="44"/>
      <c r="T309" s="44"/>
      <c r="U309" s="44">
        <v>2126.15</v>
      </c>
      <c r="V309" s="44">
        <v>2126.15</v>
      </c>
      <c r="W309" s="80" t="s">
        <v>1101</v>
      </c>
      <c r="X309" s="96" t="e">
        <f>+N309-#REF!</f>
        <v>#REF!</v>
      </c>
      <c r="Y309" s="94">
        <v>1703986.46</v>
      </c>
      <c r="Z309" s="94">
        <f>+(K309*12.08+L309*20.47)*12</f>
        <v>592248.576</v>
      </c>
      <c r="AB309" s="96" t="e">
        <f>+N309-#REF!</f>
        <v>#REF!</v>
      </c>
      <c r="AC309" s="27">
        <f>+N309-'[12]Приложение № 4'!E309</f>
        <v>0</v>
      </c>
      <c r="AE309" s="98" t="e">
        <f>+N309-#REF!</f>
        <v>#REF!</v>
      </c>
      <c r="AG309" s="101" t="s">
        <v>860</v>
      </c>
      <c r="AH309" s="102">
        <f t="shared" si="28"/>
        <v>403663.92</v>
      </c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>
        <v>379663.92</v>
      </c>
      <c r="AV309" s="102">
        <v>24000</v>
      </c>
      <c r="AW309" s="102"/>
    </row>
    <row r="310" spans="1:49" ht="15" x14ac:dyDescent="0.25">
      <c r="A310" s="76">
        <f t="shared" si="35"/>
        <v>298</v>
      </c>
      <c r="B310" s="77">
        <f t="shared" si="35"/>
        <v>298</v>
      </c>
      <c r="C310" s="77" t="s">
        <v>50</v>
      </c>
      <c r="D310" s="77" t="s">
        <v>861</v>
      </c>
      <c r="E310" s="78" t="s">
        <v>594</v>
      </c>
      <c r="F310" s="78"/>
      <c r="G310" s="78" t="s">
        <v>570</v>
      </c>
      <c r="H310" s="78" t="s">
        <v>571</v>
      </c>
      <c r="I310" s="78" t="s">
        <v>576</v>
      </c>
      <c r="J310" s="44">
        <v>2145.6</v>
      </c>
      <c r="K310" s="44">
        <v>1881.11</v>
      </c>
      <c r="L310" s="44">
        <v>0</v>
      </c>
      <c r="M310" s="79">
        <v>77</v>
      </c>
      <c r="N310" s="72">
        <f t="shared" si="41"/>
        <v>826844.93</v>
      </c>
      <c r="O310" s="44">
        <v>0</v>
      </c>
      <c r="P310" s="44"/>
      <c r="Q310" s="44"/>
      <c r="R310" s="44">
        <f>+'[12]Приложение № 4'!E310</f>
        <v>826844.93</v>
      </c>
      <c r="S310" s="44"/>
      <c r="T310" s="44"/>
      <c r="U310" s="44">
        <v>7989.19</v>
      </c>
      <c r="V310" s="44">
        <v>7989.19</v>
      </c>
      <c r="W310" s="80" t="s">
        <v>1101</v>
      </c>
      <c r="X310" s="96" t="e">
        <f>+N310-#REF!</f>
        <v>#REF!</v>
      </c>
      <c r="Y310" s="94">
        <v>694109.5</v>
      </c>
      <c r="Z310" s="94">
        <f>+(K310*12.08+L310*20.47)*12</f>
        <v>272685.70559999999</v>
      </c>
      <c r="AB310" s="96" t="e">
        <f>+N310-#REF!</f>
        <v>#REF!</v>
      </c>
      <c r="AC310" s="27">
        <f>+N310-'[12]Приложение № 4'!E310</f>
        <v>0</v>
      </c>
      <c r="AE310" s="98" t="e">
        <f>+N310-#REF!</f>
        <v>#REF!</v>
      </c>
      <c r="AG310" s="101" t="s">
        <v>861</v>
      </c>
      <c r="AH310" s="102">
        <f t="shared" si="28"/>
        <v>826844.93971705728</v>
      </c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>
        <v>785950.7043506573</v>
      </c>
      <c r="AV310" s="102">
        <v>40894.235366399997</v>
      </c>
      <c r="AW310" s="102"/>
    </row>
    <row r="311" spans="1:49" ht="15" x14ac:dyDescent="0.25">
      <c r="A311" s="76">
        <f t="shared" si="35"/>
        <v>299</v>
      </c>
      <c r="B311" s="77">
        <f t="shared" si="35"/>
        <v>299</v>
      </c>
      <c r="C311" s="77" t="s">
        <v>50</v>
      </c>
      <c r="D311" s="77" t="s">
        <v>862</v>
      </c>
      <c r="E311" s="78" t="s">
        <v>594</v>
      </c>
      <c r="F311" s="78"/>
      <c r="G311" s="78" t="s">
        <v>570</v>
      </c>
      <c r="H311" s="78" t="s">
        <v>571</v>
      </c>
      <c r="I311" s="78" t="s">
        <v>576</v>
      </c>
      <c r="J311" s="44">
        <v>2145.6</v>
      </c>
      <c r="K311" s="44">
        <v>1838.26</v>
      </c>
      <c r="L311" s="44">
        <v>161.5</v>
      </c>
      <c r="M311" s="79">
        <v>70</v>
      </c>
      <c r="N311" s="72">
        <f t="shared" si="41"/>
        <v>1817294.191355854</v>
      </c>
      <c r="O311" s="44">
        <v>0</v>
      </c>
      <c r="P311" s="44"/>
      <c r="Q311" s="44"/>
      <c r="R311" s="44">
        <f>+'[12]Приложение № 4'!E311</f>
        <v>1817294.191355854</v>
      </c>
      <c r="S311" s="44"/>
      <c r="T311" s="44"/>
      <c r="U311" s="44">
        <v>12121.94</v>
      </c>
      <c r="V311" s="44">
        <v>12121.94</v>
      </c>
      <c r="W311" s="80" t="s">
        <v>1101</v>
      </c>
      <c r="X311" s="96" t="e">
        <f>+N311-#REF!</f>
        <v>#REF!</v>
      </c>
      <c r="Y311" s="94">
        <v>902189.41</v>
      </c>
      <c r="Z311" s="94">
        <f>+(K311*12.08+L311*20.47)*12</f>
        <v>306145.02959999995</v>
      </c>
      <c r="AB311" s="96" t="e">
        <f>+N311-#REF!</f>
        <v>#REF!</v>
      </c>
      <c r="AC311" s="27">
        <f>+N311-'[12]Приложение № 4'!E311</f>
        <v>0</v>
      </c>
      <c r="AE311" s="98" t="e">
        <f>+N311-#REF!</f>
        <v>#REF!</v>
      </c>
      <c r="AG311" s="101" t="s">
        <v>862</v>
      </c>
      <c r="AH311" s="102">
        <f t="shared" si="28"/>
        <v>1817294.191355854</v>
      </c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>
        <v>1776399.9559894539</v>
      </c>
      <c r="AV311" s="102">
        <v>40894.235366399997</v>
      </c>
      <c r="AW311" s="102"/>
    </row>
    <row r="312" spans="1:49" ht="15" x14ac:dyDescent="0.25">
      <c r="A312" s="76">
        <f t="shared" si="35"/>
        <v>300</v>
      </c>
      <c r="B312" s="77">
        <f t="shared" si="35"/>
        <v>300</v>
      </c>
      <c r="C312" s="77" t="s">
        <v>50</v>
      </c>
      <c r="D312" s="77" t="s">
        <v>863</v>
      </c>
      <c r="E312" s="78" t="s">
        <v>593</v>
      </c>
      <c r="F312" s="78"/>
      <c r="G312" s="78" t="s">
        <v>570</v>
      </c>
      <c r="H312" s="78" t="s">
        <v>571</v>
      </c>
      <c r="I312" s="78" t="s">
        <v>576</v>
      </c>
      <c r="J312" s="44">
        <v>2255.5</v>
      </c>
      <c r="K312" s="44">
        <v>1988.35</v>
      </c>
      <c r="L312" s="44">
        <v>0</v>
      </c>
      <c r="M312" s="79">
        <v>92</v>
      </c>
      <c r="N312" s="72">
        <f t="shared" si="41"/>
        <v>1811193.5735314607</v>
      </c>
      <c r="O312" s="44">
        <v>0</v>
      </c>
      <c r="P312" s="44"/>
      <c r="Q312" s="44"/>
      <c r="R312" s="44">
        <f>+'[12]Приложение № 4'!E312</f>
        <v>1811193.5735314607</v>
      </c>
      <c r="S312" s="44"/>
      <c r="T312" s="44"/>
      <c r="U312" s="44">
        <v>12121.94</v>
      </c>
      <c r="V312" s="44">
        <v>12121.94</v>
      </c>
      <c r="W312" s="80" t="s">
        <v>1101</v>
      </c>
      <c r="X312" s="96" t="e">
        <f>+N312-#REF!</f>
        <v>#REF!</v>
      </c>
      <c r="Y312" s="94">
        <v>910724.97</v>
      </c>
      <c r="Z312" s="94">
        <f>+(K312*12.08+L312*20.47)*12</f>
        <v>288231.21600000001</v>
      </c>
      <c r="AB312" s="96" t="e">
        <f>+N312-#REF!</f>
        <v>#REF!</v>
      </c>
      <c r="AC312" s="27">
        <f>+N312-'[12]Приложение № 4'!E312</f>
        <v>0</v>
      </c>
      <c r="AE312" s="98" t="e">
        <f>+N312-#REF!</f>
        <v>#REF!</v>
      </c>
      <c r="AG312" s="101" t="s">
        <v>863</v>
      </c>
      <c r="AH312" s="102">
        <f t="shared" si="28"/>
        <v>1811193.5735314607</v>
      </c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>
        <v>1770180.9234061274</v>
      </c>
      <c r="AV312" s="102">
        <v>41012.650125333334</v>
      </c>
      <c r="AW312" s="102"/>
    </row>
    <row r="313" spans="1:49" ht="15" x14ac:dyDescent="0.25">
      <c r="A313" s="76">
        <f t="shared" si="35"/>
        <v>301</v>
      </c>
      <c r="B313" s="77">
        <f t="shared" si="35"/>
        <v>301</v>
      </c>
      <c r="C313" s="77" t="s">
        <v>50</v>
      </c>
      <c r="D313" s="77" t="s">
        <v>864</v>
      </c>
      <c r="E313" s="78" t="s">
        <v>1109</v>
      </c>
      <c r="F313" s="78"/>
      <c r="G313" s="78" t="s">
        <v>570</v>
      </c>
      <c r="H313" s="78" t="s">
        <v>579</v>
      </c>
      <c r="I313" s="78" t="s">
        <v>579</v>
      </c>
      <c r="J313" s="44">
        <v>2529.1</v>
      </c>
      <c r="K313" s="44">
        <v>2239.8000000000002</v>
      </c>
      <c r="L313" s="44">
        <v>113.8</v>
      </c>
      <c r="M313" s="79">
        <v>104</v>
      </c>
      <c r="N313" s="72">
        <f t="shared" si="41"/>
        <v>504784.84</v>
      </c>
      <c r="O313" s="44">
        <v>0</v>
      </c>
      <c r="P313" s="44"/>
      <c r="Q313" s="44"/>
      <c r="R313" s="44">
        <f>+'[12]Приложение № 4'!E313</f>
        <v>504784.84</v>
      </c>
      <c r="S313" s="44"/>
      <c r="T313" s="44"/>
      <c r="U313" s="44">
        <v>2417.96</v>
      </c>
      <c r="V313" s="44">
        <v>2417.96</v>
      </c>
      <c r="W313" s="80" t="s">
        <v>1101</v>
      </c>
      <c r="X313" s="96" t="e">
        <f>+N313-#REF!</f>
        <v>#REF!</v>
      </c>
      <c r="Y313" s="94">
        <v>915954.22</v>
      </c>
      <c r="Z313" s="94">
        <f>+(K313*9.1+L313*18.19)*12</f>
        <v>269426.424</v>
      </c>
      <c r="AB313" s="96" t="e">
        <f>+N313-#REF!</f>
        <v>#REF!</v>
      </c>
      <c r="AC313" s="27">
        <f>+N313-'[12]Приложение № 4'!E313</f>
        <v>0</v>
      </c>
      <c r="AE313" s="98" t="e">
        <f>+N313-#REF!</f>
        <v>#REF!</v>
      </c>
      <c r="AG313" s="101" t="s">
        <v>864</v>
      </c>
      <c r="AH313" s="102">
        <f t="shared" si="28"/>
        <v>504784.8319196126</v>
      </c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>
        <v>461684.58930921258</v>
      </c>
      <c r="AV313" s="102">
        <v>43100.242610400004</v>
      </c>
      <c r="AW313" s="102"/>
    </row>
    <row r="314" spans="1:49" ht="15" x14ac:dyDescent="0.25">
      <c r="A314" s="76">
        <f t="shared" si="35"/>
        <v>302</v>
      </c>
      <c r="B314" s="77">
        <f t="shared" si="35"/>
        <v>302</v>
      </c>
      <c r="C314" s="77" t="s">
        <v>50</v>
      </c>
      <c r="D314" s="77" t="s">
        <v>865</v>
      </c>
      <c r="E314" s="78" t="s">
        <v>1108</v>
      </c>
      <c r="F314" s="78"/>
      <c r="G314" s="78" t="s">
        <v>570</v>
      </c>
      <c r="H314" s="78" t="s">
        <v>575</v>
      </c>
      <c r="I314" s="78" t="s">
        <v>575</v>
      </c>
      <c r="J314" s="44">
        <v>1753.5</v>
      </c>
      <c r="K314" s="44">
        <v>1219.5999999999999</v>
      </c>
      <c r="L314" s="44">
        <v>367.2</v>
      </c>
      <c r="M314" s="79">
        <v>37</v>
      </c>
      <c r="N314" s="72">
        <f t="shared" si="41"/>
        <v>181262.38999999998</v>
      </c>
      <c r="O314" s="44">
        <v>0</v>
      </c>
      <c r="P314" s="44"/>
      <c r="Q314" s="44"/>
      <c r="R314" s="44">
        <f>+'[12]Приложение № 4'!E314</f>
        <v>181262.38999999998</v>
      </c>
      <c r="S314" s="44"/>
      <c r="T314" s="44"/>
      <c r="U314" s="44">
        <v>9085.2000000000007</v>
      </c>
      <c r="V314" s="44">
        <v>9085.2000000000007</v>
      </c>
      <c r="W314" s="80" t="s">
        <v>1101</v>
      </c>
      <c r="X314" s="96" t="e">
        <f>+N314-#REF!</f>
        <v>#REF!</v>
      </c>
      <c r="Y314" s="94">
        <v>835052.75</v>
      </c>
      <c r="Z314" s="94">
        <f>+(K314*9.1+L314*18.19)*12</f>
        <v>213332.73599999998</v>
      </c>
      <c r="AB314" s="96" t="e">
        <f>+N314-#REF!</f>
        <v>#REF!</v>
      </c>
      <c r="AC314" s="27">
        <f>+N314-'[12]Приложение № 4'!E314</f>
        <v>0</v>
      </c>
      <c r="AE314" s="98" t="e">
        <f>+N314-#REF!</f>
        <v>#REF!</v>
      </c>
      <c r="AG314" s="101" t="s">
        <v>865</v>
      </c>
      <c r="AH314" s="102">
        <f t="shared" si="28"/>
        <v>399905.82499069825</v>
      </c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>
        <v>357445.27216669824</v>
      </c>
      <c r="AV314" s="102">
        <v>42460.552823999999</v>
      </c>
      <c r="AW314" s="102"/>
    </row>
    <row r="315" spans="1:49" ht="15" x14ac:dyDescent="0.25">
      <c r="A315" s="76">
        <f t="shared" si="35"/>
        <v>303</v>
      </c>
      <c r="B315" s="77">
        <f t="shared" si="35"/>
        <v>303</v>
      </c>
      <c r="C315" s="77" t="s">
        <v>50</v>
      </c>
      <c r="D315" s="77" t="s">
        <v>866</v>
      </c>
      <c r="E315" s="78" t="s">
        <v>1109</v>
      </c>
      <c r="F315" s="78"/>
      <c r="G315" s="78" t="s">
        <v>570</v>
      </c>
      <c r="H315" s="78" t="s">
        <v>579</v>
      </c>
      <c r="I315" s="78" t="s">
        <v>572</v>
      </c>
      <c r="J315" s="44">
        <v>1345.8</v>
      </c>
      <c r="K315" s="44">
        <v>1087.0999999999999</v>
      </c>
      <c r="L315" s="44">
        <v>112.8</v>
      </c>
      <c r="M315" s="79">
        <v>46</v>
      </c>
      <c r="N315" s="72">
        <f t="shared" si="41"/>
        <v>429328.74</v>
      </c>
      <c r="O315" s="44">
        <v>0</v>
      </c>
      <c r="P315" s="44"/>
      <c r="Q315" s="44"/>
      <c r="R315" s="44">
        <f>+'[12]Приложение № 4'!E315</f>
        <v>429328.74</v>
      </c>
      <c r="S315" s="44"/>
      <c r="T315" s="44"/>
      <c r="U315" s="44">
        <v>2417.96</v>
      </c>
      <c r="V315" s="44">
        <v>2417.96</v>
      </c>
      <c r="W315" s="80" t="s">
        <v>1101</v>
      </c>
      <c r="X315" s="96" t="e">
        <f>+N315-#REF!</f>
        <v>#REF!</v>
      </c>
      <c r="Y315" s="94">
        <v>351890.82</v>
      </c>
      <c r="Z315" s="94">
        <f>+(K315*9.1+L315*18.19)*12</f>
        <v>143333.304</v>
      </c>
      <c r="AB315" s="96" t="e">
        <f>+N315-#REF!</f>
        <v>#REF!</v>
      </c>
      <c r="AC315" s="27">
        <f>+N315-'[12]Приложение № 4'!E315</f>
        <v>0</v>
      </c>
      <c r="AE315" s="98" t="e">
        <f>+N315-#REF!</f>
        <v>#REF!</v>
      </c>
      <c r="AG315" s="101" t="s">
        <v>866</v>
      </c>
      <c r="AH315" s="102">
        <f t="shared" si="28"/>
        <v>429328.74701523577</v>
      </c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>
        <v>388342.28526003577</v>
      </c>
      <c r="AV315" s="102">
        <v>40986.461755199998</v>
      </c>
      <c r="AW315" s="102"/>
    </row>
    <row r="316" spans="1:49" ht="15" x14ac:dyDescent="0.25">
      <c r="A316" s="76">
        <f t="shared" si="35"/>
        <v>304</v>
      </c>
      <c r="B316" s="77">
        <f t="shared" si="35"/>
        <v>304</v>
      </c>
      <c r="C316" s="77" t="s">
        <v>50</v>
      </c>
      <c r="D316" s="77" t="s">
        <v>867</v>
      </c>
      <c r="E316" s="78" t="s">
        <v>599</v>
      </c>
      <c r="F316" s="78"/>
      <c r="G316" s="78" t="s">
        <v>570</v>
      </c>
      <c r="H316" s="78" t="s">
        <v>571</v>
      </c>
      <c r="I316" s="78" t="s">
        <v>576</v>
      </c>
      <c r="J316" s="44">
        <v>2316.6999999999998</v>
      </c>
      <c r="K316" s="44">
        <v>2047.3</v>
      </c>
      <c r="L316" s="44">
        <v>0</v>
      </c>
      <c r="M316" s="79">
        <v>78</v>
      </c>
      <c r="N316" s="72">
        <f t="shared" si="41"/>
        <v>773009.77523200004</v>
      </c>
      <c r="O316" s="44">
        <v>0</v>
      </c>
      <c r="P316" s="44"/>
      <c r="Q316" s="44"/>
      <c r="R316" s="44">
        <f>+'[12]Приложение № 4'!E316</f>
        <v>773009.77523200004</v>
      </c>
      <c r="S316" s="44"/>
      <c r="T316" s="44"/>
      <c r="U316" s="44">
        <v>2617.91</v>
      </c>
      <c r="V316" s="44">
        <v>2617.91</v>
      </c>
      <c r="W316" s="80" t="s">
        <v>1101</v>
      </c>
      <c r="X316" s="96" t="e">
        <f>+N316-#REF!</f>
        <v>#REF!</v>
      </c>
      <c r="Y316" s="94">
        <v>968521.06</v>
      </c>
      <c r="Z316" s="94">
        <f>+(K316*12.08+L316*20.47)*12</f>
        <v>296776.60800000001</v>
      </c>
      <c r="AB316" s="96" t="e">
        <f>+N316-#REF!</f>
        <v>#REF!</v>
      </c>
      <c r="AC316" s="27">
        <f>+N316-'[12]Приложение № 4'!E316</f>
        <v>0</v>
      </c>
      <c r="AE316" s="98" t="e">
        <f>+N316-#REF!</f>
        <v>#REF!</v>
      </c>
      <c r="AG316" s="101" t="s">
        <v>867</v>
      </c>
      <c r="AH316" s="102">
        <f t="shared" si="28"/>
        <v>468344.43093119992</v>
      </c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>
        <v>444344.43093119992</v>
      </c>
      <c r="AV316" s="102">
        <v>24000</v>
      </c>
      <c r="AW316" s="102"/>
    </row>
    <row r="317" spans="1:49" ht="15" x14ac:dyDescent="0.25">
      <c r="A317" s="76">
        <f t="shared" si="35"/>
        <v>305</v>
      </c>
      <c r="B317" s="77">
        <f t="shared" si="35"/>
        <v>305</v>
      </c>
      <c r="C317" s="77" t="s">
        <v>50</v>
      </c>
      <c r="D317" s="77" t="s">
        <v>868</v>
      </c>
      <c r="E317" s="78" t="s">
        <v>1108</v>
      </c>
      <c r="F317" s="78"/>
      <c r="G317" s="78" t="s">
        <v>570</v>
      </c>
      <c r="H317" s="78" t="s">
        <v>575</v>
      </c>
      <c r="I317" s="78" t="s">
        <v>575</v>
      </c>
      <c r="J317" s="44">
        <v>1661.3</v>
      </c>
      <c r="K317" s="44">
        <v>1287.8</v>
      </c>
      <c r="L317" s="44">
        <v>254.55</v>
      </c>
      <c r="M317" s="79">
        <v>74</v>
      </c>
      <c r="N317" s="72">
        <f t="shared" si="41"/>
        <v>364412.2</v>
      </c>
      <c r="O317" s="44">
        <v>0</v>
      </c>
      <c r="P317" s="44"/>
      <c r="Q317" s="44"/>
      <c r="R317" s="44">
        <f>+'[12]Приложение № 4'!E317</f>
        <v>364412.2</v>
      </c>
      <c r="S317" s="44"/>
      <c r="T317" s="44"/>
      <c r="U317" s="44">
        <v>13684.61</v>
      </c>
      <c r="V317" s="44">
        <v>13684.61</v>
      </c>
      <c r="W317" s="80" t="s">
        <v>1101</v>
      </c>
      <c r="X317" s="96" t="e">
        <f>+N317-#REF!</f>
        <v>#REF!</v>
      </c>
      <c r="Y317" s="94">
        <v>529235.47</v>
      </c>
      <c r="Z317" s="94">
        <f>+(K317*9.1+L317*18.19)*12</f>
        <v>196190.93400000001</v>
      </c>
      <c r="AB317" s="96" t="e">
        <f>+N317-#REF!</f>
        <v>#REF!</v>
      </c>
      <c r="AC317" s="27">
        <f>+N317-'[12]Приложение № 4'!E317</f>
        <v>0</v>
      </c>
      <c r="AE317" s="98" t="e">
        <f>+N317-#REF!</f>
        <v>#REF!</v>
      </c>
      <c r="AG317" s="101" t="s">
        <v>868</v>
      </c>
      <c r="AH317" s="102">
        <f t="shared" si="28"/>
        <v>364412.18740319996</v>
      </c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>
        <v>322155.55</v>
      </c>
      <c r="AV317" s="102">
        <v>42256.637403200002</v>
      </c>
      <c r="AW317" s="102"/>
    </row>
    <row r="318" spans="1:49" ht="15" x14ac:dyDescent="0.25">
      <c r="A318" s="76">
        <f t="shared" si="35"/>
        <v>306</v>
      </c>
      <c r="B318" s="77">
        <f t="shared" si="35"/>
        <v>306</v>
      </c>
      <c r="C318" s="77" t="s">
        <v>50</v>
      </c>
      <c r="D318" s="77" t="s">
        <v>869</v>
      </c>
      <c r="E318" s="78" t="s">
        <v>626</v>
      </c>
      <c r="F318" s="78"/>
      <c r="G318" s="78" t="s">
        <v>570</v>
      </c>
      <c r="H318" s="78" t="s">
        <v>579</v>
      </c>
      <c r="I318" s="78" t="s">
        <v>572</v>
      </c>
      <c r="J318" s="44">
        <v>1205.5999999999999</v>
      </c>
      <c r="K318" s="44">
        <v>1090.5</v>
      </c>
      <c r="L318" s="44">
        <v>0</v>
      </c>
      <c r="M318" s="79">
        <v>53</v>
      </c>
      <c r="N318" s="72">
        <f t="shared" si="41"/>
        <v>370434.04000000004</v>
      </c>
      <c r="O318" s="44">
        <v>0</v>
      </c>
      <c r="P318" s="44"/>
      <c r="Q318" s="44"/>
      <c r="R318" s="44">
        <f>+'[12]Приложение № 4'!E318</f>
        <v>370434.04000000004</v>
      </c>
      <c r="S318" s="44"/>
      <c r="T318" s="44"/>
      <c r="U318" s="44">
        <v>4217.95</v>
      </c>
      <c r="V318" s="44">
        <v>4217.95</v>
      </c>
      <c r="W318" s="80" t="s">
        <v>1101</v>
      </c>
      <c r="X318" s="96" t="e">
        <f>+N318-#REF!</f>
        <v>#REF!</v>
      </c>
      <c r="Y318" s="94">
        <v>667148.47</v>
      </c>
      <c r="Z318" s="94">
        <f>+(K318*9.1+L318*18.19)*12</f>
        <v>119082.59999999999</v>
      </c>
      <c r="AB318" s="96" t="e">
        <f>+N318-#REF!</f>
        <v>#REF!</v>
      </c>
      <c r="AC318" s="27">
        <f>+N318-'[12]Приложение № 4'!E318</f>
        <v>0</v>
      </c>
      <c r="AE318" s="98" t="e">
        <f>+N318-#REF!</f>
        <v>#REF!</v>
      </c>
      <c r="AG318" s="101" t="s">
        <v>869</v>
      </c>
      <c r="AH318" s="102">
        <f t="shared" si="28"/>
        <v>602325.60183440591</v>
      </c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>
        <v>561206.75412536587</v>
      </c>
      <c r="AV318" s="102">
        <v>41118.847709039997</v>
      </c>
      <c r="AW318" s="102"/>
    </row>
    <row r="319" spans="1:49" ht="15" x14ac:dyDescent="0.25">
      <c r="A319" s="76">
        <f t="shared" si="35"/>
        <v>307</v>
      </c>
      <c r="B319" s="77">
        <f t="shared" si="35"/>
        <v>307</v>
      </c>
      <c r="C319" s="77" t="s">
        <v>50</v>
      </c>
      <c r="D319" s="77" t="s">
        <v>870</v>
      </c>
      <c r="E319" s="78" t="s">
        <v>1106</v>
      </c>
      <c r="F319" s="78"/>
      <c r="G319" s="78" t="s">
        <v>570</v>
      </c>
      <c r="H319" s="78" t="s">
        <v>579</v>
      </c>
      <c r="I319" s="78" t="s">
        <v>572</v>
      </c>
      <c r="J319" s="44">
        <v>1375</v>
      </c>
      <c r="K319" s="44">
        <v>1259.4000000000001</v>
      </c>
      <c r="L319" s="44">
        <v>0</v>
      </c>
      <c r="M319" s="79">
        <v>53</v>
      </c>
      <c r="N319" s="72">
        <f t="shared" si="41"/>
        <v>188929.96000000002</v>
      </c>
      <c r="O319" s="44">
        <v>0</v>
      </c>
      <c r="P319" s="44"/>
      <c r="Q319" s="44"/>
      <c r="R319" s="44">
        <f>+'[12]Приложение № 4'!E319</f>
        <v>188929.96000000002</v>
      </c>
      <c r="S319" s="44"/>
      <c r="T319" s="44"/>
      <c r="U319" s="44">
        <v>2417.96</v>
      </c>
      <c r="V319" s="44">
        <v>2417.96</v>
      </c>
      <c r="W319" s="80" t="s">
        <v>1101</v>
      </c>
      <c r="X319" s="96" t="e">
        <f>+N319-#REF!</f>
        <v>#REF!</v>
      </c>
      <c r="Y319" s="94">
        <v>487766.21</v>
      </c>
      <c r="Z319" s="94">
        <f>+(K319*9.1+L319*18.19)*12</f>
        <v>137526.48000000001</v>
      </c>
      <c r="AB319" s="96" t="e">
        <f>+N319-#REF!</f>
        <v>#REF!</v>
      </c>
      <c r="AC319" s="27">
        <f>+N319-'[12]Приложение № 4'!E319</f>
        <v>0</v>
      </c>
      <c r="AE319" s="98" t="e">
        <f>+N319-#REF!</f>
        <v>#REF!</v>
      </c>
      <c r="AG319" s="101" t="s">
        <v>870</v>
      </c>
      <c r="AH319" s="102">
        <f t="shared" si="28"/>
        <v>420661.13113005471</v>
      </c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>
        <v>379622.50813005469</v>
      </c>
      <c r="AV319" s="102">
        <v>41038.623</v>
      </c>
      <c r="AW319" s="102"/>
    </row>
    <row r="320" spans="1:49" ht="15" x14ac:dyDescent="0.25">
      <c r="A320" s="76">
        <f t="shared" si="35"/>
        <v>308</v>
      </c>
      <c r="B320" s="77">
        <f t="shared" si="35"/>
        <v>308</v>
      </c>
      <c r="C320" s="77" t="s">
        <v>50</v>
      </c>
      <c r="D320" s="77" t="s">
        <v>871</v>
      </c>
      <c r="E320" s="78" t="s">
        <v>609</v>
      </c>
      <c r="F320" s="78"/>
      <c r="G320" s="78" t="s">
        <v>570</v>
      </c>
      <c r="H320" s="78" t="s">
        <v>579</v>
      </c>
      <c r="I320" s="78" t="s">
        <v>572</v>
      </c>
      <c r="J320" s="44">
        <v>1403.6</v>
      </c>
      <c r="K320" s="44">
        <v>1213.5</v>
      </c>
      <c r="L320" s="44">
        <v>42.7</v>
      </c>
      <c r="M320" s="79">
        <v>67</v>
      </c>
      <c r="N320" s="72">
        <f t="shared" si="41"/>
        <v>189106.75999999998</v>
      </c>
      <c r="O320" s="44">
        <v>0</v>
      </c>
      <c r="P320" s="44"/>
      <c r="Q320" s="44"/>
      <c r="R320" s="44">
        <f>+'[12]Приложение № 4'!E320</f>
        <v>189106.75999999998</v>
      </c>
      <c r="S320" s="44"/>
      <c r="T320" s="44"/>
      <c r="U320" s="44">
        <v>2417.96</v>
      </c>
      <c r="V320" s="44">
        <v>2417.96</v>
      </c>
      <c r="W320" s="80" t="s">
        <v>1101</v>
      </c>
      <c r="X320" s="96" t="e">
        <f>+N320-#REF!</f>
        <v>#REF!</v>
      </c>
      <c r="Y320" s="94">
        <v>448918.89</v>
      </c>
      <c r="Z320" s="94">
        <f>+(K320*9.1+L320*18.19)*12</f>
        <v>141834.75599999999</v>
      </c>
      <c r="AB320" s="96" t="e">
        <f>+N320-#REF!</f>
        <v>#REF!</v>
      </c>
      <c r="AC320" s="27">
        <f>+N320-'[12]Приложение № 4'!E320</f>
        <v>0</v>
      </c>
      <c r="AE320" s="98" t="e">
        <f>+N320-#REF!</f>
        <v>#REF!</v>
      </c>
      <c r="AG320" s="101" t="s">
        <v>871</v>
      </c>
      <c r="AH320" s="102">
        <f t="shared" si="28"/>
        <v>421045.4983579953</v>
      </c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>
        <v>379955.78591959528</v>
      </c>
      <c r="AV320" s="102">
        <v>41089.712438400005</v>
      </c>
      <c r="AW320" s="102"/>
    </row>
    <row r="321" spans="1:49" ht="15" x14ac:dyDescent="0.25">
      <c r="A321" s="76">
        <f t="shared" si="35"/>
        <v>309</v>
      </c>
      <c r="B321" s="77">
        <f t="shared" si="35"/>
        <v>309</v>
      </c>
      <c r="C321" s="77" t="s">
        <v>50</v>
      </c>
      <c r="D321" s="77" t="s">
        <v>872</v>
      </c>
      <c r="E321" s="78" t="s">
        <v>609</v>
      </c>
      <c r="F321" s="78"/>
      <c r="G321" s="78" t="s">
        <v>570</v>
      </c>
      <c r="H321" s="78" t="s">
        <v>579</v>
      </c>
      <c r="I321" s="78" t="s">
        <v>576</v>
      </c>
      <c r="J321" s="44">
        <v>2344</v>
      </c>
      <c r="K321" s="44">
        <v>1517.7</v>
      </c>
      <c r="L321" s="44">
        <v>471.8</v>
      </c>
      <c r="M321" s="79">
        <v>68</v>
      </c>
      <c r="N321" s="72">
        <f t="shared" si="41"/>
        <v>471293.04</v>
      </c>
      <c r="O321" s="44">
        <v>0</v>
      </c>
      <c r="P321" s="44"/>
      <c r="Q321" s="44"/>
      <c r="R321" s="44">
        <f>+'[12]Приложение № 4'!E321</f>
        <v>471293.04</v>
      </c>
      <c r="S321" s="44"/>
      <c r="T321" s="44"/>
      <c r="U321" s="44">
        <v>2417.96</v>
      </c>
      <c r="V321" s="44">
        <v>2417.96</v>
      </c>
      <c r="W321" s="80" t="s">
        <v>1101</v>
      </c>
      <c r="X321" s="96" t="e">
        <f>+N321-#REF!</f>
        <v>#REF!</v>
      </c>
      <c r="Y321" s="94">
        <v>949723.23</v>
      </c>
      <c r="Z321" s="94">
        <f t="shared" ref="Z321:Z326" si="42">+(K321*9.1+L321*18.19)*12</f>
        <v>268717.34400000004</v>
      </c>
      <c r="AB321" s="96" t="e">
        <f>+N321-#REF!</f>
        <v>#REF!</v>
      </c>
      <c r="AC321" s="27">
        <f>+N321-'[12]Приложение № 4'!E321</f>
        <v>0</v>
      </c>
      <c r="AE321" s="98" t="e">
        <f>+N321-#REF!</f>
        <v>#REF!</v>
      </c>
      <c r="AG321" s="101" t="s">
        <v>872</v>
      </c>
      <c r="AH321" s="102">
        <f t="shared" si="28"/>
        <v>471293.03958592203</v>
      </c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>
        <v>428523.44924992201</v>
      </c>
      <c r="AV321" s="102">
        <v>42769.590335999994</v>
      </c>
      <c r="AW321" s="102"/>
    </row>
    <row r="322" spans="1:49" ht="15" x14ac:dyDescent="0.25">
      <c r="A322" s="76">
        <f t="shared" si="35"/>
        <v>310</v>
      </c>
      <c r="B322" s="77">
        <f t="shared" si="35"/>
        <v>310</v>
      </c>
      <c r="C322" s="77" t="s">
        <v>50</v>
      </c>
      <c r="D322" s="77" t="s">
        <v>873</v>
      </c>
      <c r="E322" s="78" t="s">
        <v>592</v>
      </c>
      <c r="F322" s="78"/>
      <c r="G322" s="78" t="s">
        <v>570</v>
      </c>
      <c r="H322" s="78" t="s">
        <v>579</v>
      </c>
      <c r="I322" s="78" t="s">
        <v>572</v>
      </c>
      <c r="J322" s="44">
        <v>1403.6</v>
      </c>
      <c r="K322" s="44">
        <v>1283.1500000000001</v>
      </c>
      <c r="L322" s="44">
        <v>0</v>
      </c>
      <c r="M322" s="79">
        <v>53</v>
      </c>
      <c r="N322" s="72">
        <f t="shared" si="41"/>
        <v>420969.74</v>
      </c>
      <c r="O322" s="44">
        <v>0</v>
      </c>
      <c r="P322" s="44"/>
      <c r="Q322" s="44"/>
      <c r="R322" s="44">
        <f>+'[12]Приложение № 4'!E322</f>
        <v>420969.74</v>
      </c>
      <c r="S322" s="44"/>
      <c r="T322" s="44"/>
      <c r="U322" s="44">
        <v>2417.96</v>
      </c>
      <c r="V322" s="44">
        <v>2417.96</v>
      </c>
      <c r="W322" s="80" t="s">
        <v>1101</v>
      </c>
      <c r="X322" s="96" t="e">
        <f>+N322-#REF!</f>
        <v>#REF!</v>
      </c>
      <c r="Y322" s="94">
        <v>451942.8</v>
      </c>
      <c r="Z322" s="94">
        <f t="shared" si="42"/>
        <v>140119.98000000001</v>
      </c>
      <c r="AB322" s="96" t="e">
        <f>+N322-#REF!</f>
        <v>#REF!</v>
      </c>
      <c r="AC322" s="27">
        <f>+N322-'[12]Приложение № 4'!E322</f>
        <v>0</v>
      </c>
      <c r="AE322" s="98" t="e">
        <f>+N322-#REF!</f>
        <v>#REF!</v>
      </c>
      <c r="AG322" s="101" t="s">
        <v>873</v>
      </c>
      <c r="AH322" s="102">
        <f t="shared" si="28"/>
        <v>420969.75340582698</v>
      </c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>
        <v>379880.04096742696</v>
      </c>
      <c r="AV322" s="102">
        <v>41089.712438400005</v>
      </c>
      <c r="AW322" s="102"/>
    </row>
    <row r="323" spans="1:49" ht="15" x14ac:dyDescent="0.25">
      <c r="A323" s="76">
        <f t="shared" si="35"/>
        <v>311</v>
      </c>
      <c r="B323" s="77">
        <f t="shared" si="35"/>
        <v>311</v>
      </c>
      <c r="C323" s="77" t="s">
        <v>50</v>
      </c>
      <c r="D323" s="77" t="s">
        <v>874</v>
      </c>
      <c r="E323" s="78" t="s">
        <v>592</v>
      </c>
      <c r="F323" s="78"/>
      <c r="G323" s="78" t="s">
        <v>570</v>
      </c>
      <c r="H323" s="78" t="s">
        <v>579</v>
      </c>
      <c r="I323" s="78" t="s">
        <v>572</v>
      </c>
      <c r="J323" s="44">
        <v>1397.9</v>
      </c>
      <c r="K323" s="44">
        <v>1279</v>
      </c>
      <c r="L323" s="44">
        <v>0</v>
      </c>
      <c r="M323" s="79">
        <v>70</v>
      </c>
      <c r="N323" s="72">
        <f t="shared" si="41"/>
        <v>422368.42000000004</v>
      </c>
      <c r="O323" s="44">
        <v>0</v>
      </c>
      <c r="P323" s="44"/>
      <c r="Q323" s="44"/>
      <c r="R323" s="44">
        <f>+'[12]Приложение № 4'!E323</f>
        <v>422368.42000000004</v>
      </c>
      <c r="S323" s="44"/>
      <c r="T323" s="44"/>
      <c r="U323" s="44">
        <v>2417.96</v>
      </c>
      <c r="V323" s="44">
        <v>2417.96</v>
      </c>
      <c r="W323" s="80" t="s">
        <v>1101</v>
      </c>
      <c r="X323" s="96" t="e">
        <f>+N323-#REF!</f>
        <v>#REF!</v>
      </c>
      <c r="Y323" s="94">
        <v>432717.56</v>
      </c>
      <c r="Z323" s="94">
        <f t="shared" si="42"/>
        <v>139666.79999999999</v>
      </c>
      <c r="AB323" s="96" t="e">
        <f>+N323-#REF!</f>
        <v>#REF!</v>
      </c>
      <c r="AC323" s="27">
        <f>+N323-'[12]Приложение № 4'!E323</f>
        <v>0</v>
      </c>
      <c r="AE323" s="98" t="e">
        <f>+N323-#REF!</f>
        <v>#REF!</v>
      </c>
      <c r="AG323" s="101" t="s">
        <v>874</v>
      </c>
      <c r="AH323" s="102">
        <f t="shared" si="28"/>
        <v>422368.42735535774</v>
      </c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>
        <v>381288.89707775775</v>
      </c>
      <c r="AV323" s="102">
        <v>41079.530277600003</v>
      </c>
      <c r="AW323" s="102"/>
    </row>
    <row r="324" spans="1:49" ht="15" x14ac:dyDescent="0.25">
      <c r="A324" s="76">
        <f t="shared" si="35"/>
        <v>312</v>
      </c>
      <c r="B324" s="77">
        <f t="shared" si="35"/>
        <v>312</v>
      </c>
      <c r="C324" s="77" t="s">
        <v>50</v>
      </c>
      <c r="D324" s="77" t="s">
        <v>875</v>
      </c>
      <c r="E324" s="78" t="s">
        <v>592</v>
      </c>
      <c r="F324" s="78"/>
      <c r="G324" s="78" t="s">
        <v>570</v>
      </c>
      <c r="H324" s="78" t="s">
        <v>579</v>
      </c>
      <c r="I324" s="78" t="s">
        <v>572</v>
      </c>
      <c r="J324" s="44">
        <v>1401</v>
      </c>
      <c r="K324" s="44">
        <v>1278.8</v>
      </c>
      <c r="L324" s="44">
        <v>0</v>
      </c>
      <c r="M324" s="79">
        <v>66</v>
      </c>
      <c r="N324" s="72">
        <f t="shared" si="41"/>
        <v>421146.89999999997</v>
      </c>
      <c r="O324" s="44">
        <v>0</v>
      </c>
      <c r="P324" s="44"/>
      <c r="Q324" s="44"/>
      <c r="R324" s="44">
        <f>+'[12]Приложение № 4'!E324</f>
        <v>421146.89999999997</v>
      </c>
      <c r="S324" s="44"/>
      <c r="T324" s="44"/>
      <c r="U324" s="44">
        <v>2417.96</v>
      </c>
      <c r="V324" s="44">
        <v>2417.96</v>
      </c>
      <c r="W324" s="80" t="s">
        <v>1101</v>
      </c>
      <c r="X324" s="96" t="e">
        <f>+N324-#REF!</f>
        <v>#REF!</v>
      </c>
      <c r="Y324" s="94">
        <v>504363.2</v>
      </c>
      <c r="Z324" s="94">
        <f t="shared" si="42"/>
        <v>139644.96</v>
      </c>
      <c r="AB324" s="96" t="e">
        <f>+N324-#REF!</f>
        <v>#REF!</v>
      </c>
      <c r="AC324" s="27">
        <f>+N324-'[12]Приложение № 4'!E324</f>
        <v>0</v>
      </c>
      <c r="AE324" s="98" t="e">
        <f>+N324-#REF!</f>
        <v>#REF!</v>
      </c>
      <c r="AG324" s="101" t="s">
        <v>875</v>
      </c>
      <c r="AH324" s="102">
        <f t="shared" si="28"/>
        <v>421146.89679663093</v>
      </c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>
        <v>380061.82885263092</v>
      </c>
      <c r="AV324" s="102">
        <v>41085.067943999995</v>
      </c>
      <c r="AW324" s="102"/>
    </row>
    <row r="325" spans="1:49" ht="15" x14ac:dyDescent="0.25">
      <c r="A325" s="76">
        <f t="shared" si="35"/>
        <v>313</v>
      </c>
      <c r="B325" s="77">
        <f t="shared" si="35"/>
        <v>313</v>
      </c>
      <c r="C325" s="77" t="s">
        <v>50</v>
      </c>
      <c r="D325" s="77" t="s">
        <v>876</v>
      </c>
      <c r="E325" s="78" t="s">
        <v>592</v>
      </c>
      <c r="F325" s="78"/>
      <c r="G325" s="78" t="s">
        <v>570</v>
      </c>
      <c r="H325" s="78" t="s">
        <v>579</v>
      </c>
      <c r="I325" s="78" t="s">
        <v>572</v>
      </c>
      <c r="J325" s="44">
        <v>1391.9</v>
      </c>
      <c r="K325" s="44">
        <v>1292.4000000000001</v>
      </c>
      <c r="L325" s="44">
        <v>0</v>
      </c>
      <c r="M325" s="79">
        <v>56</v>
      </c>
      <c r="N325" s="72">
        <f t="shared" si="41"/>
        <v>420842.81</v>
      </c>
      <c r="O325" s="44">
        <v>0</v>
      </c>
      <c r="P325" s="44"/>
      <c r="Q325" s="44"/>
      <c r="R325" s="44">
        <f>+'[12]Приложение № 4'!E325</f>
        <v>420842.81</v>
      </c>
      <c r="S325" s="44"/>
      <c r="T325" s="44"/>
      <c r="U325" s="44">
        <v>2417.96</v>
      </c>
      <c r="V325" s="44">
        <v>2417.96</v>
      </c>
      <c r="W325" s="80" t="s">
        <v>1101</v>
      </c>
      <c r="X325" s="96" t="e">
        <f>+N325-#REF!</f>
        <v>#REF!</v>
      </c>
      <c r="Y325" s="94">
        <v>470165.94</v>
      </c>
      <c r="Z325" s="94">
        <f t="shared" si="42"/>
        <v>141130.08000000002</v>
      </c>
      <c r="AB325" s="96" t="e">
        <f>+N325-#REF!</f>
        <v>#REF!</v>
      </c>
      <c r="AC325" s="27">
        <f>+N325-'[12]Приложение № 4'!E325</f>
        <v>0</v>
      </c>
      <c r="AE325" s="98" t="e">
        <f>+N325-#REF!</f>
        <v>#REF!</v>
      </c>
      <c r="AG325" s="101" t="s">
        <v>876</v>
      </c>
      <c r="AH325" s="102">
        <f t="shared" si="28"/>
        <v>420842.81024799123</v>
      </c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>
        <v>379773.99803439126</v>
      </c>
      <c r="AV325" s="102">
        <v>41068.812213600002</v>
      </c>
      <c r="AW325" s="102"/>
    </row>
    <row r="326" spans="1:49" ht="15" x14ac:dyDescent="0.25">
      <c r="A326" s="76">
        <f t="shared" si="35"/>
        <v>314</v>
      </c>
      <c r="B326" s="77">
        <f t="shared" si="35"/>
        <v>314</v>
      </c>
      <c r="C326" s="77" t="s">
        <v>50</v>
      </c>
      <c r="D326" s="77" t="s">
        <v>877</v>
      </c>
      <c r="E326" s="78" t="s">
        <v>592</v>
      </c>
      <c r="F326" s="78"/>
      <c r="G326" s="78" t="s">
        <v>570</v>
      </c>
      <c r="H326" s="78" t="s">
        <v>579</v>
      </c>
      <c r="I326" s="78" t="s">
        <v>575</v>
      </c>
      <c r="J326" s="44">
        <v>2337.1999999999998</v>
      </c>
      <c r="K326" s="44">
        <v>1992.27</v>
      </c>
      <c r="L326" s="44">
        <v>45.7</v>
      </c>
      <c r="M326" s="79">
        <v>101</v>
      </c>
      <c r="N326" s="72">
        <f t="shared" si="41"/>
        <v>474068.29999999993</v>
      </c>
      <c r="O326" s="44">
        <v>0</v>
      </c>
      <c r="P326" s="44"/>
      <c r="Q326" s="44"/>
      <c r="R326" s="44">
        <f>+'[12]Приложение № 4'!E326</f>
        <v>474068.29999999993</v>
      </c>
      <c r="S326" s="44"/>
      <c r="T326" s="44"/>
      <c r="U326" s="44">
        <v>2417.96</v>
      </c>
      <c r="V326" s="44">
        <v>2417.96</v>
      </c>
      <c r="W326" s="80" t="s">
        <v>1101</v>
      </c>
      <c r="X326" s="96" t="e">
        <f>+N326-#REF!</f>
        <v>#REF!</v>
      </c>
      <c r="Y326" s="94">
        <v>764482.88</v>
      </c>
      <c r="Z326" s="94">
        <f t="shared" si="42"/>
        <v>227531.27999999997</v>
      </c>
      <c r="AB326" s="96" t="e">
        <f>+N326-#REF!</f>
        <v>#REF!</v>
      </c>
      <c r="AC326" s="27">
        <f>+N326-'[12]Приложение № 4'!E326</f>
        <v>0</v>
      </c>
      <c r="AE326" s="98" t="e">
        <f>+N326-#REF!</f>
        <v>#REF!</v>
      </c>
      <c r="AG326" s="101" t="s">
        <v>877</v>
      </c>
      <c r="AH326" s="102">
        <f t="shared" si="28"/>
        <v>474068.30668651633</v>
      </c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>
        <v>431310.86348971631</v>
      </c>
      <c r="AV326" s="102">
        <v>42757.443196799999</v>
      </c>
      <c r="AW326" s="102"/>
    </row>
    <row r="327" spans="1:49" ht="15" x14ac:dyDescent="0.25">
      <c r="A327" s="76">
        <f t="shared" si="35"/>
        <v>315</v>
      </c>
      <c r="B327" s="77">
        <f t="shared" si="35"/>
        <v>315</v>
      </c>
      <c r="C327" s="77" t="s">
        <v>50</v>
      </c>
      <c r="D327" s="77" t="s">
        <v>878</v>
      </c>
      <c r="E327" s="78" t="s">
        <v>1106</v>
      </c>
      <c r="F327" s="78"/>
      <c r="G327" s="78" t="s">
        <v>570</v>
      </c>
      <c r="H327" s="78" t="s">
        <v>579</v>
      </c>
      <c r="I327" s="78" t="s">
        <v>572</v>
      </c>
      <c r="J327" s="44">
        <v>1404.7</v>
      </c>
      <c r="K327" s="44">
        <v>948.8</v>
      </c>
      <c r="L327" s="44">
        <v>348.8</v>
      </c>
      <c r="M327" s="79">
        <v>39</v>
      </c>
      <c r="N327" s="72">
        <f t="shared" si="41"/>
        <v>187169.13</v>
      </c>
      <c r="O327" s="44">
        <v>0</v>
      </c>
      <c r="P327" s="44"/>
      <c r="Q327" s="44"/>
      <c r="R327" s="44">
        <f>+'[12]Приложение № 4'!E327</f>
        <v>187169.13</v>
      </c>
      <c r="S327" s="44"/>
      <c r="T327" s="44"/>
      <c r="U327" s="44">
        <v>2417.96</v>
      </c>
      <c r="V327" s="44">
        <v>2417.96</v>
      </c>
      <c r="W327" s="80" t="s">
        <v>1101</v>
      </c>
      <c r="X327" s="96" t="e">
        <f>+N327-#REF!</f>
        <v>#REF!</v>
      </c>
      <c r="Y327" s="94">
        <v>320497.94</v>
      </c>
      <c r="Z327" s="94">
        <f>+(K327*9.1+L327*18.19)*12</f>
        <v>179745.024</v>
      </c>
      <c r="AB327" s="96" t="e">
        <f>+N327-#REF!</f>
        <v>#REF!</v>
      </c>
      <c r="AC327" s="27">
        <f>+N327-'[12]Приложение № 4'!E327</f>
        <v>0</v>
      </c>
      <c r="AE327" s="98" t="e">
        <f>+N327-#REF!</f>
        <v>#REF!</v>
      </c>
      <c r="AG327" s="101" t="s">
        <v>878</v>
      </c>
      <c r="AH327" s="102">
        <f t="shared" si="28"/>
        <v>416376.97071903053</v>
      </c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>
        <v>375285.29330223054</v>
      </c>
      <c r="AV327" s="102">
        <v>41091.677416799997</v>
      </c>
      <c r="AW327" s="102"/>
    </row>
    <row r="328" spans="1:49" ht="15" x14ac:dyDescent="0.25">
      <c r="A328" s="76">
        <f t="shared" si="35"/>
        <v>316</v>
      </c>
      <c r="B328" s="77">
        <f t="shared" si="35"/>
        <v>316</v>
      </c>
      <c r="C328" s="77" t="s">
        <v>50</v>
      </c>
      <c r="D328" s="77" t="s">
        <v>879</v>
      </c>
      <c r="E328" s="78" t="s">
        <v>1106</v>
      </c>
      <c r="F328" s="78"/>
      <c r="G328" s="78" t="s">
        <v>570</v>
      </c>
      <c r="H328" s="78" t="s">
        <v>579</v>
      </c>
      <c r="I328" s="78" t="s">
        <v>572</v>
      </c>
      <c r="J328" s="44">
        <v>1374</v>
      </c>
      <c r="K328" s="44">
        <v>1179.99</v>
      </c>
      <c r="L328" s="44">
        <v>72.599999999999994</v>
      </c>
      <c r="M328" s="79">
        <v>60</v>
      </c>
      <c r="N328" s="72">
        <f t="shared" si="41"/>
        <v>422492.39</v>
      </c>
      <c r="O328" s="44">
        <v>0</v>
      </c>
      <c r="P328" s="44"/>
      <c r="Q328" s="44"/>
      <c r="R328" s="44">
        <f>+'[12]Приложение № 4'!E328</f>
        <v>422492.39</v>
      </c>
      <c r="S328" s="44"/>
      <c r="T328" s="44"/>
      <c r="U328" s="44">
        <v>2417.96</v>
      </c>
      <c r="V328" s="44">
        <v>2417.96</v>
      </c>
      <c r="W328" s="80" t="s">
        <v>1101</v>
      </c>
      <c r="X328" s="96" t="e">
        <f>+N328-#REF!</f>
        <v>#REF!</v>
      </c>
      <c r="Y328" s="94">
        <v>412714.17</v>
      </c>
      <c r="Z328" s="94">
        <f>+(K328*9.1+L328*18.19)*12</f>
        <v>144702.03600000002</v>
      </c>
      <c r="AB328" s="96" t="e">
        <f>+N328-#REF!</f>
        <v>#REF!</v>
      </c>
      <c r="AC328" s="27">
        <f>+N328-'[12]Приложение № 4'!E328</f>
        <v>0</v>
      </c>
      <c r="AE328" s="98" t="e">
        <f>+N328-#REF!</f>
        <v>#REF!</v>
      </c>
      <c r="AG328" s="101" t="s">
        <v>879</v>
      </c>
      <c r="AH328" s="102">
        <f t="shared" si="28"/>
        <v>422492.3726285281</v>
      </c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>
        <v>381455.5359725281</v>
      </c>
      <c r="AV328" s="102">
        <v>41036.836655999999</v>
      </c>
      <c r="AW328" s="102"/>
    </row>
    <row r="329" spans="1:49" ht="15" x14ac:dyDescent="0.25">
      <c r="A329" s="76">
        <f t="shared" si="35"/>
        <v>317</v>
      </c>
      <c r="B329" s="77">
        <f t="shared" si="35"/>
        <v>317</v>
      </c>
      <c r="C329" s="77" t="s">
        <v>50</v>
      </c>
      <c r="D329" s="77" t="s">
        <v>880</v>
      </c>
      <c r="E329" s="78" t="s">
        <v>1109</v>
      </c>
      <c r="F329" s="78"/>
      <c r="G329" s="78" t="s">
        <v>570</v>
      </c>
      <c r="H329" s="78" t="s">
        <v>579</v>
      </c>
      <c r="I329" s="78" t="s">
        <v>572</v>
      </c>
      <c r="J329" s="44">
        <v>1327.8</v>
      </c>
      <c r="K329" s="44">
        <v>1087.8</v>
      </c>
      <c r="L329" s="44">
        <v>116.8</v>
      </c>
      <c r="M329" s="79">
        <v>51</v>
      </c>
      <c r="N329" s="72">
        <f t="shared" si="41"/>
        <v>409879.29560779349</v>
      </c>
      <c r="O329" s="44">
        <v>0</v>
      </c>
      <c r="P329" s="44"/>
      <c r="Q329" s="44"/>
      <c r="R329" s="44">
        <f>+'[12]Приложение № 4'!E329</f>
        <v>409879.29560779349</v>
      </c>
      <c r="S329" s="44"/>
      <c r="T329" s="44"/>
      <c r="U329" s="44">
        <v>2417.96</v>
      </c>
      <c r="V329" s="44">
        <v>2417.96</v>
      </c>
      <c r="W329" s="80" t="s">
        <v>1101</v>
      </c>
      <c r="X329" s="96" t="e">
        <f>+N329-#REF!</f>
        <v>#REF!</v>
      </c>
      <c r="Y329" s="94">
        <v>421908.85</v>
      </c>
      <c r="Z329" s="94">
        <f>+(K329*9.1+L329*18.19)*12</f>
        <v>144282.864</v>
      </c>
      <c r="AB329" s="96" t="e">
        <f>+N329-#REF!</f>
        <v>#REF!</v>
      </c>
      <c r="AC329" s="27">
        <f>+N329-'[12]Приложение № 4'!E329</f>
        <v>0</v>
      </c>
      <c r="AE329" s="98" t="e">
        <f>+N329-#REF!</f>
        <v>#REF!</v>
      </c>
      <c r="AG329" s="101" t="s">
        <v>880</v>
      </c>
      <c r="AH329" s="102">
        <f t="shared" si="28"/>
        <v>423879.29560779349</v>
      </c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>
        <v>382924.98804459348</v>
      </c>
      <c r="AV329" s="102">
        <v>40954.307563199996</v>
      </c>
      <c r="AW329" s="102"/>
    </row>
    <row r="330" spans="1:49" ht="15" x14ac:dyDescent="0.25">
      <c r="A330" s="76">
        <f t="shared" si="35"/>
        <v>318</v>
      </c>
      <c r="B330" s="77">
        <f t="shared" si="35"/>
        <v>318</v>
      </c>
      <c r="C330" s="77" t="s">
        <v>50</v>
      </c>
      <c r="D330" s="77" t="s">
        <v>881</v>
      </c>
      <c r="E330" s="78" t="s">
        <v>1109</v>
      </c>
      <c r="F330" s="78"/>
      <c r="G330" s="78" t="s">
        <v>570</v>
      </c>
      <c r="H330" s="78" t="s">
        <v>579</v>
      </c>
      <c r="I330" s="78" t="s">
        <v>572</v>
      </c>
      <c r="J330" s="44">
        <v>1377</v>
      </c>
      <c r="K330" s="44">
        <v>1273.2</v>
      </c>
      <c r="L330" s="44">
        <v>0</v>
      </c>
      <c r="M330" s="79">
        <v>50</v>
      </c>
      <c r="N330" s="72">
        <f t="shared" si="41"/>
        <v>408815.86045963498</v>
      </c>
      <c r="O330" s="44">
        <v>0</v>
      </c>
      <c r="P330" s="44"/>
      <c r="Q330" s="44"/>
      <c r="R330" s="44">
        <f>+'[12]Приложение № 4'!E330</f>
        <v>408815.86045963498</v>
      </c>
      <c r="S330" s="44"/>
      <c r="T330" s="44"/>
      <c r="U330" s="44">
        <v>2417.96</v>
      </c>
      <c r="V330" s="44">
        <v>2417.96</v>
      </c>
      <c r="W330" s="80" t="s">
        <v>1101</v>
      </c>
      <c r="X330" s="96" t="e">
        <f>+N330-#REF!</f>
        <v>#REF!</v>
      </c>
      <c r="Y330" s="94">
        <v>482364.72</v>
      </c>
      <c r="Z330" s="94">
        <f>+(K330*9.1+L330*18.19)*12</f>
        <v>139033.44</v>
      </c>
      <c r="AB330" s="96" t="e">
        <f>+N330-#REF!</f>
        <v>#REF!</v>
      </c>
      <c r="AC330" s="27">
        <f>+N330-'[12]Приложение № 4'!E330</f>
        <v>0</v>
      </c>
      <c r="AE330" s="98" t="e">
        <f>+N330-#REF!</f>
        <v>#REF!</v>
      </c>
      <c r="AG330" s="101" t="s">
        <v>881</v>
      </c>
      <c r="AH330" s="102">
        <f t="shared" si="28"/>
        <v>422815.86045963498</v>
      </c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>
        <v>381773.66477163497</v>
      </c>
      <c r="AV330" s="102">
        <v>41042.195688</v>
      </c>
      <c r="AW330" s="102"/>
    </row>
    <row r="331" spans="1:49" ht="15" x14ac:dyDescent="0.25">
      <c r="A331" s="76">
        <f t="shared" si="35"/>
        <v>319</v>
      </c>
      <c r="B331" s="77">
        <f t="shared" si="35"/>
        <v>319</v>
      </c>
      <c r="C331" s="77" t="s">
        <v>50</v>
      </c>
      <c r="D331" s="77" t="s">
        <v>882</v>
      </c>
      <c r="E331" s="78" t="s">
        <v>601</v>
      </c>
      <c r="F331" s="78"/>
      <c r="G331" s="78" t="s">
        <v>570</v>
      </c>
      <c r="H331" s="78" t="s">
        <v>571</v>
      </c>
      <c r="I331" s="78" t="s">
        <v>576</v>
      </c>
      <c r="J331" s="44">
        <v>2270.9</v>
      </c>
      <c r="K331" s="44">
        <v>1830.2</v>
      </c>
      <c r="L331" s="44">
        <v>178.8</v>
      </c>
      <c r="M331" s="79">
        <v>79</v>
      </c>
      <c r="N331" s="72">
        <f t="shared" si="41"/>
        <v>2172802.8698562942</v>
      </c>
      <c r="O331" s="44">
        <v>0</v>
      </c>
      <c r="P331" s="44"/>
      <c r="Q331" s="44"/>
      <c r="R331" s="44">
        <f>+'[12]Приложение № 4'!E331</f>
        <v>2172802.8698562942</v>
      </c>
      <c r="S331" s="44"/>
      <c r="T331" s="44"/>
      <c r="U331" s="44">
        <v>13087.73</v>
      </c>
      <c r="V331" s="44">
        <v>13087.73</v>
      </c>
      <c r="W331" s="80" t="s">
        <v>1101</v>
      </c>
      <c r="X331" s="96" t="e">
        <f>+N331-#REF!</f>
        <v>#REF!</v>
      </c>
      <c r="Y331" s="94">
        <v>982760.79</v>
      </c>
      <c r="Z331" s="94">
        <f>+(K331*12.08+L331*20.47)*12</f>
        <v>309226.22399999999</v>
      </c>
      <c r="AB331" s="96" t="e">
        <f>+N331-#REF!</f>
        <v>#REF!</v>
      </c>
      <c r="AC331" s="27">
        <f>+N331-'[12]Приложение № 4'!E331</f>
        <v>0</v>
      </c>
      <c r="AE331" s="98" t="e">
        <f>+N331-#REF!</f>
        <v>#REF!</v>
      </c>
      <c r="AG331" s="101" t="s">
        <v>882</v>
      </c>
      <c r="AH331" s="102">
        <f t="shared" si="28"/>
        <v>2184802.8698562942</v>
      </c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>
        <v>2143773.6265800274</v>
      </c>
      <c r="AV331" s="102">
        <v>41029.243276266665</v>
      </c>
      <c r="AW331" s="102"/>
    </row>
    <row r="332" spans="1:49" ht="15" x14ac:dyDescent="0.25">
      <c r="A332" s="76">
        <f t="shared" si="35"/>
        <v>320</v>
      </c>
      <c r="B332" s="77">
        <f t="shared" si="35"/>
        <v>320</v>
      </c>
      <c r="C332" s="77" t="s">
        <v>50</v>
      </c>
      <c r="D332" s="77" t="s">
        <v>1013</v>
      </c>
      <c r="E332" s="78" t="s">
        <v>626</v>
      </c>
      <c r="F332" s="78"/>
      <c r="G332" s="78" t="s">
        <v>570</v>
      </c>
      <c r="H332" s="78" t="s">
        <v>579</v>
      </c>
      <c r="I332" s="78" t="s">
        <v>583</v>
      </c>
      <c r="J332" s="44">
        <v>4690.3</v>
      </c>
      <c r="K332" s="44">
        <v>3385.09</v>
      </c>
      <c r="L332" s="44">
        <v>991.41</v>
      </c>
      <c r="M332" s="79">
        <v>166</v>
      </c>
      <c r="N332" s="72">
        <f t="shared" si="41"/>
        <v>934622.45</v>
      </c>
      <c r="O332" s="44">
        <v>0</v>
      </c>
      <c r="P332" s="44"/>
      <c r="Q332" s="44"/>
      <c r="R332" s="44">
        <f>+'[12]Приложение № 4'!E332</f>
        <v>934622.45</v>
      </c>
      <c r="S332" s="44"/>
      <c r="T332" s="44"/>
      <c r="U332" s="44">
        <v>4791.7700000000004</v>
      </c>
      <c r="V332" s="44">
        <v>4791.7700000000004</v>
      </c>
      <c r="W332" s="80" t="s">
        <v>1101</v>
      </c>
      <c r="X332" s="96" t="e">
        <f>+N332-#REF!</f>
        <v>#REF!</v>
      </c>
      <c r="Y332" s="94">
        <v>1426454.79</v>
      </c>
      <c r="Z332" s="94">
        <f t="shared" ref="Z332" si="43">+(K332*9.1+L332*18.19)*12</f>
        <v>586056.80280000006</v>
      </c>
      <c r="AB332" s="96" t="e">
        <f>+N332-#REF!</f>
        <v>#REF!</v>
      </c>
      <c r="AC332" s="27">
        <f>+N332-'[12]Приложение № 4'!E332</f>
        <v>0</v>
      </c>
      <c r="AE332" s="98" t="e">
        <f>+N332-#REF!</f>
        <v>#REF!</v>
      </c>
      <c r="AG332" s="101" t="s">
        <v>1013</v>
      </c>
      <c r="AH332" s="102">
        <f>SUM(AI332:AW332)</f>
        <v>934622.4561395006</v>
      </c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>
        <v>887661.56687630061</v>
      </c>
      <c r="AV332" s="102">
        <v>46960.889263199999</v>
      </c>
      <c r="AW332" s="102"/>
    </row>
    <row r="333" spans="1:49" ht="15" x14ac:dyDescent="0.25">
      <c r="A333" s="76">
        <f t="shared" si="35"/>
        <v>321</v>
      </c>
      <c r="B333" s="77">
        <f t="shared" si="35"/>
        <v>321</v>
      </c>
      <c r="C333" s="77" t="s">
        <v>50</v>
      </c>
      <c r="D333" s="77" t="s">
        <v>1014</v>
      </c>
      <c r="E333" s="78" t="s">
        <v>578</v>
      </c>
      <c r="F333" s="78"/>
      <c r="G333" s="78" t="s">
        <v>570</v>
      </c>
      <c r="H333" s="78" t="s">
        <v>571</v>
      </c>
      <c r="I333" s="78" t="s">
        <v>576</v>
      </c>
      <c r="J333" s="44">
        <v>2286.6999999999998</v>
      </c>
      <c r="K333" s="44">
        <v>2021.3</v>
      </c>
      <c r="L333" s="44">
        <v>0</v>
      </c>
      <c r="M333" s="79">
        <v>76</v>
      </c>
      <c r="N333" s="72">
        <f t="shared" si="41"/>
        <v>911565.37420800002</v>
      </c>
      <c r="O333" s="44">
        <v>0</v>
      </c>
      <c r="P333" s="44"/>
      <c r="Q333" s="44"/>
      <c r="R333" s="44">
        <f>+'[12]Приложение № 4'!E333</f>
        <v>911565.37420800002</v>
      </c>
      <c r="S333" s="44"/>
      <c r="T333" s="44"/>
      <c r="U333" s="44">
        <v>3730.53</v>
      </c>
      <c r="V333" s="44">
        <v>3730.53</v>
      </c>
      <c r="W333" s="80" t="s">
        <v>1101</v>
      </c>
      <c r="X333" s="96" t="e">
        <f>+N333-#REF!</f>
        <v>#REF!</v>
      </c>
      <c r="Y333" s="94">
        <v>856434.57</v>
      </c>
      <c r="Z333" s="94">
        <f>+(K333*12.08+L333*20.47)*12</f>
        <v>293007.64799999999</v>
      </c>
      <c r="AB333" s="96" t="e">
        <f>+N333-#REF!</f>
        <v>#REF!</v>
      </c>
      <c r="AC333" s="27">
        <f>+N333-'[12]Приложение № 4'!E333</f>
        <v>0</v>
      </c>
      <c r="AE333" s="98" t="e">
        <f>+N333-#REF!</f>
        <v>#REF!</v>
      </c>
      <c r="AG333" s="101" t="s">
        <v>1014</v>
      </c>
      <c r="AH333" s="102">
        <f>SUM(AI333:AW333)</f>
        <v>911565.37420800002</v>
      </c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>
        <v>887565.37420800002</v>
      </c>
      <c r="AV333" s="102">
        <v>24000</v>
      </c>
      <c r="AW333" s="102"/>
    </row>
    <row r="334" spans="1:49" ht="15" x14ac:dyDescent="0.25">
      <c r="A334" s="76">
        <f t="shared" si="35"/>
        <v>322</v>
      </c>
      <c r="B334" s="77">
        <f t="shared" si="35"/>
        <v>322</v>
      </c>
      <c r="C334" s="77" t="s">
        <v>50</v>
      </c>
      <c r="D334" s="77" t="s">
        <v>1015</v>
      </c>
      <c r="E334" s="78" t="s">
        <v>1109</v>
      </c>
      <c r="F334" s="78"/>
      <c r="G334" s="78" t="s">
        <v>570</v>
      </c>
      <c r="H334" s="78" t="s">
        <v>579</v>
      </c>
      <c r="I334" s="78" t="s">
        <v>572</v>
      </c>
      <c r="J334" s="44">
        <v>1367.9</v>
      </c>
      <c r="K334" s="44">
        <v>1174.8</v>
      </c>
      <c r="L334" s="44">
        <v>86.4</v>
      </c>
      <c r="M334" s="79">
        <v>46</v>
      </c>
      <c r="N334" s="72">
        <f t="shared" si="41"/>
        <v>496809.09589427832</v>
      </c>
      <c r="O334" s="44">
        <v>0</v>
      </c>
      <c r="P334" s="44"/>
      <c r="Q334" s="44"/>
      <c r="R334" s="44">
        <f>+'[12]Приложение № 4'!E334</f>
        <v>496809.09589427832</v>
      </c>
      <c r="S334" s="44"/>
      <c r="T334" s="44"/>
      <c r="U334" s="44">
        <v>4412.4799999999996</v>
      </c>
      <c r="V334" s="44">
        <v>4412.4799999999996</v>
      </c>
      <c r="W334" s="80" t="s">
        <v>1101</v>
      </c>
      <c r="X334" s="96" t="e">
        <f>+N334-#REF!</f>
        <v>#REF!</v>
      </c>
      <c r="Y334" s="94">
        <v>453376.26</v>
      </c>
      <c r="Z334" s="94">
        <f>+(K334*9.1+L334*18.19)*12</f>
        <v>147147.55199999997</v>
      </c>
      <c r="AB334" s="96" t="e">
        <f>+N334-#REF!</f>
        <v>#REF!</v>
      </c>
      <c r="AC334" s="27">
        <f>+N334-'[12]Приложение № 4'!E334</f>
        <v>0</v>
      </c>
      <c r="AE334" s="98" t="e">
        <f>+N334-#REF!</f>
        <v>#REF!</v>
      </c>
      <c r="AG334" s="101" t="s">
        <v>1015</v>
      </c>
      <c r="AH334" s="102">
        <f>SUM(AI334:AW334)</f>
        <v>496809.09589427832</v>
      </c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>
        <v>472809.09589427832</v>
      </c>
      <c r="AV334" s="102">
        <v>24000</v>
      </c>
      <c r="AW334" s="102"/>
    </row>
    <row r="335" spans="1:49" ht="15" x14ac:dyDescent="0.25">
      <c r="A335" s="76">
        <f t="shared" ref="A335:B398" si="44">+A334+1</f>
        <v>323</v>
      </c>
      <c r="B335" s="77">
        <f t="shared" si="44"/>
        <v>323</v>
      </c>
      <c r="C335" s="77" t="s">
        <v>50</v>
      </c>
      <c r="D335" s="77" t="s">
        <v>1135</v>
      </c>
      <c r="E335" s="78">
        <v>1969</v>
      </c>
      <c r="F335" s="78">
        <v>1969</v>
      </c>
      <c r="G335" s="78" t="s">
        <v>44</v>
      </c>
      <c r="H335" s="78">
        <v>4</v>
      </c>
      <c r="I335" s="78">
        <v>2</v>
      </c>
      <c r="J335" s="44">
        <v>1357.7</v>
      </c>
      <c r="K335" s="44">
        <v>1091.9000000000001</v>
      </c>
      <c r="L335" s="44">
        <v>152.5</v>
      </c>
      <c r="M335" s="79">
        <v>48</v>
      </c>
      <c r="N335" s="72">
        <f>+P335+Q335+R335+S335+T335</f>
        <v>16983.28</v>
      </c>
      <c r="O335" s="44"/>
      <c r="P335" s="68"/>
      <c r="Q335" s="68"/>
      <c r="R335" s="44">
        <f>+'[12]Приложение № 4'!E335</f>
        <v>16983.28</v>
      </c>
      <c r="S335" s="68"/>
      <c r="T335" s="68"/>
      <c r="U335" s="68">
        <f>$N335/($K335+$L335)</f>
        <v>13.647765991642556</v>
      </c>
      <c r="V335" s="68">
        <f>$N335/($K335+$L335)</f>
        <v>13.647765991642556</v>
      </c>
      <c r="W335" s="80" t="s">
        <v>1101</v>
      </c>
      <c r="AC335" s="27">
        <f>+N335-'[12]Приложение № 4'!E335</f>
        <v>0</v>
      </c>
    </row>
    <row r="336" spans="1:49" ht="15" x14ac:dyDescent="0.25">
      <c r="A336" s="76">
        <f t="shared" si="44"/>
        <v>324</v>
      </c>
      <c r="B336" s="77">
        <f t="shared" si="44"/>
        <v>324</v>
      </c>
      <c r="C336" s="77" t="s">
        <v>50</v>
      </c>
      <c r="D336" s="77" t="s">
        <v>1016</v>
      </c>
      <c r="E336" s="78" t="s">
        <v>609</v>
      </c>
      <c r="F336" s="78"/>
      <c r="G336" s="78" t="s">
        <v>570</v>
      </c>
      <c r="H336" s="78" t="s">
        <v>579</v>
      </c>
      <c r="I336" s="78" t="s">
        <v>572</v>
      </c>
      <c r="J336" s="44">
        <v>1409.7</v>
      </c>
      <c r="K336" s="44">
        <v>1203.5999999999999</v>
      </c>
      <c r="L336" s="44">
        <v>0</v>
      </c>
      <c r="M336" s="79">
        <v>51</v>
      </c>
      <c r="N336" s="72">
        <f t="shared" si="41"/>
        <v>160776.678912</v>
      </c>
      <c r="O336" s="44">
        <v>0</v>
      </c>
      <c r="P336" s="44"/>
      <c r="Q336" s="44"/>
      <c r="R336" s="44">
        <f>+'[12]Приложение № 4'!E336</f>
        <v>160776.678912</v>
      </c>
      <c r="S336" s="44"/>
      <c r="T336" s="44"/>
      <c r="U336" s="44">
        <v>1082.74</v>
      </c>
      <c r="V336" s="44">
        <v>1082.74</v>
      </c>
      <c r="W336" s="80" t="s">
        <v>1101</v>
      </c>
      <c r="X336" s="96" t="e">
        <f>+N336-#REF!</f>
        <v>#REF!</v>
      </c>
      <c r="Y336" s="94">
        <v>469939.53</v>
      </c>
      <c r="Z336" s="94">
        <f>+(K336*9.1+L336*18.19)*12</f>
        <v>131433.12</v>
      </c>
      <c r="AB336" s="96" t="e">
        <f>+N336-#REF!</f>
        <v>#REF!</v>
      </c>
      <c r="AC336" s="27">
        <f>+N336-'[12]Приложение № 4'!E336</f>
        <v>0</v>
      </c>
      <c r="AE336" s="98" t="e">
        <f>+N336-#REF!</f>
        <v>#REF!</v>
      </c>
      <c r="AG336" s="101" t="s">
        <v>1016</v>
      </c>
      <c r="AH336" s="102">
        <f t="shared" ref="AH336:AH341" si="45">SUM(AI336:AW336)</f>
        <v>160776.678912</v>
      </c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>
        <v>136776.678912</v>
      </c>
      <c r="AV336" s="102">
        <v>24000</v>
      </c>
      <c r="AW336" s="102"/>
    </row>
    <row r="337" spans="1:49" ht="15" x14ac:dyDescent="0.25">
      <c r="A337" s="76">
        <f t="shared" si="44"/>
        <v>325</v>
      </c>
      <c r="B337" s="77">
        <f t="shared" si="44"/>
        <v>325</v>
      </c>
      <c r="C337" s="77" t="s">
        <v>50</v>
      </c>
      <c r="D337" s="77" t="s">
        <v>1017</v>
      </c>
      <c r="E337" s="78" t="s">
        <v>593</v>
      </c>
      <c r="F337" s="78"/>
      <c r="G337" s="78" t="s">
        <v>570</v>
      </c>
      <c r="H337" s="78" t="s">
        <v>582</v>
      </c>
      <c r="I337" s="78" t="s">
        <v>583</v>
      </c>
      <c r="J337" s="44">
        <v>5886.2</v>
      </c>
      <c r="K337" s="44">
        <v>4416.3100000000004</v>
      </c>
      <c r="L337" s="44">
        <v>1102.7</v>
      </c>
      <c r="M337" s="79">
        <v>214</v>
      </c>
      <c r="N337" s="72">
        <f t="shared" si="41"/>
        <v>1773207.5725510609</v>
      </c>
      <c r="O337" s="44">
        <v>0</v>
      </c>
      <c r="P337" s="44"/>
      <c r="Q337" s="44"/>
      <c r="R337" s="44">
        <f>+'[12]Приложение № 4'!E337</f>
        <v>1773207.5725510609</v>
      </c>
      <c r="S337" s="44"/>
      <c r="T337" s="44"/>
      <c r="U337" s="44">
        <v>7286.7</v>
      </c>
      <c r="V337" s="44">
        <v>7286.7</v>
      </c>
      <c r="W337" s="80" t="s">
        <v>1101</v>
      </c>
      <c r="X337" s="96" t="e">
        <f>+N337-#REF!</f>
        <v>#REF!</v>
      </c>
      <c r="Y337" s="94">
        <v>2352732.9</v>
      </c>
      <c r="Z337" s="94">
        <f t="shared" ref="Z337:Z357" si="46">+(K337*9.1+L337*18.19)*12</f>
        <v>722958.40800000005</v>
      </c>
      <c r="AB337" s="96" t="e">
        <f>+N337-#REF!</f>
        <v>#REF!</v>
      </c>
      <c r="AC337" s="27">
        <f>+N337-'[12]Приложение № 4'!E337</f>
        <v>0</v>
      </c>
      <c r="AE337" s="98" t="e">
        <f>+N337-#REF!</f>
        <v>#REF!</v>
      </c>
      <c r="AG337" s="101" t="s">
        <v>1017</v>
      </c>
      <c r="AH337" s="102">
        <f t="shared" si="45"/>
        <v>1773207.5725510609</v>
      </c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>
        <v>1725612.5056486609</v>
      </c>
      <c r="AV337" s="102">
        <v>47595.066902400002</v>
      </c>
      <c r="AW337" s="102"/>
    </row>
    <row r="338" spans="1:49" ht="15" x14ac:dyDescent="0.25">
      <c r="A338" s="76">
        <f t="shared" si="44"/>
        <v>326</v>
      </c>
      <c r="B338" s="77">
        <f t="shared" si="44"/>
        <v>326</v>
      </c>
      <c r="C338" s="77" t="s">
        <v>50</v>
      </c>
      <c r="D338" s="77" t="s">
        <v>1018</v>
      </c>
      <c r="E338" s="78" t="s">
        <v>594</v>
      </c>
      <c r="F338" s="78"/>
      <c r="G338" s="78" t="s">
        <v>570</v>
      </c>
      <c r="H338" s="78" t="s">
        <v>579</v>
      </c>
      <c r="I338" s="78" t="s">
        <v>583</v>
      </c>
      <c r="J338" s="44">
        <v>4464.7</v>
      </c>
      <c r="K338" s="44">
        <v>4062.7</v>
      </c>
      <c r="L338" s="44">
        <v>42</v>
      </c>
      <c r="M338" s="79">
        <v>161</v>
      </c>
      <c r="N338" s="72">
        <f t="shared" si="41"/>
        <v>864133.50417568884</v>
      </c>
      <c r="O338" s="44">
        <v>0</v>
      </c>
      <c r="P338" s="44"/>
      <c r="Q338" s="44"/>
      <c r="R338" s="44">
        <f>+'[12]Приложение № 4'!E338</f>
        <v>864133.50417568884</v>
      </c>
      <c r="S338" s="44"/>
      <c r="T338" s="44"/>
      <c r="U338" s="44">
        <v>4217.95</v>
      </c>
      <c r="V338" s="44">
        <v>4217.95</v>
      </c>
      <c r="W338" s="80" t="s">
        <v>1101</v>
      </c>
      <c r="X338" s="96" t="e">
        <f>+N338-#REF!</f>
        <v>#REF!</v>
      </c>
      <c r="Y338" s="94">
        <v>1460878.33</v>
      </c>
      <c r="Z338" s="94">
        <f t="shared" si="46"/>
        <v>452814.60000000003</v>
      </c>
      <c r="AB338" s="96" t="e">
        <f>+N338-#REF!</f>
        <v>#REF!</v>
      </c>
      <c r="AC338" s="27">
        <f>+N338-'[12]Приложение № 4'!E338</f>
        <v>0</v>
      </c>
      <c r="AE338" s="98" t="e">
        <f>+N338-#REF!</f>
        <v>#REF!</v>
      </c>
      <c r="AG338" s="101" t="s">
        <v>1018</v>
      </c>
      <c r="AH338" s="102">
        <f t="shared" si="45"/>
        <v>864133.50417568884</v>
      </c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>
        <v>817575.61411888886</v>
      </c>
      <c r="AV338" s="102">
        <v>46557.890056800003</v>
      </c>
      <c r="AW338" s="102"/>
    </row>
    <row r="339" spans="1:49" ht="15" x14ac:dyDescent="0.25">
      <c r="A339" s="76">
        <f t="shared" si="44"/>
        <v>327</v>
      </c>
      <c r="B339" s="77">
        <f t="shared" si="44"/>
        <v>327</v>
      </c>
      <c r="C339" s="77" t="s">
        <v>50</v>
      </c>
      <c r="D339" s="77" t="s">
        <v>1019</v>
      </c>
      <c r="E339" s="78" t="s">
        <v>619</v>
      </c>
      <c r="F339" s="78"/>
      <c r="G339" s="78" t="s">
        <v>570</v>
      </c>
      <c r="H339" s="78" t="s">
        <v>582</v>
      </c>
      <c r="I339" s="78" t="s">
        <v>583</v>
      </c>
      <c r="J339" s="44">
        <v>5607.8</v>
      </c>
      <c r="K339" s="44">
        <v>5133.7</v>
      </c>
      <c r="L339" s="44">
        <v>0</v>
      </c>
      <c r="M339" s="79">
        <v>237</v>
      </c>
      <c r="N339" s="72">
        <f t="shared" si="41"/>
        <v>1357951.5</v>
      </c>
      <c r="O339" s="44">
        <v>0</v>
      </c>
      <c r="P339" s="44"/>
      <c r="Q339" s="44"/>
      <c r="R339" s="44">
        <f>+'[12]Приложение № 4'!E339</f>
        <v>1357951.5</v>
      </c>
      <c r="S339" s="44"/>
      <c r="T339" s="44"/>
      <c r="U339" s="44">
        <v>5486.71</v>
      </c>
      <c r="V339" s="44">
        <v>5486.71</v>
      </c>
      <c r="W339" s="80" t="s">
        <v>1101</v>
      </c>
      <c r="X339" s="96" t="e">
        <f>+N339-#REF!</f>
        <v>#REF!</v>
      </c>
      <c r="Y339" s="94">
        <v>1750956.42</v>
      </c>
      <c r="Z339" s="94">
        <f t="shared" si="46"/>
        <v>560600.04</v>
      </c>
      <c r="AB339" s="96" t="e">
        <f>+N339-#REF!</f>
        <v>#REF!</v>
      </c>
      <c r="AC339" s="27">
        <f>+N339-'[12]Приложение № 4'!E339</f>
        <v>0</v>
      </c>
      <c r="AE339" s="98" t="e">
        <f>+N339-#REF!</f>
        <v>#REF!</v>
      </c>
      <c r="AG339" s="101" t="s">
        <v>1019</v>
      </c>
      <c r="AH339" s="102">
        <f t="shared" si="45"/>
        <v>1357951.4797721955</v>
      </c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>
        <v>1310782.6855865954</v>
      </c>
      <c r="AV339" s="102">
        <v>47168.794185599996</v>
      </c>
      <c r="AW339" s="102"/>
    </row>
    <row r="340" spans="1:49" ht="15" x14ac:dyDescent="0.25">
      <c r="A340" s="76">
        <f t="shared" si="44"/>
        <v>328</v>
      </c>
      <c r="B340" s="77">
        <f t="shared" si="44"/>
        <v>328</v>
      </c>
      <c r="C340" s="77" t="s">
        <v>50</v>
      </c>
      <c r="D340" s="77" t="s">
        <v>1020</v>
      </c>
      <c r="E340" s="78" t="s">
        <v>609</v>
      </c>
      <c r="F340" s="78"/>
      <c r="G340" s="78" t="s">
        <v>570</v>
      </c>
      <c r="H340" s="78" t="s">
        <v>579</v>
      </c>
      <c r="I340" s="78" t="s">
        <v>575</v>
      </c>
      <c r="J340" s="44">
        <v>2238.5</v>
      </c>
      <c r="K340" s="44">
        <v>2060.8000000000002</v>
      </c>
      <c r="L340" s="44">
        <v>0</v>
      </c>
      <c r="M340" s="79">
        <v>101</v>
      </c>
      <c r="N340" s="72">
        <f t="shared" si="41"/>
        <v>1007589.79</v>
      </c>
      <c r="O340" s="44">
        <v>0</v>
      </c>
      <c r="P340" s="44"/>
      <c r="Q340" s="44"/>
      <c r="R340" s="44">
        <f>+'[12]Приложение № 4'!E340</f>
        <v>1007589.79</v>
      </c>
      <c r="S340" s="44"/>
      <c r="T340" s="44"/>
      <c r="U340" s="44">
        <v>6451.89</v>
      </c>
      <c r="V340" s="44">
        <v>6451.89</v>
      </c>
      <c r="W340" s="80" t="s">
        <v>1101</v>
      </c>
      <c r="X340" s="96" t="e">
        <f>+N340-#REF!</f>
        <v>#REF!</v>
      </c>
      <c r="Y340" s="94">
        <v>719258.09</v>
      </c>
      <c r="Z340" s="94">
        <f t="shared" si="46"/>
        <v>225039.36000000004</v>
      </c>
      <c r="AB340" s="96" t="e">
        <f>+N340-#REF!</f>
        <v>#REF!</v>
      </c>
      <c r="AC340" s="27">
        <f>+N340-'[12]Приложение № 4'!E340</f>
        <v>0</v>
      </c>
      <c r="AE340" s="98" t="e">
        <f>+N340-#REF!</f>
        <v>#REF!</v>
      </c>
      <c r="AG340" s="101" t="s">
        <v>1020</v>
      </c>
      <c r="AH340" s="102">
        <f t="shared" si="45"/>
        <v>1007589.8053544882</v>
      </c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>
        <v>965008.67431048816</v>
      </c>
      <c r="AV340" s="102">
        <v>42581.131044000002</v>
      </c>
      <c r="AW340" s="102"/>
    </row>
    <row r="341" spans="1:49" ht="15" x14ac:dyDescent="0.25">
      <c r="A341" s="76">
        <f t="shared" si="44"/>
        <v>329</v>
      </c>
      <c r="B341" s="77">
        <f t="shared" si="44"/>
        <v>329</v>
      </c>
      <c r="C341" s="77" t="s">
        <v>50</v>
      </c>
      <c r="D341" s="77" t="s">
        <v>1021</v>
      </c>
      <c r="E341" s="78" t="s">
        <v>609</v>
      </c>
      <c r="F341" s="78"/>
      <c r="G341" s="78" t="s">
        <v>570</v>
      </c>
      <c r="H341" s="78" t="s">
        <v>579</v>
      </c>
      <c r="I341" s="78" t="s">
        <v>575</v>
      </c>
      <c r="J341" s="44">
        <v>2234.3000000000002</v>
      </c>
      <c r="K341" s="44">
        <v>2054.1</v>
      </c>
      <c r="L341" s="44">
        <v>0</v>
      </c>
      <c r="M341" s="79">
        <v>124</v>
      </c>
      <c r="N341" s="72">
        <f t="shared" si="41"/>
        <v>935653.96</v>
      </c>
      <c r="O341" s="44">
        <v>0</v>
      </c>
      <c r="P341" s="44"/>
      <c r="Q341" s="44"/>
      <c r="R341" s="44">
        <f>+'[12]Приложение № 4'!E341</f>
        <v>935653.96</v>
      </c>
      <c r="S341" s="44"/>
      <c r="T341" s="44"/>
      <c r="U341" s="44">
        <v>6113.19</v>
      </c>
      <c r="V341" s="44">
        <v>6113.19</v>
      </c>
      <c r="W341" s="80" t="s">
        <v>1101</v>
      </c>
      <c r="X341" s="96" t="e">
        <f>+N341-#REF!</f>
        <v>#REF!</v>
      </c>
      <c r="Y341" s="94">
        <v>661035.38</v>
      </c>
      <c r="Z341" s="94">
        <f t="shared" si="46"/>
        <v>224307.71999999997</v>
      </c>
      <c r="AB341" s="96" t="e">
        <f>+N341-#REF!</f>
        <v>#REF!</v>
      </c>
      <c r="AC341" s="27">
        <f>+N341-'[12]Приложение № 4'!E341</f>
        <v>0</v>
      </c>
      <c r="AE341" s="98" t="e">
        <f>+N341-#REF!</f>
        <v>#REF!</v>
      </c>
      <c r="AG341" s="101" t="s">
        <v>1021</v>
      </c>
      <c r="AH341" s="102">
        <f t="shared" si="45"/>
        <v>935653.97403982701</v>
      </c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>
        <v>893080.34564062697</v>
      </c>
      <c r="AV341" s="102">
        <v>42573.628399199995</v>
      </c>
      <c r="AW341" s="102"/>
    </row>
    <row r="342" spans="1:49" ht="15" x14ac:dyDescent="0.25">
      <c r="A342" s="76">
        <f t="shared" si="44"/>
        <v>330</v>
      </c>
      <c r="B342" s="77">
        <f t="shared" si="44"/>
        <v>330</v>
      </c>
      <c r="C342" s="77" t="s">
        <v>50</v>
      </c>
      <c r="D342" s="77" t="s">
        <v>1194</v>
      </c>
      <c r="E342" s="78">
        <v>1965</v>
      </c>
      <c r="F342" s="78">
        <v>1965</v>
      </c>
      <c r="G342" s="78" t="s">
        <v>52</v>
      </c>
      <c r="H342" s="78">
        <v>2</v>
      </c>
      <c r="I342" s="78">
        <v>2</v>
      </c>
      <c r="J342" s="44">
        <v>547.4</v>
      </c>
      <c r="K342" s="44">
        <v>508.9</v>
      </c>
      <c r="L342" s="44">
        <v>0</v>
      </c>
      <c r="M342" s="79">
        <v>31</v>
      </c>
      <c r="N342" s="72">
        <f>+P342+Q342+R342+S342+T342</f>
        <v>190555.65</v>
      </c>
      <c r="O342" s="44"/>
      <c r="P342" s="68"/>
      <c r="Q342" s="68"/>
      <c r="R342" s="44">
        <f>+'[12]Приложение № 4'!E342</f>
        <v>190555.65</v>
      </c>
      <c r="S342" s="68"/>
      <c r="T342" s="68"/>
      <c r="U342" s="68">
        <f t="shared" ref="U342:V344" si="47">$N342/($K342+$L342)</f>
        <v>374.44615838082137</v>
      </c>
      <c r="V342" s="68">
        <f t="shared" si="47"/>
        <v>374.44615838082137</v>
      </c>
      <c r="W342" s="80" t="s">
        <v>1101</v>
      </c>
      <c r="X342" s="76"/>
      <c r="Y342" s="77"/>
      <c r="Z342" s="77"/>
      <c r="AA342" s="77"/>
      <c r="AC342" s="27">
        <f>+N342-'[12]Приложение № 4'!E342</f>
        <v>0</v>
      </c>
    </row>
    <row r="343" spans="1:49" ht="15" x14ac:dyDescent="0.25">
      <c r="A343" s="76">
        <f t="shared" si="44"/>
        <v>331</v>
      </c>
      <c r="B343" s="77">
        <f t="shared" si="44"/>
        <v>331</v>
      </c>
      <c r="C343" s="77" t="s">
        <v>50</v>
      </c>
      <c r="D343" s="77" t="s">
        <v>1195</v>
      </c>
      <c r="E343" s="78">
        <v>1970</v>
      </c>
      <c r="F343" s="78">
        <v>1970</v>
      </c>
      <c r="G343" s="78" t="s">
        <v>52</v>
      </c>
      <c r="H343" s="78">
        <v>2</v>
      </c>
      <c r="I343" s="78">
        <v>2</v>
      </c>
      <c r="J343" s="44">
        <v>661.2</v>
      </c>
      <c r="K343" s="44">
        <v>599.79999999999995</v>
      </c>
      <c r="L343" s="44">
        <v>0</v>
      </c>
      <c r="M343" s="79">
        <v>31</v>
      </c>
      <c r="N343" s="72">
        <f>+P343+Q343+R343+S343+T343</f>
        <v>140632.47</v>
      </c>
      <c r="O343" s="44"/>
      <c r="P343" s="68"/>
      <c r="Q343" s="68"/>
      <c r="R343" s="44">
        <f>+'[12]Приложение № 4'!E343</f>
        <v>140632.47</v>
      </c>
      <c r="S343" s="68"/>
      <c r="T343" s="68"/>
      <c r="U343" s="68">
        <f t="shared" si="47"/>
        <v>234.46560520173392</v>
      </c>
      <c r="V343" s="68">
        <f t="shared" si="47"/>
        <v>234.46560520173392</v>
      </c>
      <c r="W343" s="80" t="s">
        <v>1101</v>
      </c>
      <c r="X343" s="76"/>
      <c r="Y343" s="77"/>
      <c r="Z343" s="77"/>
      <c r="AA343" s="77"/>
      <c r="AC343" s="27">
        <f>+N343-'[12]Приложение № 4'!E343</f>
        <v>0</v>
      </c>
    </row>
    <row r="344" spans="1:49" ht="15" x14ac:dyDescent="0.25">
      <c r="A344" s="76">
        <f t="shared" si="44"/>
        <v>332</v>
      </c>
      <c r="B344" s="77">
        <f t="shared" si="44"/>
        <v>332</v>
      </c>
      <c r="C344" s="77" t="s">
        <v>50</v>
      </c>
      <c r="D344" s="77" t="s">
        <v>1196</v>
      </c>
      <c r="E344" s="78">
        <v>1991</v>
      </c>
      <c r="F344" s="78">
        <v>2007</v>
      </c>
      <c r="G344" s="78" t="s">
        <v>52</v>
      </c>
      <c r="H344" s="78">
        <v>2</v>
      </c>
      <c r="I344" s="78">
        <v>2</v>
      </c>
      <c r="J344" s="44">
        <v>682.9</v>
      </c>
      <c r="K344" s="44">
        <v>606</v>
      </c>
      <c r="L344" s="44">
        <v>0</v>
      </c>
      <c r="M344" s="79">
        <v>28</v>
      </c>
      <c r="N344" s="72">
        <f>+P344+Q344+R344+S344+T344</f>
        <v>46838</v>
      </c>
      <c r="O344" s="44"/>
      <c r="P344" s="68"/>
      <c r="Q344" s="68"/>
      <c r="R344" s="44">
        <f>+'[12]Приложение № 4'!E344</f>
        <v>46838</v>
      </c>
      <c r="S344" s="68"/>
      <c r="T344" s="68"/>
      <c r="U344" s="68">
        <f t="shared" si="47"/>
        <v>77.290429042904293</v>
      </c>
      <c r="V344" s="68">
        <f t="shared" si="47"/>
        <v>77.290429042904293</v>
      </c>
      <c r="W344" s="80" t="s">
        <v>1101</v>
      </c>
      <c r="X344" s="76"/>
      <c r="Y344" s="77"/>
      <c r="Z344" s="77"/>
      <c r="AA344" s="77"/>
      <c r="AC344" s="27">
        <f>+N344-'[12]Приложение № 4'!E344</f>
        <v>0</v>
      </c>
    </row>
    <row r="345" spans="1:49" ht="15" x14ac:dyDescent="0.25">
      <c r="A345" s="76">
        <f t="shared" si="44"/>
        <v>333</v>
      </c>
      <c r="B345" s="77">
        <f t="shared" si="44"/>
        <v>333</v>
      </c>
      <c r="C345" s="77" t="s">
        <v>102</v>
      </c>
      <c r="D345" s="77" t="s">
        <v>1022</v>
      </c>
      <c r="E345" s="78" t="s">
        <v>627</v>
      </c>
      <c r="F345" s="78"/>
      <c r="G345" s="78" t="s">
        <v>573</v>
      </c>
      <c r="H345" s="78" t="s">
        <v>582</v>
      </c>
      <c r="I345" s="78" t="s">
        <v>572</v>
      </c>
      <c r="J345" s="44">
        <v>2847.7</v>
      </c>
      <c r="K345" s="44">
        <v>2551.9</v>
      </c>
      <c r="L345" s="44">
        <v>0</v>
      </c>
      <c r="M345" s="79">
        <v>120</v>
      </c>
      <c r="N345" s="72">
        <f t="shared" si="41"/>
        <v>442120.36</v>
      </c>
      <c r="O345" s="44">
        <v>0</v>
      </c>
      <c r="P345" s="44"/>
      <c r="Q345" s="44"/>
      <c r="R345" s="44">
        <f>+'[12]Приложение № 4'!E345</f>
        <v>442120.36</v>
      </c>
      <c r="S345" s="44"/>
      <c r="T345" s="44"/>
      <c r="U345" s="44">
        <v>3356.68</v>
      </c>
      <c r="V345" s="44">
        <v>3356.68</v>
      </c>
      <c r="W345" s="80" t="s">
        <v>1101</v>
      </c>
      <c r="X345" s="96" t="e">
        <f>+N345-#REF!</f>
        <v>#REF!</v>
      </c>
      <c r="Y345" s="94">
        <v>426482.55</v>
      </c>
      <c r="Z345" s="94">
        <f t="shared" si="46"/>
        <v>278667.48</v>
      </c>
      <c r="AB345" s="96" t="e">
        <f>+N345-#REF!</f>
        <v>#REF!</v>
      </c>
      <c r="AC345" s="27">
        <f>+N345-'[12]Приложение № 4'!E345</f>
        <v>0</v>
      </c>
      <c r="AE345" s="98" t="e">
        <f>+N345-#REF!</f>
        <v>#REF!</v>
      </c>
      <c r="AG345" s="101" t="s">
        <v>1022</v>
      </c>
      <c r="AH345" s="102">
        <f>SUM(AI345:AW345)</f>
        <v>442120.36704000004</v>
      </c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>
        <v>418120.36704000004</v>
      </c>
      <c r="AV345" s="102">
        <v>24000</v>
      </c>
      <c r="AW345" s="102"/>
    </row>
    <row r="346" spans="1:49" ht="15" x14ac:dyDescent="0.25">
      <c r="A346" s="76">
        <f t="shared" si="44"/>
        <v>334</v>
      </c>
      <c r="B346" s="77">
        <f t="shared" si="44"/>
        <v>334</v>
      </c>
      <c r="C346" s="77" t="s">
        <v>1142</v>
      </c>
      <c r="D346" s="77" t="s">
        <v>1197</v>
      </c>
      <c r="E346" s="78">
        <v>1981</v>
      </c>
      <c r="F346" s="78">
        <v>1981</v>
      </c>
      <c r="G346" s="78" t="s">
        <v>52</v>
      </c>
      <c r="H346" s="78">
        <v>2</v>
      </c>
      <c r="I346" s="78">
        <v>3</v>
      </c>
      <c r="J346" s="44">
        <v>837.3</v>
      </c>
      <c r="K346" s="44">
        <v>745.9</v>
      </c>
      <c r="L346" s="44">
        <v>0</v>
      </c>
      <c r="M346" s="79">
        <v>28</v>
      </c>
      <c r="N346" s="72">
        <f t="shared" si="41"/>
        <v>153059.96000000002</v>
      </c>
      <c r="O346" s="44"/>
      <c r="P346" s="68"/>
      <c r="Q346" s="68"/>
      <c r="R346" s="44">
        <f>+'[12]Приложение № 4'!E346</f>
        <v>153059.96000000002</v>
      </c>
      <c r="S346" s="68"/>
      <c r="T346" s="68"/>
      <c r="U346" s="68">
        <f t="shared" ref="U346:V351" si="48">$N346/($K346+$L346)</f>
        <v>205.20171604772761</v>
      </c>
      <c r="V346" s="68">
        <f t="shared" si="48"/>
        <v>205.20171604772761</v>
      </c>
      <c r="W346" s="80" t="s">
        <v>1101</v>
      </c>
      <c r="X346" s="76"/>
      <c r="Y346" s="77"/>
      <c r="Z346" s="77"/>
      <c r="AA346" s="77"/>
      <c r="AC346" s="27">
        <f>+N346-'[12]Приложение № 4'!E346</f>
        <v>0</v>
      </c>
    </row>
    <row r="347" spans="1:49" ht="15" x14ac:dyDescent="0.25">
      <c r="A347" s="76">
        <f t="shared" si="44"/>
        <v>335</v>
      </c>
      <c r="B347" s="77">
        <f t="shared" si="44"/>
        <v>335</v>
      </c>
      <c r="C347" s="77" t="s">
        <v>1142</v>
      </c>
      <c r="D347" s="77" t="s">
        <v>1198</v>
      </c>
      <c r="E347" s="78">
        <v>1985</v>
      </c>
      <c r="F347" s="78">
        <v>1985</v>
      </c>
      <c r="G347" s="78" t="s">
        <v>52</v>
      </c>
      <c r="H347" s="78">
        <v>2</v>
      </c>
      <c r="I347" s="78">
        <v>3</v>
      </c>
      <c r="J347" s="44">
        <v>833.4</v>
      </c>
      <c r="K347" s="44">
        <v>741.3</v>
      </c>
      <c r="L347" s="44">
        <v>0</v>
      </c>
      <c r="M347" s="79">
        <v>30</v>
      </c>
      <c r="N347" s="72">
        <f t="shared" si="41"/>
        <v>213448.34</v>
      </c>
      <c r="O347" s="44"/>
      <c r="P347" s="68"/>
      <c r="Q347" s="68"/>
      <c r="R347" s="44">
        <f>+'[12]Приложение № 4'!E347</f>
        <v>213448.34</v>
      </c>
      <c r="S347" s="68"/>
      <c r="T347" s="68"/>
      <c r="U347" s="68">
        <f t="shared" si="48"/>
        <v>287.93786591123705</v>
      </c>
      <c r="V347" s="68">
        <f t="shared" si="48"/>
        <v>287.93786591123705</v>
      </c>
      <c r="W347" s="80" t="s">
        <v>1101</v>
      </c>
      <c r="X347" s="76"/>
      <c r="Y347" s="77"/>
      <c r="Z347" s="77"/>
      <c r="AA347" s="77"/>
      <c r="AC347" s="27">
        <f>+N347-'[12]Приложение № 4'!E347</f>
        <v>0</v>
      </c>
    </row>
    <row r="348" spans="1:49" ht="15" x14ac:dyDescent="0.25">
      <c r="A348" s="76">
        <f t="shared" si="44"/>
        <v>336</v>
      </c>
      <c r="B348" s="77">
        <f t="shared" si="44"/>
        <v>336</v>
      </c>
      <c r="C348" s="77" t="s">
        <v>1142</v>
      </c>
      <c r="D348" s="77" t="s">
        <v>1199</v>
      </c>
      <c r="E348" s="78">
        <v>1989</v>
      </c>
      <c r="F348" s="78">
        <v>1989</v>
      </c>
      <c r="G348" s="78" t="s">
        <v>52</v>
      </c>
      <c r="H348" s="78">
        <v>2</v>
      </c>
      <c r="I348" s="78">
        <v>3</v>
      </c>
      <c r="J348" s="44">
        <v>801.3</v>
      </c>
      <c r="K348" s="44">
        <v>722.7</v>
      </c>
      <c r="L348" s="44">
        <v>0</v>
      </c>
      <c r="M348" s="79">
        <v>28</v>
      </c>
      <c r="N348" s="72">
        <f t="shared" si="41"/>
        <v>153772.23000000001</v>
      </c>
      <c r="O348" s="44"/>
      <c r="P348" s="68"/>
      <c r="Q348" s="68"/>
      <c r="R348" s="44">
        <f>+'[12]Приложение № 4'!E348</f>
        <v>153772.23000000001</v>
      </c>
      <c r="S348" s="68"/>
      <c r="T348" s="68"/>
      <c r="U348" s="68">
        <f t="shared" si="48"/>
        <v>212.77463677874636</v>
      </c>
      <c r="V348" s="68">
        <f t="shared" si="48"/>
        <v>212.77463677874636</v>
      </c>
      <c r="W348" s="80" t="s">
        <v>1101</v>
      </c>
      <c r="X348" s="76"/>
      <c r="Y348" s="77"/>
      <c r="Z348" s="77"/>
      <c r="AA348" s="77"/>
      <c r="AC348" s="27">
        <f>+N348-'[12]Приложение № 4'!E348</f>
        <v>0</v>
      </c>
    </row>
    <row r="349" spans="1:49" ht="15" x14ac:dyDescent="0.25">
      <c r="A349" s="76">
        <f t="shared" si="44"/>
        <v>337</v>
      </c>
      <c r="B349" s="77">
        <f t="shared" si="44"/>
        <v>337</v>
      </c>
      <c r="C349" s="77" t="s">
        <v>1142</v>
      </c>
      <c r="D349" s="77" t="s">
        <v>1200</v>
      </c>
      <c r="E349" s="78">
        <v>1989</v>
      </c>
      <c r="F349" s="78">
        <v>1989</v>
      </c>
      <c r="G349" s="78" t="s">
        <v>52</v>
      </c>
      <c r="H349" s="78">
        <v>2</v>
      </c>
      <c r="I349" s="78">
        <v>3</v>
      </c>
      <c r="J349" s="44">
        <v>841.6</v>
      </c>
      <c r="K349" s="44">
        <v>750.4</v>
      </c>
      <c r="L349" s="44">
        <v>0</v>
      </c>
      <c r="M349" s="79">
        <v>37</v>
      </c>
      <c r="N349" s="72">
        <f t="shared" si="41"/>
        <v>104296.5</v>
      </c>
      <c r="O349" s="44"/>
      <c r="P349" s="68"/>
      <c r="Q349" s="68"/>
      <c r="R349" s="44">
        <f>+'[12]Приложение № 4'!E349</f>
        <v>104296.5</v>
      </c>
      <c r="S349" s="68"/>
      <c r="T349" s="68"/>
      <c r="U349" s="68">
        <f t="shared" si="48"/>
        <v>138.98787313432837</v>
      </c>
      <c r="V349" s="68">
        <f t="shared" si="48"/>
        <v>138.98787313432837</v>
      </c>
      <c r="W349" s="80" t="s">
        <v>1101</v>
      </c>
      <c r="X349" s="76"/>
      <c r="Y349" s="77"/>
      <c r="Z349" s="77"/>
      <c r="AA349" s="77"/>
      <c r="AC349" s="27">
        <f>+N349-'[12]Приложение № 4'!E349</f>
        <v>0</v>
      </c>
    </row>
    <row r="350" spans="1:49" ht="15" x14ac:dyDescent="0.25">
      <c r="A350" s="76">
        <f t="shared" si="44"/>
        <v>338</v>
      </c>
      <c r="B350" s="77">
        <f t="shared" si="44"/>
        <v>338</v>
      </c>
      <c r="C350" s="77" t="s">
        <v>1142</v>
      </c>
      <c r="D350" s="77" t="s">
        <v>1201</v>
      </c>
      <c r="E350" s="78">
        <v>1988</v>
      </c>
      <c r="F350" s="78">
        <v>1988</v>
      </c>
      <c r="G350" s="78" t="s">
        <v>52</v>
      </c>
      <c r="H350" s="78">
        <v>2</v>
      </c>
      <c r="I350" s="78">
        <v>3</v>
      </c>
      <c r="J350" s="44">
        <v>803.8</v>
      </c>
      <c r="K350" s="44">
        <v>717.1</v>
      </c>
      <c r="L350" s="44">
        <v>0</v>
      </c>
      <c r="M350" s="79">
        <v>41</v>
      </c>
      <c r="N350" s="72">
        <f t="shared" si="41"/>
        <v>161679.23000000001</v>
      </c>
      <c r="O350" s="44"/>
      <c r="P350" s="68"/>
      <c r="Q350" s="68"/>
      <c r="R350" s="44">
        <f>+'[12]Приложение № 4'!E350</f>
        <v>161679.23000000001</v>
      </c>
      <c r="S350" s="68"/>
      <c r="T350" s="68"/>
      <c r="U350" s="68">
        <f t="shared" si="48"/>
        <v>225.4625993585274</v>
      </c>
      <c r="V350" s="68">
        <f t="shared" si="48"/>
        <v>225.4625993585274</v>
      </c>
      <c r="W350" s="80" t="s">
        <v>1101</v>
      </c>
      <c r="X350" s="76"/>
      <c r="Y350" s="77"/>
      <c r="Z350" s="77"/>
      <c r="AA350" s="77"/>
      <c r="AC350" s="27">
        <f>+N350-'[12]Приложение № 4'!E350</f>
        <v>0</v>
      </c>
    </row>
    <row r="351" spans="1:49" ht="15" x14ac:dyDescent="0.25">
      <c r="A351" s="76">
        <f t="shared" si="44"/>
        <v>339</v>
      </c>
      <c r="B351" s="77">
        <f t="shared" si="44"/>
        <v>339</v>
      </c>
      <c r="C351" s="77" t="s">
        <v>1142</v>
      </c>
      <c r="D351" s="77" t="s">
        <v>1202</v>
      </c>
      <c r="E351" s="78">
        <v>1991</v>
      </c>
      <c r="F351" s="78">
        <v>1993</v>
      </c>
      <c r="G351" s="78" t="s">
        <v>52</v>
      </c>
      <c r="H351" s="78">
        <v>2</v>
      </c>
      <c r="I351" s="78">
        <v>2</v>
      </c>
      <c r="J351" s="44">
        <v>606.5</v>
      </c>
      <c r="K351" s="44">
        <v>512.29999999999995</v>
      </c>
      <c r="L351" s="44">
        <v>0</v>
      </c>
      <c r="M351" s="79">
        <v>29</v>
      </c>
      <c r="N351" s="72">
        <f t="shared" si="41"/>
        <v>66155.19</v>
      </c>
      <c r="O351" s="44"/>
      <c r="P351" s="68"/>
      <c r="Q351" s="68"/>
      <c r="R351" s="44">
        <f>+'[12]Приложение № 4'!E351</f>
        <v>66155.19</v>
      </c>
      <c r="S351" s="68"/>
      <c r="T351" s="68"/>
      <c r="U351" s="68">
        <f t="shared" si="48"/>
        <v>129.13369119656454</v>
      </c>
      <c r="V351" s="68">
        <f t="shared" si="48"/>
        <v>129.13369119656454</v>
      </c>
      <c r="W351" s="80" t="s">
        <v>1101</v>
      </c>
      <c r="X351" s="76"/>
      <c r="Y351" s="77"/>
      <c r="Z351" s="77"/>
      <c r="AA351" s="77"/>
      <c r="AC351" s="27">
        <f>+N351-'[12]Приложение № 4'!E351</f>
        <v>0</v>
      </c>
    </row>
    <row r="352" spans="1:49" ht="15" x14ac:dyDescent="0.25">
      <c r="A352" s="76">
        <f t="shared" si="44"/>
        <v>340</v>
      </c>
      <c r="B352" s="77">
        <f t="shared" si="44"/>
        <v>340</v>
      </c>
      <c r="C352" s="77" t="s">
        <v>103</v>
      </c>
      <c r="D352" s="77" t="s">
        <v>1023</v>
      </c>
      <c r="E352" s="78" t="s">
        <v>578</v>
      </c>
      <c r="F352" s="78"/>
      <c r="G352" s="78" t="s">
        <v>573</v>
      </c>
      <c r="H352" s="78" t="s">
        <v>582</v>
      </c>
      <c r="I352" s="78" t="s">
        <v>575</v>
      </c>
      <c r="J352" s="44">
        <v>3229.3</v>
      </c>
      <c r="K352" s="44">
        <v>2887.7</v>
      </c>
      <c r="L352" s="44">
        <v>0</v>
      </c>
      <c r="M352" s="79">
        <v>101</v>
      </c>
      <c r="N352" s="72">
        <f t="shared" si="41"/>
        <v>552937.23</v>
      </c>
      <c r="O352" s="44">
        <v>0</v>
      </c>
      <c r="P352" s="44"/>
      <c r="Q352" s="44"/>
      <c r="R352" s="44">
        <f>+'[12]Приложение № 4'!E352</f>
        <v>552937.23</v>
      </c>
      <c r="S352" s="44"/>
      <c r="T352" s="44"/>
      <c r="U352" s="44">
        <v>3795.63</v>
      </c>
      <c r="V352" s="44">
        <v>3795.63</v>
      </c>
      <c r="W352" s="80" t="s">
        <v>1101</v>
      </c>
      <c r="X352" s="96" t="e">
        <f>+N352-#REF!</f>
        <v>#REF!</v>
      </c>
      <c r="Y352" s="94">
        <v>905869.07</v>
      </c>
      <c r="Z352" s="94">
        <f t="shared" si="46"/>
        <v>315336.83999999997</v>
      </c>
      <c r="AB352" s="96" t="e">
        <f>+N352-#REF!</f>
        <v>#REF!</v>
      </c>
      <c r="AC352" s="27">
        <f>+N352-'[12]Приложение № 4'!E352</f>
        <v>0</v>
      </c>
      <c r="AE352" s="98" t="e">
        <f>+N352-#REF!</f>
        <v>#REF!</v>
      </c>
      <c r="AG352" s="101" t="s">
        <v>1023</v>
      </c>
      <c r="AH352" s="102">
        <f t="shared" ref="AH352:AH357" si="49">SUM(AI352:AW352)</f>
        <v>552937.19982719992</v>
      </c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>
        <v>528937.19982719992</v>
      </c>
      <c r="AV352" s="102">
        <v>24000</v>
      </c>
      <c r="AW352" s="102"/>
    </row>
    <row r="353" spans="1:49" ht="15" x14ac:dyDescent="0.25">
      <c r="A353" s="76">
        <f t="shared" si="44"/>
        <v>341</v>
      </c>
      <c r="B353" s="77">
        <f t="shared" si="44"/>
        <v>341</v>
      </c>
      <c r="C353" s="77" t="s">
        <v>103</v>
      </c>
      <c r="D353" s="77" t="s">
        <v>1024</v>
      </c>
      <c r="E353" s="78" t="s">
        <v>578</v>
      </c>
      <c r="F353" s="78"/>
      <c r="G353" s="78" t="s">
        <v>573</v>
      </c>
      <c r="H353" s="78" t="s">
        <v>582</v>
      </c>
      <c r="I353" s="78" t="s">
        <v>575</v>
      </c>
      <c r="J353" s="44">
        <v>3185.2</v>
      </c>
      <c r="K353" s="44">
        <v>2843.6</v>
      </c>
      <c r="L353" s="44">
        <v>0</v>
      </c>
      <c r="M353" s="79">
        <v>110</v>
      </c>
      <c r="N353" s="72">
        <f t="shared" si="41"/>
        <v>553802.07999999996</v>
      </c>
      <c r="O353" s="44">
        <v>0</v>
      </c>
      <c r="P353" s="44"/>
      <c r="Q353" s="44"/>
      <c r="R353" s="44">
        <f>+'[12]Приложение № 4'!E353</f>
        <v>553802.07999999996</v>
      </c>
      <c r="S353" s="44"/>
      <c r="T353" s="44"/>
      <c r="U353" s="44">
        <v>3795.63</v>
      </c>
      <c r="V353" s="44">
        <v>3795.63</v>
      </c>
      <c r="W353" s="80" t="s">
        <v>1101</v>
      </c>
      <c r="X353" s="96" t="e">
        <f>+N353-#REF!</f>
        <v>#REF!</v>
      </c>
      <c r="Y353" s="94">
        <v>873408.13</v>
      </c>
      <c r="Z353" s="94">
        <f t="shared" si="46"/>
        <v>310521.12</v>
      </c>
      <c r="AB353" s="96" t="e">
        <f>+N353-#REF!</f>
        <v>#REF!</v>
      </c>
      <c r="AC353" s="27">
        <f>+N353-'[12]Приложение № 4'!E353</f>
        <v>0</v>
      </c>
      <c r="AE353" s="98" t="e">
        <f>+N353-#REF!</f>
        <v>#REF!</v>
      </c>
      <c r="AG353" s="101" t="s">
        <v>1024</v>
      </c>
      <c r="AH353" s="102">
        <f t="shared" si="49"/>
        <v>553802.07402239996</v>
      </c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>
        <v>529802.07402239996</v>
      </c>
      <c r="AV353" s="102">
        <v>24000</v>
      </c>
      <c r="AW353" s="102"/>
    </row>
    <row r="354" spans="1:49" ht="15" x14ac:dyDescent="0.25">
      <c r="A354" s="76">
        <f t="shared" si="44"/>
        <v>342</v>
      </c>
      <c r="B354" s="77">
        <f t="shared" si="44"/>
        <v>342</v>
      </c>
      <c r="C354" s="77" t="s">
        <v>103</v>
      </c>
      <c r="D354" s="77" t="s">
        <v>1025</v>
      </c>
      <c r="E354" s="78" t="s">
        <v>578</v>
      </c>
      <c r="F354" s="78"/>
      <c r="G354" s="78" t="s">
        <v>573</v>
      </c>
      <c r="H354" s="78" t="s">
        <v>582</v>
      </c>
      <c r="I354" s="78" t="s">
        <v>575</v>
      </c>
      <c r="J354" s="44">
        <v>3222.6</v>
      </c>
      <c r="K354" s="44">
        <v>2881</v>
      </c>
      <c r="L354" s="44">
        <v>0</v>
      </c>
      <c r="M354" s="79">
        <v>103</v>
      </c>
      <c r="N354" s="72">
        <f t="shared" si="41"/>
        <v>576194.22</v>
      </c>
      <c r="O354" s="44">
        <v>0</v>
      </c>
      <c r="P354" s="44"/>
      <c r="Q354" s="44"/>
      <c r="R354" s="44">
        <f>+'[12]Приложение № 4'!E354</f>
        <v>576194.22</v>
      </c>
      <c r="S354" s="44"/>
      <c r="T354" s="44"/>
      <c r="U354" s="44">
        <v>3795.63</v>
      </c>
      <c r="V354" s="44">
        <v>3795.63</v>
      </c>
      <c r="W354" s="80" t="s">
        <v>1101</v>
      </c>
      <c r="X354" s="96" t="e">
        <f>+N354-#REF!</f>
        <v>#REF!</v>
      </c>
      <c r="Y354" s="94">
        <v>935146.27</v>
      </c>
      <c r="Z354" s="94">
        <f t="shared" si="46"/>
        <v>314605.19999999995</v>
      </c>
      <c r="AB354" s="96" t="e">
        <f>+N354-#REF!</f>
        <v>#REF!</v>
      </c>
      <c r="AC354" s="27">
        <f>+N354-'[12]Приложение № 4'!E354</f>
        <v>0</v>
      </c>
      <c r="AE354" s="98" t="e">
        <f>+N354-#REF!</f>
        <v>#REF!</v>
      </c>
      <c r="AG354" s="101" t="s">
        <v>1025</v>
      </c>
      <c r="AH354" s="102">
        <f t="shared" si="49"/>
        <v>576194.22504960001</v>
      </c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>
        <v>552194.22504960001</v>
      </c>
      <c r="AV354" s="102">
        <v>24000</v>
      </c>
      <c r="AW354" s="102"/>
    </row>
    <row r="355" spans="1:49" ht="15" x14ac:dyDescent="0.25">
      <c r="A355" s="76">
        <f t="shared" si="44"/>
        <v>343</v>
      </c>
      <c r="B355" s="77">
        <f t="shared" si="44"/>
        <v>343</v>
      </c>
      <c r="C355" s="77" t="s">
        <v>103</v>
      </c>
      <c r="D355" s="77" t="s">
        <v>1026</v>
      </c>
      <c r="E355" s="78" t="s">
        <v>601</v>
      </c>
      <c r="F355" s="78"/>
      <c r="G355" s="78" t="s">
        <v>573</v>
      </c>
      <c r="H355" s="78" t="s">
        <v>582</v>
      </c>
      <c r="I355" s="78" t="s">
        <v>575</v>
      </c>
      <c r="J355" s="44">
        <v>3222.8</v>
      </c>
      <c r="K355" s="44">
        <v>2881.7</v>
      </c>
      <c r="L355" s="44">
        <v>0</v>
      </c>
      <c r="M355" s="79">
        <v>106</v>
      </c>
      <c r="N355" s="72">
        <f t="shared" si="41"/>
        <v>466481.40988416004</v>
      </c>
      <c r="O355" s="44">
        <v>0</v>
      </c>
      <c r="P355" s="44"/>
      <c r="Q355" s="44"/>
      <c r="R355" s="44">
        <f>+'[12]Приложение № 4'!E355</f>
        <v>466481.40988416004</v>
      </c>
      <c r="S355" s="44"/>
      <c r="T355" s="44"/>
      <c r="U355" s="44">
        <v>3795.63</v>
      </c>
      <c r="V355" s="44">
        <v>3795.63</v>
      </c>
      <c r="W355" s="80" t="s">
        <v>1101</v>
      </c>
      <c r="X355" s="96" t="e">
        <f>+N355-#REF!</f>
        <v>#REF!</v>
      </c>
      <c r="Y355" s="94">
        <v>870752.01</v>
      </c>
      <c r="Z355" s="94">
        <f t="shared" si="46"/>
        <v>314681.63999999996</v>
      </c>
      <c r="AB355" s="96" t="e">
        <f>+N355-#REF!</f>
        <v>#REF!</v>
      </c>
      <c r="AC355" s="27">
        <f>+N355-'[12]Приложение № 4'!E355</f>
        <v>0</v>
      </c>
      <c r="AE355" s="98" t="e">
        <f>+N355-#REF!</f>
        <v>#REF!</v>
      </c>
      <c r="AG355" s="101" t="s">
        <v>1026</v>
      </c>
      <c r="AH355" s="102">
        <f t="shared" si="49"/>
        <v>466481.40988416004</v>
      </c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>
        <v>442481.40988416004</v>
      </c>
      <c r="AV355" s="102">
        <v>24000</v>
      </c>
      <c r="AW355" s="102"/>
    </row>
    <row r="356" spans="1:49" ht="15" x14ac:dyDescent="0.25">
      <c r="A356" s="76">
        <f t="shared" si="44"/>
        <v>344</v>
      </c>
      <c r="B356" s="77">
        <f t="shared" si="44"/>
        <v>344</v>
      </c>
      <c r="C356" s="77" t="s">
        <v>103</v>
      </c>
      <c r="D356" s="77" t="s">
        <v>1027</v>
      </c>
      <c r="E356" s="78" t="s">
        <v>581</v>
      </c>
      <c r="F356" s="78"/>
      <c r="G356" s="78" t="s">
        <v>573</v>
      </c>
      <c r="H356" s="78" t="s">
        <v>582</v>
      </c>
      <c r="I356" s="78" t="s">
        <v>575</v>
      </c>
      <c r="J356" s="44">
        <v>3222.9</v>
      </c>
      <c r="K356" s="44">
        <v>2802.8</v>
      </c>
      <c r="L356" s="44">
        <v>71.8</v>
      </c>
      <c r="M356" s="79">
        <v>93</v>
      </c>
      <c r="N356" s="72">
        <f t="shared" si="41"/>
        <v>568211.22844800004</v>
      </c>
      <c r="O356" s="44">
        <v>0</v>
      </c>
      <c r="P356" s="44"/>
      <c r="Q356" s="44"/>
      <c r="R356" s="44">
        <f>+'[12]Приложение № 4'!E356</f>
        <v>568211.22844800004</v>
      </c>
      <c r="S356" s="44"/>
      <c r="T356" s="44"/>
      <c r="U356" s="44">
        <v>3795.63</v>
      </c>
      <c r="V356" s="44">
        <v>3795.63</v>
      </c>
      <c r="W356" s="80" t="s">
        <v>1101</v>
      </c>
      <c r="X356" s="96" t="e">
        <f>+N356-#REF!</f>
        <v>#REF!</v>
      </c>
      <c r="Y356" s="94">
        <v>1009349.43</v>
      </c>
      <c r="Z356" s="94">
        <f t="shared" si="46"/>
        <v>321738.26400000002</v>
      </c>
      <c r="AB356" s="96" t="e">
        <f>+N356-#REF!</f>
        <v>#REF!</v>
      </c>
      <c r="AC356" s="27">
        <f>+N356-'[12]Приложение № 4'!E356</f>
        <v>0</v>
      </c>
      <c r="AE356" s="98" t="e">
        <f>+N356-#REF!</f>
        <v>#REF!</v>
      </c>
      <c r="AG356" s="101" t="s">
        <v>1027</v>
      </c>
      <c r="AH356" s="102">
        <f t="shared" si="49"/>
        <v>568211.22844800004</v>
      </c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>
        <v>544211.22844800004</v>
      </c>
      <c r="AV356" s="102">
        <v>24000</v>
      </c>
      <c r="AW356" s="102"/>
    </row>
    <row r="357" spans="1:49" ht="15" x14ac:dyDescent="0.25">
      <c r="A357" s="76">
        <f t="shared" si="44"/>
        <v>345</v>
      </c>
      <c r="B357" s="77">
        <f t="shared" si="44"/>
        <v>345</v>
      </c>
      <c r="C357" s="77" t="s">
        <v>103</v>
      </c>
      <c r="D357" s="77" t="s">
        <v>1028</v>
      </c>
      <c r="E357" s="78" t="s">
        <v>627</v>
      </c>
      <c r="F357" s="78"/>
      <c r="G357" s="78" t="s">
        <v>573</v>
      </c>
      <c r="H357" s="78" t="s">
        <v>582</v>
      </c>
      <c r="I357" s="78" t="s">
        <v>575</v>
      </c>
      <c r="J357" s="44">
        <v>3192</v>
      </c>
      <c r="K357" s="44">
        <v>2860.5</v>
      </c>
      <c r="L357" s="44">
        <v>0</v>
      </c>
      <c r="M357" s="79">
        <v>116</v>
      </c>
      <c r="N357" s="72">
        <f t="shared" si="41"/>
        <v>568012.34</v>
      </c>
      <c r="O357" s="44">
        <v>0</v>
      </c>
      <c r="P357" s="44"/>
      <c r="Q357" s="44"/>
      <c r="R357" s="44">
        <f>+'[12]Приложение № 4'!E357</f>
        <v>568012.34</v>
      </c>
      <c r="S357" s="44"/>
      <c r="T357" s="44"/>
      <c r="U357" s="44">
        <v>3795.63</v>
      </c>
      <c r="V357" s="44">
        <v>3795.63</v>
      </c>
      <c r="W357" s="80" t="s">
        <v>1101</v>
      </c>
      <c r="X357" s="96" t="e">
        <f>+N357-#REF!</f>
        <v>#REF!</v>
      </c>
      <c r="Y357" s="94">
        <v>925631.66</v>
      </c>
      <c r="Z357" s="94">
        <f t="shared" si="46"/>
        <v>312366.59999999998</v>
      </c>
      <c r="AB357" s="96" t="e">
        <f>+N357-#REF!</f>
        <v>#REF!</v>
      </c>
      <c r="AC357" s="27">
        <f>+N357-'[12]Приложение № 4'!E357</f>
        <v>0</v>
      </c>
      <c r="AE357" s="98" t="e">
        <f>+N357-#REF!</f>
        <v>#REF!</v>
      </c>
      <c r="AG357" s="101" t="s">
        <v>1028</v>
      </c>
      <c r="AH357" s="102">
        <f t="shared" si="49"/>
        <v>568012.33132799994</v>
      </c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>
        <v>544012.33132799994</v>
      </c>
      <c r="AV357" s="102">
        <v>24000</v>
      </c>
      <c r="AW357" s="102"/>
    </row>
    <row r="358" spans="1:49" ht="15" x14ac:dyDescent="0.25">
      <c r="A358" s="76">
        <f t="shared" si="44"/>
        <v>346</v>
      </c>
      <c r="B358" s="77">
        <f t="shared" si="44"/>
        <v>346</v>
      </c>
      <c r="C358" s="77" t="s">
        <v>103</v>
      </c>
      <c r="D358" s="77" t="s">
        <v>884</v>
      </c>
      <c r="E358" s="78" t="s">
        <v>578</v>
      </c>
      <c r="F358" s="78"/>
      <c r="G358" s="78" t="s">
        <v>570</v>
      </c>
      <c r="H358" s="78" t="s">
        <v>582</v>
      </c>
      <c r="I358" s="78" t="s">
        <v>579</v>
      </c>
      <c r="J358" s="44">
        <v>4642.8999999999996</v>
      </c>
      <c r="K358" s="44">
        <v>4217.6000000000004</v>
      </c>
      <c r="L358" s="44">
        <v>0</v>
      </c>
      <c r="M358" s="79">
        <v>159</v>
      </c>
      <c r="N358" s="72">
        <f t="shared" si="41"/>
        <v>381208.15876160114</v>
      </c>
      <c r="O358" s="44">
        <v>0</v>
      </c>
      <c r="P358" s="44"/>
      <c r="Q358" s="44"/>
      <c r="R358" s="44">
        <f>+'[12]Приложение № 4'!E358</f>
        <v>381208.15876160114</v>
      </c>
      <c r="S358" s="44"/>
      <c r="T358" s="44"/>
      <c r="U358" s="44">
        <v>1799.99</v>
      </c>
      <c r="V358" s="44">
        <v>1799.99</v>
      </c>
      <c r="W358" s="80" t="s">
        <v>1101</v>
      </c>
      <c r="X358" s="96" t="e">
        <f>+N358-#REF!</f>
        <v>#REF!</v>
      </c>
      <c r="Y358" s="94">
        <v>1502591.74</v>
      </c>
      <c r="Z358" s="94">
        <f>+(K358*9.1+L358*18.19)*12</f>
        <v>460561.92000000004</v>
      </c>
      <c r="AB358" s="96" t="e">
        <f>+N358-#REF!</f>
        <v>#REF!</v>
      </c>
      <c r="AC358" s="27">
        <f>+N358-'[12]Приложение № 4'!E358</f>
        <v>0</v>
      </c>
      <c r="AE358" s="98" t="e">
        <f>+N358-#REF!</f>
        <v>#REF!</v>
      </c>
      <c r="AG358" s="101" t="s">
        <v>884</v>
      </c>
      <c r="AH358" s="102">
        <f t="shared" si="28"/>
        <v>381208.15876160114</v>
      </c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>
        <v>357208.15876160114</v>
      </c>
      <c r="AV358" s="102">
        <v>24000</v>
      </c>
      <c r="AW358" s="102"/>
    </row>
    <row r="359" spans="1:49" ht="15" x14ac:dyDescent="0.25">
      <c r="A359" s="76">
        <f t="shared" si="44"/>
        <v>347</v>
      </c>
      <c r="B359" s="77">
        <f t="shared" si="44"/>
        <v>347</v>
      </c>
      <c r="C359" s="77" t="s">
        <v>103</v>
      </c>
      <c r="D359" s="77" t="s">
        <v>885</v>
      </c>
      <c r="E359" s="78" t="s">
        <v>599</v>
      </c>
      <c r="F359" s="78"/>
      <c r="G359" s="78" t="s">
        <v>573</v>
      </c>
      <c r="H359" s="78" t="s">
        <v>582</v>
      </c>
      <c r="I359" s="78" t="s">
        <v>575</v>
      </c>
      <c r="J359" s="44">
        <v>3237.5</v>
      </c>
      <c r="K359" s="44">
        <v>2890.4</v>
      </c>
      <c r="L359" s="44">
        <v>0</v>
      </c>
      <c r="M359" s="79">
        <v>123</v>
      </c>
      <c r="N359" s="72">
        <f t="shared" si="41"/>
        <v>324873.81914350996</v>
      </c>
      <c r="O359" s="44">
        <v>0</v>
      </c>
      <c r="P359" s="44"/>
      <c r="Q359" s="44"/>
      <c r="R359" s="44">
        <f>+'[12]Приложение № 4'!E359</f>
        <v>324873.81914350996</v>
      </c>
      <c r="S359" s="44"/>
      <c r="T359" s="44"/>
      <c r="U359" s="44">
        <v>1862.85</v>
      </c>
      <c r="V359" s="44">
        <v>1862.85</v>
      </c>
      <c r="W359" s="80" t="s">
        <v>1101</v>
      </c>
      <c r="X359" s="96" t="e">
        <f>+N359-#REF!</f>
        <v>#REF!</v>
      </c>
      <c r="Y359" s="94">
        <v>1139949.94</v>
      </c>
      <c r="Z359" s="94">
        <f>+(K359*9.1+L359*18.19)*12</f>
        <v>315631.68</v>
      </c>
      <c r="AB359" s="96" t="e">
        <f>+N359-#REF!</f>
        <v>#REF!</v>
      </c>
      <c r="AC359" s="27">
        <f>+N359-'[12]Приложение № 4'!E359</f>
        <v>0</v>
      </c>
      <c r="AE359" s="98" t="e">
        <f>+N359-#REF!</f>
        <v>#REF!</v>
      </c>
      <c r="AG359" s="101" t="s">
        <v>885</v>
      </c>
      <c r="AH359" s="102">
        <f t="shared" si="28"/>
        <v>324873.81914350996</v>
      </c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>
        <v>300873.81914350996</v>
      </c>
      <c r="AV359" s="102">
        <v>24000</v>
      </c>
      <c r="AW359" s="102"/>
    </row>
    <row r="360" spans="1:49" ht="15" x14ac:dyDescent="0.25">
      <c r="A360" s="76">
        <f t="shared" si="44"/>
        <v>348</v>
      </c>
      <c r="B360" s="77">
        <f t="shared" si="44"/>
        <v>348</v>
      </c>
      <c r="C360" s="77" t="s">
        <v>1118</v>
      </c>
      <c r="D360" s="77" t="s">
        <v>883</v>
      </c>
      <c r="E360" s="78" t="s">
        <v>594</v>
      </c>
      <c r="F360" s="78"/>
      <c r="G360" s="78" t="s">
        <v>570</v>
      </c>
      <c r="H360" s="78" t="s">
        <v>582</v>
      </c>
      <c r="I360" s="78" t="s">
        <v>622</v>
      </c>
      <c r="J360" s="44">
        <v>8947.2000000000007</v>
      </c>
      <c r="K360" s="44">
        <v>7717.5</v>
      </c>
      <c r="L360" s="44">
        <v>71.5</v>
      </c>
      <c r="M360" s="79">
        <v>431</v>
      </c>
      <c r="N360" s="72">
        <f t="shared" si="41"/>
        <v>1851214.5910470171</v>
      </c>
      <c r="O360" s="44">
        <v>0</v>
      </c>
      <c r="P360" s="44"/>
      <c r="Q360" s="44"/>
      <c r="R360" s="44">
        <f>+'[12]Приложение № 4'!E360</f>
        <v>1851214.5910470171</v>
      </c>
      <c r="S360" s="44"/>
      <c r="T360" s="44"/>
      <c r="U360" s="44">
        <v>6569.45</v>
      </c>
      <c r="V360" s="44">
        <v>6569.45</v>
      </c>
      <c r="W360" s="80" t="s">
        <v>1101</v>
      </c>
      <c r="X360" s="96" t="e">
        <f>+N360-#REF!</f>
        <v>#REF!</v>
      </c>
      <c r="Y360" s="94">
        <v>2335673.86</v>
      </c>
      <c r="Z360" s="94">
        <f>+(K360*9.1+L360*18.19)*12</f>
        <v>858358.02</v>
      </c>
      <c r="AB360" s="96" t="e">
        <f>+N360-#REF!</f>
        <v>#REF!</v>
      </c>
      <c r="AC360" s="27">
        <f>+N360-'[12]Приложение № 4'!E360</f>
        <v>0</v>
      </c>
      <c r="AE360" s="98" t="e">
        <f>+N360-#REF!</f>
        <v>#REF!</v>
      </c>
      <c r="AG360" s="101" t="s">
        <v>883</v>
      </c>
      <c r="AH360" s="102">
        <f>SUM(AI360:AW360)</f>
        <v>1863214.5910470169</v>
      </c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>
        <v>1810932.667872617</v>
      </c>
      <c r="AV360" s="102">
        <v>52281.923174399999</v>
      </c>
      <c r="AW360" s="102"/>
    </row>
    <row r="361" spans="1:49" ht="15" x14ac:dyDescent="0.25">
      <c r="A361" s="76">
        <f t="shared" si="44"/>
        <v>349</v>
      </c>
      <c r="B361" s="77">
        <f t="shared" si="44"/>
        <v>349</v>
      </c>
      <c r="C361" s="77" t="s">
        <v>1118</v>
      </c>
      <c r="D361" s="77" t="s">
        <v>1203</v>
      </c>
      <c r="E361" s="78">
        <v>1974</v>
      </c>
      <c r="F361" s="78">
        <v>1974</v>
      </c>
      <c r="G361" s="78" t="s">
        <v>52</v>
      </c>
      <c r="H361" s="78">
        <v>2</v>
      </c>
      <c r="I361" s="78">
        <v>3</v>
      </c>
      <c r="J361" s="44">
        <v>557.20000000000005</v>
      </c>
      <c r="K361" s="44">
        <v>492.5</v>
      </c>
      <c r="L361" s="44">
        <v>0</v>
      </c>
      <c r="M361" s="79">
        <v>38</v>
      </c>
      <c r="N361" s="72">
        <f t="shared" si="41"/>
        <v>77313.759999999995</v>
      </c>
      <c r="O361" s="44"/>
      <c r="P361" s="68"/>
      <c r="Q361" s="68"/>
      <c r="R361" s="44">
        <f>+'[12]Приложение № 4'!E361</f>
        <v>77313.759999999995</v>
      </c>
      <c r="S361" s="68"/>
      <c r="T361" s="68"/>
      <c r="U361" s="68">
        <f>$N361/($K361+$L361)</f>
        <v>156.98225380710659</v>
      </c>
      <c r="V361" s="68">
        <f>$N361/($K361+$L361)</f>
        <v>156.98225380710659</v>
      </c>
      <c r="W361" s="80" t="s">
        <v>1101</v>
      </c>
      <c r="X361" s="76"/>
      <c r="Y361" s="77"/>
      <c r="Z361" s="77"/>
      <c r="AA361" s="77"/>
      <c r="AC361" s="27">
        <f>+N361-'[12]Приложение № 4'!E361</f>
        <v>0</v>
      </c>
    </row>
    <row r="362" spans="1:49" ht="15" x14ac:dyDescent="0.25">
      <c r="A362" s="76">
        <f t="shared" si="44"/>
        <v>350</v>
      </c>
      <c r="B362" s="77">
        <f t="shared" si="44"/>
        <v>350</v>
      </c>
      <c r="C362" s="77" t="s">
        <v>1118</v>
      </c>
      <c r="D362" s="77" t="s">
        <v>1204</v>
      </c>
      <c r="E362" s="78">
        <v>1974</v>
      </c>
      <c r="F362" s="78">
        <v>1974</v>
      </c>
      <c r="G362" s="78" t="s">
        <v>52</v>
      </c>
      <c r="H362" s="78">
        <v>2</v>
      </c>
      <c r="I362" s="78">
        <v>3</v>
      </c>
      <c r="J362" s="44">
        <v>564</v>
      </c>
      <c r="K362" s="44">
        <v>489.4</v>
      </c>
      <c r="L362" s="44">
        <v>0</v>
      </c>
      <c r="M362" s="79">
        <v>22</v>
      </c>
      <c r="N362" s="72">
        <f t="shared" si="41"/>
        <v>85409.67</v>
      </c>
      <c r="O362" s="44"/>
      <c r="P362" s="68"/>
      <c r="Q362" s="68"/>
      <c r="R362" s="44">
        <f>+'[12]Приложение № 4'!E362</f>
        <v>85409.67</v>
      </c>
      <c r="S362" s="68"/>
      <c r="T362" s="68"/>
      <c r="U362" s="68">
        <f>$N362/($K362+$L362)</f>
        <v>174.51914589293011</v>
      </c>
      <c r="V362" s="68">
        <f>$N362/($K362+$L362)</f>
        <v>174.51914589293011</v>
      </c>
      <c r="W362" s="80" t="s">
        <v>1101</v>
      </c>
      <c r="X362" s="76"/>
      <c r="Y362" s="77"/>
      <c r="Z362" s="77"/>
      <c r="AA362" s="77"/>
      <c r="AC362" s="27">
        <f>+N362-'[12]Приложение № 4'!E362</f>
        <v>0</v>
      </c>
    </row>
    <row r="363" spans="1:49" ht="15" x14ac:dyDescent="0.25">
      <c r="A363" s="76">
        <f t="shared" si="44"/>
        <v>351</v>
      </c>
      <c r="B363" s="77">
        <f t="shared" si="44"/>
        <v>351</v>
      </c>
      <c r="C363" s="77" t="s">
        <v>520</v>
      </c>
      <c r="D363" s="77" t="s">
        <v>1029</v>
      </c>
      <c r="E363" s="78" t="s">
        <v>577</v>
      </c>
      <c r="F363" s="78"/>
      <c r="G363" s="78" t="s">
        <v>570</v>
      </c>
      <c r="H363" s="78" t="s">
        <v>572</v>
      </c>
      <c r="I363" s="78" t="s">
        <v>572</v>
      </c>
      <c r="J363" s="44">
        <v>1089.5</v>
      </c>
      <c r="K363" s="44">
        <v>974.3</v>
      </c>
      <c r="L363" s="44">
        <v>0</v>
      </c>
      <c r="M363" s="79">
        <v>43</v>
      </c>
      <c r="N363" s="72">
        <f t="shared" si="41"/>
        <v>143639</v>
      </c>
      <c r="O363" s="44">
        <v>0</v>
      </c>
      <c r="P363" s="44"/>
      <c r="Q363" s="44"/>
      <c r="R363" s="44">
        <f>+'[12]Приложение № 4'!E363</f>
        <v>143639</v>
      </c>
      <c r="S363" s="44"/>
      <c r="T363" s="44"/>
      <c r="U363" s="44">
        <v>3708</v>
      </c>
      <c r="V363" s="44">
        <v>3708</v>
      </c>
      <c r="W363" s="80" t="s">
        <v>1101</v>
      </c>
      <c r="X363" s="96" t="e">
        <f>+N363-#REF!</f>
        <v>#REF!</v>
      </c>
      <c r="Y363" s="94">
        <v>352248.33</v>
      </c>
      <c r="Z363" s="94">
        <f>+(K363*9.1+L363*18.19)*12</f>
        <v>106393.56</v>
      </c>
      <c r="AB363" s="96" t="e">
        <f>+N363-#REF!</f>
        <v>#REF!</v>
      </c>
      <c r="AC363" s="27">
        <f>+N363-'[12]Приложение № 4'!E363</f>
        <v>0</v>
      </c>
      <c r="AE363" s="98" t="e">
        <f>+N363-#REF!</f>
        <v>#REF!</v>
      </c>
      <c r="AG363" s="101" t="s">
        <v>1029</v>
      </c>
      <c r="AH363" s="102">
        <f>SUM(AI363:AW363)</f>
        <v>149503.71160500863</v>
      </c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>
        <v>125503.71160500865</v>
      </c>
      <c r="AV363" s="102">
        <v>24000</v>
      </c>
      <c r="AW363" s="102"/>
    </row>
    <row r="364" spans="1:49" ht="15" x14ac:dyDescent="0.25">
      <c r="A364" s="76">
        <f t="shared" si="44"/>
        <v>352</v>
      </c>
      <c r="B364" s="77">
        <f t="shared" si="44"/>
        <v>352</v>
      </c>
      <c r="C364" s="77" t="s">
        <v>520</v>
      </c>
      <c r="D364" s="77" t="s">
        <v>886</v>
      </c>
      <c r="E364" s="78" t="s">
        <v>625</v>
      </c>
      <c r="F364" s="78"/>
      <c r="G364" s="78" t="s">
        <v>570</v>
      </c>
      <c r="H364" s="78" t="s">
        <v>579</v>
      </c>
      <c r="I364" s="78" t="s">
        <v>579</v>
      </c>
      <c r="J364" s="44">
        <v>2926.4</v>
      </c>
      <c r="K364" s="44">
        <v>2686.08</v>
      </c>
      <c r="L364" s="44">
        <v>0</v>
      </c>
      <c r="M364" s="79">
        <v>193</v>
      </c>
      <c r="N364" s="72">
        <f t="shared" si="41"/>
        <v>188216.97</v>
      </c>
      <c r="O364" s="44">
        <v>0</v>
      </c>
      <c r="P364" s="44"/>
      <c r="Q364" s="44"/>
      <c r="R364" s="44">
        <f>+'[12]Приложение № 4'!E364</f>
        <v>188216.97</v>
      </c>
      <c r="S364" s="44"/>
      <c r="T364" s="44"/>
      <c r="U364" s="44">
        <v>212.61</v>
      </c>
      <c r="V364" s="44">
        <v>212.61</v>
      </c>
      <c r="W364" s="80" t="s">
        <v>1101</v>
      </c>
      <c r="X364" s="96" t="e">
        <f>+N364-#REF!</f>
        <v>#REF!</v>
      </c>
      <c r="Y364" s="94">
        <v>948903.12</v>
      </c>
      <c r="Z364" s="94">
        <f>+(K364*9.1+L364*18.19)*12</f>
        <v>293319.93599999999</v>
      </c>
      <c r="AB364" s="96" t="e">
        <f>+N364-#REF!</f>
        <v>#REF!</v>
      </c>
      <c r="AC364" s="27">
        <f>+N364-'[12]Приложение № 4'!E364</f>
        <v>0</v>
      </c>
      <c r="AE364" s="98" t="e">
        <f>+N364-#REF!</f>
        <v>#REF!</v>
      </c>
      <c r="AG364" s="101" t="s">
        <v>886</v>
      </c>
      <c r="AH364" s="102">
        <f t="shared" si="28"/>
        <v>205151.11987200001</v>
      </c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>
        <v>181151.11987200001</v>
      </c>
      <c r="AV364" s="102">
        <v>24000</v>
      </c>
      <c r="AW364" s="102"/>
    </row>
    <row r="365" spans="1:49" ht="15" x14ac:dyDescent="0.25">
      <c r="A365" s="76">
        <f t="shared" si="44"/>
        <v>353</v>
      </c>
      <c r="B365" s="77">
        <f t="shared" si="44"/>
        <v>353</v>
      </c>
      <c r="C365" s="77" t="s">
        <v>520</v>
      </c>
      <c r="D365" s="77" t="s">
        <v>1205</v>
      </c>
      <c r="E365" s="78">
        <v>1973</v>
      </c>
      <c r="F365" s="78">
        <v>2013</v>
      </c>
      <c r="G365" s="78" t="s">
        <v>44</v>
      </c>
      <c r="H365" s="78">
        <v>4</v>
      </c>
      <c r="I365" s="78">
        <v>2</v>
      </c>
      <c r="J365" s="44">
        <v>2006.28</v>
      </c>
      <c r="K365" s="44">
        <v>1801.9</v>
      </c>
      <c r="L365" s="44">
        <v>0</v>
      </c>
      <c r="M365" s="79">
        <v>77</v>
      </c>
      <c r="N365" s="72">
        <f t="shared" si="41"/>
        <v>130976.76</v>
      </c>
      <c r="O365" s="44"/>
      <c r="P365" s="44"/>
      <c r="Q365" s="44"/>
      <c r="R365" s="44">
        <f>+'[12]Приложение № 4'!E365</f>
        <v>130976.76</v>
      </c>
      <c r="S365" s="44"/>
      <c r="T365" s="44"/>
      <c r="U365" s="44">
        <v>2677.8799988900601</v>
      </c>
      <c r="V365" s="44">
        <v>2677.8799988900601</v>
      </c>
      <c r="W365" s="80" t="s">
        <v>1101</v>
      </c>
      <c r="AC365" s="27">
        <f>+N365-'[12]Приложение № 4'!E365</f>
        <v>0</v>
      </c>
      <c r="AG365" s="103" t="s">
        <v>1206</v>
      </c>
      <c r="AH365" s="102">
        <f>SUM(AI365:AW365)</f>
        <v>530779.91669999994</v>
      </c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>
        <v>482527.19699999999</v>
      </c>
      <c r="AV365" s="106">
        <v>48252.719700000001</v>
      </c>
      <c r="AW365" s="106"/>
    </row>
    <row r="366" spans="1:49" ht="15" x14ac:dyDescent="0.25">
      <c r="A366" s="76">
        <f t="shared" si="44"/>
        <v>354</v>
      </c>
      <c r="B366" s="77">
        <f t="shared" si="44"/>
        <v>354</v>
      </c>
      <c r="C366" s="77" t="s">
        <v>1123</v>
      </c>
      <c r="D366" s="77" t="s">
        <v>1068</v>
      </c>
      <c r="E366" s="78" t="s">
        <v>578</v>
      </c>
      <c r="F366" s="78"/>
      <c r="G366" s="78" t="s">
        <v>570</v>
      </c>
      <c r="H366" s="78" t="s">
        <v>582</v>
      </c>
      <c r="I366" s="78" t="s">
        <v>575</v>
      </c>
      <c r="J366" s="44">
        <v>2862</v>
      </c>
      <c r="K366" s="44">
        <v>2862</v>
      </c>
      <c r="L366" s="44">
        <v>0</v>
      </c>
      <c r="M366" s="79">
        <v>95</v>
      </c>
      <c r="N366" s="72">
        <f t="shared" si="41"/>
        <v>455299.98</v>
      </c>
      <c r="O366" s="44">
        <v>0</v>
      </c>
      <c r="P366" s="44"/>
      <c r="Q366" s="44"/>
      <c r="R366" s="44">
        <f>+'[12]Приложение № 4'!E366</f>
        <v>455299.98</v>
      </c>
      <c r="S366" s="44"/>
      <c r="T366" s="44"/>
      <c r="U366" s="44">
        <v>3249.16</v>
      </c>
      <c r="V366" s="44">
        <v>3249.16</v>
      </c>
      <c r="W366" s="80" t="s">
        <v>1101</v>
      </c>
      <c r="X366" s="96" t="e">
        <f>+N366-#REF!</f>
        <v>#REF!</v>
      </c>
      <c r="Y366" s="94">
        <v>830530.88</v>
      </c>
      <c r="Z366" s="94">
        <f>+(K366*9.1+L366*18.19)*12</f>
        <v>312530.40000000002</v>
      </c>
      <c r="AB366" s="96" t="e">
        <f>+N366-#REF!</f>
        <v>#REF!</v>
      </c>
      <c r="AC366" s="27">
        <f>+N366-'[12]Приложение № 4'!E366</f>
        <v>0</v>
      </c>
      <c r="AE366" s="98" t="e">
        <f>+N366-#REF!</f>
        <v>#REF!</v>
      </c>
      <c r="AG366" s="101" t="s">
        <v>1068</v>
      </c>
      <c r="AH366" s="102">
        <f>SUM(AI366:AW366)</f>
        <v>469299.97303296003</v>
      </c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>
        <v>445299.97303296003</v>
      </c>
      <c r="AV366" s="102">
        <v>24000</v>
      </c>
      <c r="AW366" s="102"/>
    </row>
    <row r="367" spans="1:49" ht="15" x14ac:dyDescent="0.25">
      <c r="A367" s="76">
        <f t="shared" si="44"/>
        <v>355</v>
      </c>
      <c r="B367" s="77">
        <f t="shared" si="44"/>
        <v>355</v>
      </c>
      <c r="C367" s="77" t="s">
        <v>1123</v>
      </c>
      <c r="D367" s="77" t="s">
        <v>957</v>
      </c>
      <c r="E367" s="78" t="s">
        <v>1120</v>
      </c>
      <c r="F367" s="78"/>
      <c r="G367" s="78" t="s">
        <v>570</v>
      </c>
      <c r="H367" s="78" t="s">
        <v>582</v>
      </c>
      <c r="I367" s="78" t="s">
        <v>572</v>
      </c>
      <c r="J367" s="44">
        <v>1546</v>
      </c>
      <c r="K367" s="44">
        <v>1546</v>
      </c>
      <c r="L367" s="44">
        <v>0</v>
      </c>
      <c r="M367" s="79">
        <v>31</v>
      </c>
      <c r="N367" s="72">
        <f t="shared" si="41"/>
        <v>1132732.07</v>
      </c>
      <c r="O367" s="44">
        <v>0</v>
      </c>
      <c r="P367" s="44">
        <v>132747.04999999999</v>
      </c>
      <c r="Q367" s="44"/>
      <c r="R367" s="44">
        <v>999985.02</v>
      </c>
      <c r="S367" s="44"/>
      <c r="T367" s="44"/>
      <c r="U367" s="44">
        <v>4537.49</v>
      </c>
      <c r="V367" s="44">
        <v>4537.49</v>
      </c>
      <c r="W367" s="80" t="s">
        <v>1101</v>
      </c>
      <c r="X367" s="96" t="e">
        <f>+N367-#REF!</f>
        <v>#REF!</v>
      </c>
      <c r="Y367" s="94">
        <v>391109.29</v>
      </c>
      <c r="Z367" s="94">
        <f t="shared" ref="Z367:Z372" si="50">+(K367*9.1+L367*18.19)*12</f>
        <v>168823.19999999998</v>
      </c>
      <c r="AB367" s="96" t="e">
        <f>+N367-#REF!</f>
        <v>#REF!</v>
      </c>
      <c r="AC367" s="27">
        <f>+N367-'[12]Приложение № 4'!E367</f>
        <v>0</v>
      </c>
      <c r="AE367" s="98" t="e">
        <f>+N367-#REF!</f>
        <v>#REF!</v>
      </c>
      <c r="AG367" s="101" t="s">
        <v>957</v>
      </c>
      <c r="AH367" s="102">
        <f t="shared" ref="AH367:AH395" si="51">SUM(AI367:AW367)</f>
        <v>482996.81420088082</v>
      </c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>
        <v>458996.81420088082</v>
      </c>
      <c r="AV367" s="102">
        <v>24000</v>
      </c>
      <c r="AW367" s="102"/>
    </row>
    <row r="368" spans="1:49" ht="15" x14ac:dyDescent="0.25">
      <c r="A368" s="76">
        <f t="shared" si="44"/>
        <v>356</v>
      </c>
      <c r="B368" s="77">
        <f t="shared" si="44"/>
        <v>356</v>
      </c>
      <c r="C368" s="77" t="s">
        <v>1123</v>
      </c>
      <c r="D368" s="77" t="s">
        <v>958</v>
      </c>
      <c r="E368" s="78" t="s">
        <v>587</v>
      </c>
      <c r="F368" s="78"/>
      <c r="G368" s="78" t="s">
        <v>570</v>
      </c>
      <c r="H368" s="78" t="s">
        <v>582</v>
      </c>
      <c r="I368" s="78" t="s">
        <v>572</v>
      </c>
      <c r="J368" s="44">
        <v>1587.7</v>
      </c>
      <c r="K368" s="44">
        <v>1587.7</v>
      </c>
      <c r="L368" s="44">
        <v>0</v>
      </c>
      <c r="M368" s="79">
        <v>40</v>
      </c>
      <c r="N368" s="72">
        <f t="shared" si="41"/>
        <v>1137143.08</v>
      </c>
      <c r="O368" s="44">
        <v>0</v>
      </c>
      <c r="P368" s="44">
        <v>133250.48000000001</v>
      </c>
      <c r="Q368" s="44"/>
      <c r="R368" s="44">
        <v>1003892.6</v>
      </c>
      <c r="S368" s="44"/>
      <c r="T368" s="44"/>
      <c r="U368" s="44">
        <v>4537.49</v>
      </c>
      <c r="V368" s="44">
        <v>4537.49</v>
      </c>
      <c r="W368" s="80" t="s">
        <v>1101</v>
      </c>
      <c r="X368" s="96" t="e">
        <f>+N368-#REF!</f>
        <v>#REF!</v>
      </c>
      <c r="Y368" s="94">
        <v>574766.24</v>
      </c>
      <c r="Z368" s="94">
        <f t="shared" si="50"/>
        <v>173376.84</v>
      </c>
      <c r="AB368" s="96" t="e">
        <f>+N368-#REF!</f>
        <v>#REF!</v>
      </c>
      <c r="AC368" s="27">
        <f>+N368-'[12]Приложение № 4'!E368</f>
        <v>0</v>
      </c>
      <c r="AE368" s="98" t="e">
        <f>+N368-#REF!</f>
        <v>#REF!</v>
      </c>
      <c r="AG368" s="101" t="s">
        <v>958</v>
      </c>
      <c r="AH368" s="102">
        <f t="shared" si="51"/>
        <v>484890.68724627327</v>
      </c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>
        <v>460890.68724627327</v>
      </c>
      <c r="AV368" s="102">
        <v>24000</v>
      </c>
      <c r="AW368" s="102"/>
    </row>
    <row r="369" spans="1:49" ht="15" x14ac:dyDescent="0.25">
      <c r="A369" s="76">
        <f t="shared" si="44"/>
        <v>357</v>
      </c>
      <c r="B369" s="77">
        <f t="shared" si="44"/>
        <v>357</v>
      </c>
      <c r="C369" s="77" t="s">
        <v>1123</v>
      </c>
      <c r="D369" s="77" t="s">
        <v>959</v>
      </c>
      <c r="E369" s="78" t="s">
        <v>1120</v>
      </c>
      <c r="F369" s="78"/>
      <c r="G369" s="78" t="s">
        <v>570</v>
      </c>
      <c r="H369" s="78" t="s">
        <v>582</v>
      </c>
      <c r="I369" s="78" t="s">
        <v>572</v>
      </c>
      <c r="J369" s="44">
        <v>1534.6</v>
      </c>
      <c r="K369" s="44">
        <v>1375.4</v>
      </c>
      <c r="L369" s="44">
        <v>159.19999999999999</v>
      </c>
      <c r="M369" s="79">
        <v>60</v>
      </c>
      <c r="N369" s="72">
        <f t="shared" si="41"/>
        <v>1133197.49</v>
      </c>
      <c r="O369" s="44">
        <v>0</v>
      </c>
      <c r="P369" s="44">
        <v>132800.17000000001</v>
      </c>
      <c r="Q369" s="44"/>
      <c r="R369" s="44">
        <v>1000397.3200000001</v>
      </c>
      <c r="S369" s="44"/>
      <c r="T369" s="44"/>
      <c r="U369" s="44">
        <v>4537.49</v>
      </c>
      <c r="V369" s="44">
        <v>4537.49</v>
      </c>
      <c r="W369" s="80" t="s">
        <v>1101</v>
      </c>
      <c r="X369" s="96" t="e">
        <f>+N369-#REF!</f>
        <v>#REF!</v>
      </c>
      <c r="Y369" s="94">
        <v>550132.54</v>
      </c>
      <c r="Z369" s="94">
        <f t="shared" si="50"/>
        <v>184943.85600000003</v>
      </c>
      <c r="AB369" s="96" t="e">
        <f>+N369-#REF!</f>
        <v>#REF!</v>
      </c>
      <c r="AC369" s="27">
        <f>+N369-'[12]Приложение № 4'!E369</f>
        <v>0</v>
      </c>
      <c r="AE369" s="98" t="e">
        <f>+N369-#REF!</f>
        <v>#REF!</v>
      </c>
      <c r="AG369" s="101" t="s">
        <v>959</v>
      </c>
      <c r="AH369" s="102">
        <f t="shared" si="51"/>
        <v>483196.64732797258</v>
      </c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>
        <v>459196.64732797258</v>
      </c>
      <c r="AV369" s="102">
        <v>24000</v>
      </c>
      <c r="AW369" s="102"/>
    </row>
    <row r="370" spans="1:49" ht="15" x14ac:dyDescent="0.25">
      <c r="A370" s="76">
        <f t="shared" si="44"/>
        <v>358</v>
      </c>
      <c r="B370" s="77">
        <f t="shared" si="44"/>
        <v>358</v>
      </c>
      <c r="C370" s="77" t="s">
        <v>1123</v>
      </c>
      <c r="D370" s="77" t="s">
        <v>960</v>
      </c>
      <c r="E370" s="78" t="s">
        <v>1120</v>
      </c>
      <c r="F370" s="78"/>
      <c r="G370" s="78" t="s">
        <v>570</v>
      </c>
      <c r="H370" s="78" t="s">
        <v>582</v>
      </c>
      <c r="I370" s="78" t="s">
        <v>575</v>
      </c>
      <c r="J370" s="44">
        <v>2347.6</v>
      </c>
      <c r="K370" s="44">
        <v>1984.5</v>
      </c>
      <c r="L370" s="44">
        <v>363.1</v>
      </c>
      <c r="M370" s="79">
        <v>72</v>
      </c>
      <c r="N370" s="72">
        <f t="shared" si="41"/>
        <v>1385746.94</v>
      </c>
      <c r="O370" s="44">
        <v>0</v>
      </c>
      <c r="P370" s="44">
        <v>140549.79</v>
      </c>
      <c r="Q370" s="44"/>
      <c r="R370" s="44">
        <v>1245197.1499999999</v>
      </c>
      <c r="S370" s="44"/>
      <c r="T370" s="44"/>
      <c r="U370" s="44">
        <v>6119.12</v>
      </c>
      <c r="V370" s="44">
        <v>6119.12</v>
      </c>
      <c r="W370" s="80" t="s">
        <v>1101</v>
      </c>
      <c r="X370" s="96" t="e">
        <f>+N370-#REF!</f>
        <v>#REF!</v>
      </c>
      <c r="Y370" s="94">
        <v>612298.5</v>
      </c>
      <c r="Z370" s="94">
        <f t="shared" si="50"/>
        <v>295964.86800000002</v>
      </c>
      <c r="AB370" s="96" t="e">
        <f>+N370-#REF!</f>
        <v>#REF!</v>
      </c>
      <c r="AC370" s="27">
        <f>+N370-'[12]Приложение № 4'!E370</f>
        <v>0</v>
      </c>
      <c r="AE370" s="98" t="e">
        <f>+N370-#REF!</f>
        <v>#REF!</v>
      </c>
      <c r="AG370" s="101" t="s">
        <v>960</v>
      </c>
      <c r="AH370" s="102">
        <f t="shared" si="51"/>
        <v>696997.99884051015</v>
      </c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>
        <v>672997.99884051015</v>
      </c>
      <c r="AV370" s="102">
        <v>24000</v>
      </c>
      <c r="AW370" s="102"/>
    </row>
    <row r="371" spans="1:49" ht="15" x14ac:dyDescent="0.25">
      <c r="A371" s="76">
        <f t="shared" si="44"/>
        <v>359</v>
      </c>
      <c r="B371" s="77">
        <f t="shared" si="44"/>
        <v>359</v>
      </c>
      <c r="C371" s="77" t="s">
        <v>1123</v>
      </c>
      <c r="D371" s="77" t="s">
        <v>961</v>
      </c>
      <c r="E371" s="78" t="s">
        <v>585</v>
      </c>
      <c r="F371" s="78"/>
      <c r="G371" s="78" t="s">
        <v>570</v>
      </c>
      <c r="H371" s="78" t="s">
        <v>582</v>
      </c>
      <c r="I371" s="78" t="s">
        <v>572</v>
      </c>
      <c r="J371" s="44">
        <v>1566.3</v>
      </c>
      <c r="K371" s="44">
        <v>1406</v>
      </c>
      <c r="L371" s="44">
        <v>160.30000000000001</v>
      </c>
      <c r="M371" s="79">
        <v>49</v>
      </c>
      <c r="N371" s="72">
        <f t="shared" si="41"/>
        <v>1143521.6100000001</v>
      </c>
      <c r="O371" s="44">
        <v>0</v>
      </c>
      <c r="P371" s="44">
        <v>133978.46</v>
      </c>
      <c r="Q371" s="44"/>
      <c r="R371" s="44">
        <v>1009543.15</v>
      </c>
      <c r="S371" s="44"/>
      <c r="T371" s="44"/>
      <c r="U371" s="44">
        <v>4537.49</v>
      </c>
      <c r="V371" s="44">
        <v>4537.49</v>
      </c>
      <c r="W371" s="80" t="s">
        <v>1101</v>
      </c>
      <c r="X371" s="96" t="e">
        <f>+N371-#REF!</f>
        <v>#REF!</v>
      </c>
      <c r="Y371" s="94">
        <v>468994.28</v>
      </c>
      <c r="Z371" s="94">
        <f t="shared" si="50"/>
        <v>188525.484</v>
      </c>
      <c r="AB371" s="96" t="e">
        <f>+N371-#REF!</f>
        <v>#REF!</v>
      </c>
      <c r="AC371" s="27">
        <f>+N371-'[12]Приложение № 4'!E371</f>
        <v>0</v>
      </c>
      <c r="AE371" s="98" t="e">
        <f>+N371-#REF!</f>
        <v>#REF!</v>
      </c>
      <c r="AG371" s="101" t="s">
        <v>961</v>
      </c>
      <c r="AH371" s="102">
        <f t="shared" si="51"/>
        <v>487629.30941982643</v>
      </c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>
        <v>463629.30941982643</v>
      </c>
      <c r="AV371" s="102">
        <v>24000</v>
      </c>
      <c r="AW371" s="102"/>
    </row>
    <row r="372" spans="1:49" ht="15" x14ac:dyDescent="0.25">
      <c r="A372" s="76">
        <f t="shared" si="44"/>
        <v>360</v>
      </c>
      <c r="B372" s="77">
        <f t="shared" si="44"/>
        <v>360</v>
      </c>
      <c r="C372" s="77" t="s">
        <v>1123</v>
      </c>
      <c r="D372" s="77" t="s">
        <v>962</v>
      </c>
      <c r="E372" s="78" t="s">
        <v>586</v>
      </c>
      <c r="F372" s="78"/>
      <c r="G372" s="78" t="s">
        <v>570</v>
      </c>
      <c r="H372" s="78" t="s">
        <v>582</v>
      </c>
      <c r="I372" s="78" t="s">
        <v>575</v>
      </c>
      <c r="J372" s="44">
        <v>2363.1999999999998</v>
      </c>
      <c r="K372" s="44">
        <v>2363.1999999999998</v>
      </c>
      <c r="L372" s="44">
        <v>0</v>
      </c>
      <c r="M372" s="79">
        <v>62</v>
      </c>
      <c r="N372" s="72">
        <f t="shared" si="41"/>
        <v>1198330.0999999999</v>
      </c>
      <c r="O372" s="44">
        <v>0</v>
      </c>
      <c r="P372" s="44">
        <v>139965.68</v>
      </c>
      <c r="Q372" s="44"/>
      <c r="R372" s="44">
        <v>1058364.42</v>
      </c>
      <c r="S372" s="44"/>
      <c r="T372" s="44"/>
      <c r="U372" s="44">
        <v>4537.49</v>
      </c>
      <c r="V372" s="44">
        <v>4537.49</v>
      </c>
      <c r="W372" s="80" t="s">
        <v>1101</v>
      </c>
      <c r="X372" s="96" t="e">
        <f>+N372-#REF!</f>
        <v>#REF!</v>
      </c>
      <c r="Y372" s="94">
        <v>637271.25</v>
      </c>
      <c r="Z372" s="94">
        <f t="shared" si="50"/>
        <v>258061.44</v>
      </c>
      <c r="AB372" s="96" t="e">
        <f>+N372-#REF!</f>
        <v>#REF!</v>
      </c>
      <c r="AC372" s="27">
        <f>+N372-'[12]Приложение № 4'!E372</f>
        <v>0</v>
      </c>
      <c r="AE372" s="98" t="e">
        <f>+N372-#REF!</f>
        <v>#REF!</v>
      </c>
      <c r="AG372" s="101" t="s">
        <v>962</v>
      </c>
      <c r="AH372" s="102">
        <f t="shared" si="51"/>
        <v>512501.65842973982</v>
      </c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>
        <v>488501.65842973982</v>
      </c>
      <c r="AV372" s="102">
        <v>24000</v>
      </c>
      <c r="AW372" s="102"/>
    </row>
    <row r="373" spans="1:49" ht="15" x14ac:dyDescent="0.25">
      <c r="A373" s="76">
        <f t="shared" si="44"/>
        <v>361</v>
      </c>
      <c r="B373" s="77">
        <f t="shared" si="44"/>
        <v>361</v>
      </c>
      <c r="C373" s="77" t="s">
        <v>628</v>
      </c>
      <c r="D373" s="77" t="s">
        <v>1207</v>
      </c>
      <c r="E373" s="78">
        <v>1981</v>
      </c>
      <c r="F373" s="78">
        <v>1981</v>
      </c>
      <c r="G373" s="78" t="s">
        <v>44</v>
      </c>
      <c r="H373" s="78">
        <v>4</v>
      </c>
      <c r="I373" s="78">
        <v>4</v>
      </c>
      <c r="J373" s="44">
        <v>2828.9</v>
      </c>
      <c r="K373" s="44">
        <v>2608.8000000000002</v>
      </c>
      <c r="L373" s="44">
        <v>220.1</v>
      </c>
      <c r="M373" s="79">
        <v>87</v>
      </c>
      <c r="N373" s="72">
        <f>+P373+Q373+R373+S373+T373</f>
        <v>343290.73</v>
      </c>
      <c r="O373" s="44"/>
      <c r="P373" s="44"/>
      <c r="Q373" s="44"/>
      <c r="R373" s="44">
        <f>+'[12]Приложение № 4'!E373</f>
        <v>343290.73</v>
      </c>
      <c r="S373" s="44"/>
      <c r="T373" s="44"/>
      <c r="U373" s="44">
        <f t="shared" ref="U373:V376" si="52">$N373/($K373+$L373)</f>
        <v>121.3513132312913</v>
      </c>
      <c r="V373" s="44">
        <f t="shared" si="52"/>
        <v>121.3513132312913</v>
      </c>
      <c r="W373" s="80" t="s">
        <v>1101</v>
      </c>
      <c r="AC373" s="27">
        <f>+N373-'[12]Приложение № 4'!E373</f>
        <v>0</v>
      </c>
      <c r="AG373" s="103" t="s">
        <v>1208</v>
      </c>
      <c r="AH373" s="102">
        <f>SUM(AI373:AW373)</f>
        <v>343290.73</v>
      </c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>
        <v>309167.73</v>
      </c>
      <c r="AV373" s="104">
        <v>34123</v>
      </c>
      <c r="AW373" s="106"/>
    </row>
    <row r="374" spans="1:49" ht="15" x14ac:dyDescent="0.25">
      <c r="A374" s="76">
        <f t="shared" si="44"/>
        <v>362</v>
      </c>
      <c r="B374" s="77">
        <f t="shared" si="44"/>
        <v>362</v>
      </c>
      <c r="C374" s="77" t="s">
        <v>628</v>
      </c>
      <c r="D374" s="77" t="s">
        <v>1209</v>
      </c>
      <c r="E374" s="78">
        <v>1983</v>
      </c>
      <c r="F374" s="78">
        <v>1983</v>
      </c>
      <c r="G374" s="78" t="s">
        <v>44</v>
      </c>
      <c r="H374" s="78">
        <v>4</v>
      </c>
      <c r="I374" s="78">
        <v>2</v>
      </c>
      <c r="J374" s="44">
        <v>1662</v>
      </c>
      <c r="K374" s="44">
        <v>1263.2</v>
      </c>
      <c r="L374" s="44">
        <v>398.8</v>
      </c>
      <c r="M374" s="79">
        <v>48</v>
      </c>
      <c r="N374" s="72">
        <f>+P374+Q374+R374+S374+T374</f>
        <v>286990.15000000002</v>
      </c>
      <c r="O374" s="44"/>
      <c r="P374" s="44"/>
      <c r="Q374" s="44"/>
      <c r="R374" s="44">
        <f>+'[12]Приложение № 4'!E374</f>
        <v>286990.15000000002</v>
      </c>
      <c r="S374" s="44"/>
      <c r="T374" s="44"/>
      <c r="U374" s="44">
        <f t="shared" si="52"/>
        <v>172.67758724428401</v>
      </c>
      <c r="V374" s="44">
        <f t="shared" si="52"/>
        <v>172.67758724428401</v>
      </c>
      <c r="W374" s="80" t="s">
        <v>1101</v>
      </c>
      <c r="AC374" s="27">
        <f>+N374-'[12]Приложение № 4'!E374</f>
        <v>0</v>
      </c>
      <c r="AG374" s="103" t="s">
        <v>1210</v>
      </c>
      <c r="AH374" s="102">
        <f>SUM(AI374:AW374)</f>
        <v>286990.15000000002</v>
      </c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>
        <v>258542.15</v>
      </c>
      <c r="AV374" s="104">
        <v>28448</v>
      </c>
      <c r="AW374" s="106"/>
    </row>
    <row r="375" spans="1:49" ht="15" x14ac:dyDescent="0.25">
      <c r="A375" s="76">
        <f t="shared" si="44"/>
        <v>363</v>
      </c>
      <c r="B375" s="77">
        <f t="shared" si="44"/>
        <v>363</v>
      </c>
      <c r="C375" s="77" t="s">
        <v>1082</v>
      </c>
      <c r="D375" s="77" t="s">
        <v>1211</v>
      </c>
      <c r="E375" s="78">
        <v>1984</v>
      </c>
      <c r="F375" s="78">
        <v>1984</v>
      </c>
      <c r="G375" s="78" t="s">
        <v>44</v>
      </c>
      <c r="H375" s="78">
        <v>1</v>
      </c>
      <c r="I375" s="78">
        <v>1</v>
      </c>
      <c r="J375" s="44">
        <v>266.60000000000002</v>
      </c>
      <c r="K375" s="44">
        <v>264.3</v>
      </c>
      <c r="L375" s="44">
        <v>2.2999999999999998</v>
      </c>
      <c r="M375" s="79">
        <v>10</v>
      </c>
      <c r="N375" s="72">
        <f>+P375+Q375+R375+S375+T375</f>
        <v>231559.53999999998</v>
      </c>
      <c r="O375" s="44"/>
      <c r="P375" s="44"/>
      <c r="Q375" s="44"/>
      <c r="R375" s="44">
        <f>+'[12]Приложение № 4'!E375</f>
        <v>231559.53999999998</v>
      </c>
      <c r="S375" s="44"/>
      <c r="T375" s="44"/>
      <c r="U375" s="44">
        <f t="shared" si="52"/>
        <v>868.56541635408837</v>
      </c>
      <c r="V375" s="44">
        <f t="shared" si="52"/>
        <v>868.56541635408837</v>
      </c>
      <c r="W375" s="80" t="s">
        <v>1101</v>
      </c>
      <c r="AC375" s="27">
        <f>+N375-'[12]Приложение № 4'!E375</f>
        <v>0</v>
      </c>
      <c r="AG375" s="103" t="s">
        <v>1212</v>
      </c>
      <c r="AH375" s="102">
        <f>SUM(AI375:AW375)</f>
        <v>231559.53999999998</v>
      </c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>
        <v>166928.99</v>
      </c>
      <c r="AV375" s="104">
        <v>64630.55</v>
      </c>
      <c r="AW375" s="106"/>
    </row>
    <row r="376" spans="1:49" ht="15" x14ac:dyDescent="0.25">
      <c r="A376" s="76">
        <f t="shared" si="44"/>
        <v>364</v>
      </c>
      <c r="B376" s="77">
        <f t="shared" si="44"/>
        <v>364</v>
      </c>
      <c r="C376" s="77" t="s">
        <v>1146</v>
      </c>
      <c r="D376" s="77" t="s">
        <v>1213</v>
      </c>
      <c r="E376" s="78">
        <v>1995</v>
      </c>
      <c r="F376" s="78">
        <v>1995</v>
      </c>
      <c r="G376" s="78" t="s">
        <v>52</v>
      </c>
      <c r="H376" s="78">
        <v>2</v>
      </c>
      <c r="I376" s="78">
        <v>2</v>
      </c>
      <c r="J376" s="44">
        <v>627.59</v>
      </c>
      <c r="K376" s="44">
        <v>584.20000000000005</v>
      </c>
      <c r="L376" s="44">
        <v>0</v>
      </c>
      <c r="M376" s="79">
        <v>37</v>
      </c>
      <c r="N376" s="72">
        <f>+P376+Q376+R376+S376+T376</f>
        <v>227216.73</v>
      </c>
      <c r="O376" s="44"/>
      <c r="P376" s="68"/>
      <c r="Q376" s="68"/>
      <c r="R376" s="44">
        <f>+'[12]Приложение № 4'!E376</f>
        <v>227216.73</v>
      </c>
      <c r="S376" s="68"/>
      <c r="T376" s="68"/>
      <c r="U376" s="68">
        <f t="shared" si="52"/>
        <v>388.93654570352618</v>
      </c>
      <c r="V376" s="68">
        <f t="shared" si="52"/>
        <v>388.93654570352618</v>
      </c>
      <c r="W376" s="80" t="s">
        <v>1101</v>
      </c>
      <c r="X376" s="76"/>
      <c r="Y376" s="77"/>
      <c r="Z376" s="77"/>
      <c r="AA376" s="77"/>
      <c r="AC376" s="27">
        <f>+N376-'[12]Приложение № 4'!E376</f>
        <v>0</v>
      </c>
    </row>
    <row r="377" spans="1:49" ht="15" x14ac:dyDescent="0.25">
      <c r="A377" s="76">
        <f t="shared" si="44"/>
        <v>365</v>
      </c>
      <c r="B377" s="77">
        <f t="shared" si="44"/>
        <v>365</v>
      </c>
      <c r="C377" s="77" t="s">
        <v>1124</v>
      </c>
      <c r="D377" s="77" t="s">
        <v>963</v>
      </c>
      <c r="E377" s="78" t="s">
        <v>1125</v>
      </c>
      <c r="F377" s="78"/>
      <c r="G377" s="78" t="s">
        <v>570</v>
      </c>
      <c r="H377" s="78" t="s">
        <v>582</v>
      </c>
      <c r="I377" s="78" t="s">
        <v>572</v>
      </c>
      <c r="J377" s="44">
        <v>1668.6</v>
      </c>
      <c r="K377" s="44">
        <v>1418</v>
      </c>
      <c r="L377" s="44">
        <v>0</v>
      </c>
      <c r="M377" s="79">
        <v>57</v>
      </c>
      <c r="N377" s="72">
        <f t="shared" ref="N377:N398" si="53">+P377+Q377+R377+S377+T377</f>
        <v>188310.15</v>
      </c>
      <c r="O377" s="44">
        <v>0</v>
      </c>
      <c r="P377" s="44"/>
      <c r="Q377" s="44"/>
      <c r="R377" s="44">
        <f>+'[12]Приложение № 4'!E377</f>
        <v>188310.15</v>
      </c>
      <c r="S377" s="44"/>
      <c r="T377" s="44"/>
      <c r="U377" s="44">
        <v>848.32</v>
      </c>
      <c r="V377" s="44">
        <v>848.32</v>
      </c>
      <c r="W377" s="80" t="s">
        <v>1101</v>
      </c>
      <c r="X377" s="96" t="e">
        <f>+N377-#REF!</f>
        <v>#REF!</v>
      </c>
      <c r="Z377" s="94">
        <f>+(K377*9.1+L377*18.19)*12</f>
        <v>154845.59999999998</v>
      </c>
      <c r="AB377" s="96" t="e">
        <f>+N377-#REF!</f>
        <v>#REF!</v>
      </c>
      <c r="AC377" s="27">
        <f>+N377-'[12]Приложение № 4'!E377</f>
        <v>0</v>
      </c>
      <c r="AE377" s="98" t="e">
        <f>+N377-#REF!</f>
        <v>#REF!</v>
      </c>
      <c r="AG377" s="101" t="s">
        <v>963</v>
      </c>
      <c r="AH377" s="102">
        <f t="shared" si="51"/>
        <v>205289.46816000002</v>
      </c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>
        <v>181289.46816000002</v>
      </c>
      <c r="AV377" s="102">
        <v>24000</v>
      </c>
      <c r="AW377" s="102"/>
    </row>
    <row r="378" spans="1:49" ht="15" x14ac:dyDescent="0.25">
      <c r="A378" s="76">
        <f t="shared" si="44"/>
        <v>366</v>
      </c>
      <c r="B378" s="77">
        <f t="shared" si="44"/>
        <v>366</v>
      </c>
      <c r="C378" s="77" t="s">
        <v>629</v>
      </c>
      <c r="D378" s="77" t="s">
        <v>964</v>
      </c>
      <c r="E378" s="78" t="s">
        <v>627</v>
      </c>
      <c r="F378" s="78"/>
      <c r="G378" s="78" t="s">
        <v>570</v>
      </c>
      <c r="H378" s="78" t="s">
        <v>582</v>
      </c>
      <c r="I378" s="78" t="s">
        <v>579</v>
      </c>
      <c r="J378" s="44">
        <v>4945.3999999999996</v>
      </c>
      <c r="K378" s="44">
        <v>4255</v>
      </c>
      <c r="L378" s="44">
        <v>71.400000000000006</v>
      </c>
      <c r="M378" s="79">
        <v>160</v>
      </c>
      <c r="N378" s="72">
        <f t="shared" si="53"/>
        <v>1150935.7799999998</v>
      </c>
      <c r="O378" s="44">
        <v>0</v>
      </c>
      <c r="P378" s="44"/>
      <c r="Q378" s="44"/>
      <c r="R378" s="44">
        <f>+'[12]Приложение № 4'!E378</f>
        <v>1150935.7799999998</v>
      </c>
      <c r="S378" s="44"/>
      <c r="T378" s="44"/>
      <c r="U378" s="44">
        <v>3214.77</v>
      </c>
      <c r="V378" s="44">
        <v>3214.77</v>
      </c>
      <c r="W378" s="80" t="s">
        <v>1101</v>
      </c>
      <c r="X378" s="96" t="e">
        <f>+N378-#REF!</f>
        <v>#REF!</v>
      </c>
      <c r="Y378" s="94">
        <v>1779743.03</v>
      </c>
      <c r="Z378" s="94">
        <f t="shared" ref="Z378:Z395" si="54">+(K378*9.1+L378*18.19)*12</f>
        <v>480231.19200000004</v>
      </c>
      <c r="AB378" s="96" t="e">
        <f>+N378-#REF!</f>
        <v>#REF!</v>
      </c>
      <c r="AC378" s="27">
        <f>+N378-'[12]Приложение № 4'!E378</f>
        <v>0</v>
      </c>
      <c r="AE378" s="98" t="e">
        <f>+N378-#REF!</f>
        <v>#REF!</v>
      </c>
      <c r="AG378" s="101" t="s">
        <v>964</v>
      </c>
      <c r="AH378" s="102">
        <f t="shared" si="51"/>
        <v>1157056.4939724717</v>
      </c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>
        <v>1110901.9348716717</v>
      </c>
      <c r="AV378" s="102">
        <v>46154.559100799997</v>
      </c>
      <c r="AW378" s="102"/>
    </row>
    <row r="379" spans="1:49" ht="15" x14ac:dyDescent="0.25">
      <c r="A379" s="76">
        <f t="shared" si="44"/>
        <v>367</v>
      </c>
      <c r="B379" s="77">
        <f t="shared" si="44"/>
        <v>367</v>
      </c>
      <c r="C379" s="77" t="s">
        <v>629</v>
      </c>
      <c r="D379" s="77" t="s">
        <v>965</v>
      </c>
      <c r="E379" s="78" t="s">
        <v>620</v>
      </c>
      <c r="F379" s="78"/>
      <c r="G379" s="78" t="s">
        <v>570</v>
      </c>
      <c r="H379" s="78" t="s">
        <v>582</v>
      </c>
      <c r="I379" s="78" t="s">
        <v>579</v>
      </c>
      <c r="J379" s="44">
        <v>3981.21</v>
      </c>
      <c r="K379" s="44">
        <v>3111.1</v>
      </c>
      <c r="L379" s="44">
        <v>88.61</v>
      </c>
      <c r="M379" s="79">
        <v>114</v>
      </c>
      <c r="N379" s="72">
        <f t="shared" si="53"/>
        <v>338593.19</v>
      </c>
      <c r="O379" s="44">
        <v>0</v>
      </c>
      <c r="P379" s="44"/>
      <c r="Q379" s="44"/>
      <c r="R379" s="44">
        <f>+'[12]Приложение № 4'!E379</f>
        <v>338593.19</v>
      </c>
      <c r="S379" s="44"/>
      <c r="T379" s="44"/>
      <c r="U379" s="44">
        <v>1398.14</v>
      </c>
      <c r="V379" s="44">
        <v>1398.14</v>
      </c>
      <c r="W379" s="80" t="s">
        <v>1101</v>
      </c>
      <c r="X379" s="96" t="e">
        <f>+N379-#REF!</f>
        <v>#REF!</v>
      </c>
      <c r="Y379" s="94">
        <v>1385044.33</v>
      </c>
      <c r="Z379" s="94">
        <f t="shared" si="54"/>
        <v>359073.91080000001</v>
      </c>
      <c r="AB379" s="96" t="e">
        <f>+N379-#REF!</f>
        <v>#REF!</v>
      </c>
      <c r="AC379" s="27">
        <f>+N379-'[12]Приложение № 4'!E379</f>
        <v>0</v>
      </c>
      <c r="AE379" s="98" t="e">
        <f>+N379-#REF!</f>
        <v>#REF!</v>
      </c>
      <c r="AG379" s="101" t="s">
        <v>965</v>
      </c>
      <c r="AH379" s="102">
        <f t="shared" si="51"/>
        <v>340301.8342988909</v>
      </c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>
        <v>316301.8342988909</v>
      </c>
      <c r="AV379" s="102">
        <v>24000</v>
      </c>
      <c r="AW379" s="102"/>
    </row>
    <row r="380" spans="1:49" ht="15" x14ac:dyDescent="0.25">
      <c r="A380" s="76">
        <f t="shared" si="44"/>
        <v>368</v>
      </c>
      <c r="B380" s="77">
        <f t="shared" si="44"/>
        <v>368</v>
      </c>
      <c r="C380" s="77" t="s">
        <v>1126</v>
      </c>
      <c r="D380" s="77" t="s">
        <v>966</v>
      </c>
      <c r="E380" s="78" t="s">
        <v>587</v>
      </c>
      <c r="F380" s="78"/>
      <c r="G380" s="78" t="s">
        <v>570</v>
      </c>
      <c r="H380" s="78" t="s">
        <v>572</v>
      </c>
      <c r="I380" s="78" t="s">
        <v>572</v>
      </c>
      <c r="J380" s="44">
        <v>934.9</v>
      </c>
      <c r="K380" s="44">
        <v>858.8</v>
      </c>
      <c r="L380" s="44">
        <v>0</v>
      </c>
      <c r="M380" s="79">
        <v>33</v>
      </c>
      <c r="N380" s="72">
        <f t="shared" si="53"/>
        <v>133997.25</v>
      </c>
      <c r="O380" s="44">
        <v>0</v>
      </c>
      <c r="P380" s="44"/>
      <c r="Q380" s="44"/>
      <c r="R380" s="44">
        <f>+'[12]Приложение № 4'!E380</f>
        <v>133997.25</v>
      </c>
      <c r="S380" s="44"/>
      <c r="T380" s="44"/>
      <c r="U380" s="44">
        <v>2605.1999999999998</v>
      </c>
      <c r="V380" s="44">
        <v>2605.1999999999998</v>
      </c>
      <c r="W380" s="80" t="s">
        <v>1101</v>
      </c>
      <c r="X380" s="96" t="e">
        <f>+N380-#REF!</f>
        <v>#REF!</v>
      </c>
      <c r="Y380" s="94">
        <v>317334.14</v>
      </c>
      <c r="Z380" s="94">
        <f t="shared" si="54"/>
        <v>93780.959999999992</v>
      </c>
      <c r="AB380" s="96" t="e">
        <f>+N380-#REF!</f>
        <v>#REF!</v>
      </c>
      <c r="AC380" s="27">
        <f>+N380-'[12]Приложение № 4'!E380</f>
        <v>0</v>
      </c>
      <c r="AE380" s="98" t="e">
        <f>+N380-#REF!</f>
        <v>#REF!</v>
      </c>
      <c r="AG380" s="101" t="s">
        <v>966</v>
      </c>
      <c r="AH380" s="102">
        <f t="shared" si="51"/>
        <v>134594.66972922243</v>
      </c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>
        <v>93149.321719622414</v>
      </c>
      <c r="AV380" s="102">
        <v>41445.348009599998</v>
      </c>
      <c r="AW380" s="102"/>
    </row>
    <row r="381" spans="1:49" ht="15" x14ac:dyDescent="0.25">
      <c r="A381" s="76">
        <f t="shared" si="44"/>
        <v>369</v>
      </c>
      <c r="B381" s="77">
        <f t="shared" si="44"/>
        <v>369</v>
      </c>
      <c r="C381" s="77" t="s">
        <v>1126</v>
      </c>
      <c r="D381" s="77" t="s">
        <v>967</v>
      </c>
      <c r="E381" s="78" t="s">
        <v>587</v>
      </c>
      <c r="F381" s="78"/>
      <c r="G381" s="78" t="s">
        <v>570</v>
      </c>
      <c r="H381" s="78" t="s">
        <v>572</v>
      </c>
      <c r="I381" s="78" t="s">
        <v>572</v>
      </c>
      <c r="J381" s="44">
        <v>938.1</v>
      </c>
      <c r="K381" s="44">
        <v>856.9</v>
      </c>
      <c r="L381" s="44">
        <v>0</v>
      </c>
      <c r="M381" s="79">
        <v>28</v>
      </c>
      <c r="N381" s="72">
        <f t="shared" si="53"/>
        <v>134321.91999999998</v>
      </c>
      <c r="O381" s="44">
        <v>0</v>
      </c>
      <c r="P381" s="44"/>
      <c r="Q381" s="44"/>
      <c r="R381" s="44">
        <f>+'[12]Приложение № 4'!E381</f>
        <v>134321.91999999998</v>
      </c>
      <c r="S381" s="44"/>
      <c r="T381" s="44"/>
      <c r="U381" s="44">
        <v>2605.1999999999998</v>
      </c>
      <c r="V381" s="44">
        <v>2605.1999999999998</v>
      </c>
      <c r="W381" s="80" t="s">
        <v>1101</v>
      </c>
      <c r="X381" s="96" t="e">
        <f>+N381-#REF!</f>
        <v>#REF!</v>
      </c>
      <c r="Y381" s="94">
        <v>361758.34</v>
      </c>
      <c r="Z381" s="94">
        <f t="shared" si="54"/>
        <v>93573.479999999981</v>
      </c>
      <c r="AB381" s="96" t="e">
        <f>+N381-#REF!</f>
        <v>#REF!</v>
      </c>
      <c r="AC381" s="27">
        <f>+N381-'[12]Приложение № 4'!E381</f>
        <v>0</v>
      </c>
      <c r="AE381" s="98" t="e">
        <f>+N381-#REF!</f>
        <v>#REF!</v>
      </c>
      <c r="AG381" s="101" t="s">
        <v>967</v>
      </c>
      <c r="AH381" s="102">
        <f t="shared" si="51"/>
        <v>134921.10505392769</v>
      </c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>
        <v>93465.957671527678</v>
      </c>
      <c r="AV381" s="102">
        <v>41455.147382399999</v>
      </c>
      <c r="AW381" s="102"/>
    </row>
    <row r="382" spans="1:49" ht="15" x14ac:dyDescent="0.25">
      <c r="A382" s="76">
        <f t="shared" si="44"/>
        <v>370</v>
      </c>
      <c r="B382" s="77">
        <f t="shared" si="44"/>
        <v>370</v>
      </c>
      <c r="C382" s="77" t="s">
        <v>1127</v>
      </c>
      <c r="D382" s="77" t="s">
        <v>968</v>
      </c>
      <c r="E382" s="78" t="s">
        <v>627</v>
      </c>
      <c r="F382" s="78"/>
      <c r="G382" s="78" t="s">
        <v>570</v>
      </c>
      <c r="H382" s="78" t="s">
        <v>579</v>
      </c>
      <c r="I382" s="78" t="s">
        <v>572</v>
      </c>
      <c r="J382" s="44">
        <v>1978.4</v>
      </c>
      <c r="K382" s="44">
        <v>1112</v>
      </c>
      <c r="L382" s="44">
        <v>686.4</v>
      </c>
      <c r="M382" s="79">
        <v>70</v>
      </c>
      <c r="N382" s="72">
        <f t="shared" si="53"/>
        <v>499228.68</v>
      </c>
      <c r="O382" s="44">
        <v>0</v>
      </c>
      <c r="P382" s="44"/>
      <c r="Q382" s="44"/>
      <c r="R382" s="44">
        <f>+'[12]Приложение № 4'!E382</f>
        <v>499228.68</v>
      </c>
      <c r="S382" s="44"/>
      <c r="T382" s="44"/>
      <c r="U382" s="44">
        <v>2932.16</v>
      </c>
      <c r="V382" s="44">
        <v>2932.16</v>
      </c>
      <c r="W382" s="80" t="s">
        <v>1101</v>
      </c>
      <c r="X382" s="96" t="e">
        <f>+N382-#REF!</f>
        <v>#REF!</v>
      </c>
      <c r="Y382" s="94">
        <v>424932.84</v>
      </c>
      <c r="Z382" s="94">
        <f t="shared" si="54"/>
        <v>271257.79200000002</v>
      </c>
      <c r="AB382" s="96" t="e">
        <f>+N382-#REF!</f>
        <v>#REF!</v>
      </c>
      <c r="AC382" s="27">
        <f>+N382-'[12]Приложение № 4'!E382</f>
        <v>0</v>
      </c>
      <c r="AE382" s="98" t="e">
        <f>+N382-#REF!</f>
        <v>#REF!</v>
      </c>
      <c r="AG382" s="101" t="s">
        <v>968</v>
      </c>
      <c r="AH382" s="102">
        <f t="shared" si="51"/>
        <v>515885.83070207998</v>
      </c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>
        <v>491885.83070207998</v>
      </c>
      <c r="AV382" s="102">
        <v>24000</v>
      </c>
      <c r="AW382" s="102"/>
    </row>
    <row r="383" spans="1:49" ht="15" x14ac:dyDescent="0.25">
      <c r="A383" s="76">
        <f t="shared" si="44"/>
        <v>371</v>
      </c>
      <c r="B383" s="77">
        <f t="shared" si="44"/>
        <v>371</v>
      </c>
      <c r="C383" s="77" t="s">
        <v>1128</v>
      </c>
      <c r="D383" s="77" t="s">
        <v>969</v>
      </c>
      <c r="E383" s="78" t="s">
        <v>584</v>
      </c>
      <c r="F383" s="78"/>
      <c r="G383" s="78" t="s">
        <v>570</v>
      </c>
      <c r="H383" s="78" t="s">
        <v>582</v>
      </c>
      <c r="I383" s="78" t="s">
        <v>575</v>
      </c>
      <c r="J383" s="44">
        <v>3608.2</v>
      </c>
      <c r="K383" s="44">
        <v>1851.1</v>
      </c>
      <c r="L383" s="44">
        <v>996.9</v>
      </c>
      <c r="M383" s="79">
        <v>123</v>
      </c>
      <c r="N383" s="72">
        <f t="shared" si="53"/>
        <v>559606.71</v>
      </c>
      <c r="O383" s="44">
        <v>0</v>
      </c>
      <c r="P383" s="44"/>
      <c r="Q383" s="44"/>
      <c r="R383" s="44">
        <f>+'[12]Приложение № 4'!E383</f>
        <v>559606.71</v>
      </c>
      <c r="S383" s="44"/>
      <c r="T383" s="44"/>
      <c r="U383" s="44">
        <v>1826.78</v>
      </c>
      <c r="V383" s="44">
        <v>1826.78</v>
      </c>
      <c r="W383" s="80" t="s">
        <v>1101</v>
      </c>
      <c r="X383" s="96" t="e">
        <f>+N383-#REF!</f>
        <v>#REF!</v>
      </c>
      <c r="Y383" s="94">
        <v>1576107.2</v>
      </c>
      <c r="Z383" s="94">
        <f t="shared" si="54"/>
        <v>419743.45199999999</v>
      </c>
      <c r="AB383" s="96" t="e">
        <f>+N383-#REF!</f>
        <v>#REF!</v>
      </c>
      <c r="AC383" s="27">
        <f>+N383-'[12]Приложение № 4'!E383</f>
        <v>0</v>
      </c>
      <c r="AE383" s="98" t="e">
        <f>+N383-#REF!</f>
        <v>#REF!</v>
      </c>
      <c r="AG383" s="101" t="s">
        <v>969</v>
      </c>
      <c r="AH383" s="102">
        <f t="shared" si="51"/>
        <v>562515.75342106808</v>
      </c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>
        <v>517766.2253300281</v>
      </c>
      <c r="AV383" s="102">
        <v>44749.528091040003</v>
      </c>
      <c r="AW383" s="102"/>
    </row>
    <row r="384" spans="1:49" ht="15" x14ac:dyDescent="0.25">
      <c r="A384" s="76">
        <f t="shared" si="44"/>
        <v>372</v>
      </c>
      <c r="B384" s="77">
        <f t="shared" si="44"/>
        <v>372</v>
      </c>
      <c r="C384" s="77" t="s">
        <v>1128</v>
      </c>
      <c r="D384" s="77" t="s">
        <v>970</v>
      </c>
      <c r="E384" s="78" t="s">
        <v>593</v>
      </c>
      <c r="F384" s="78"/>
      <c r="G384" s="78" t="s">
        <v>570</v>
      </c>
      <c r="H384" s="78" t="s">
        <v>582</v>
      </c>
      <c r="I384" s="78" t="s">
        <v>579</v>
      </c>
      <c r="J384" s="44">
        <v>3449.3</v>
      </c>
      <c r="K384" s="44">
        <v>2945.9</v>
      </c>
      <c r="L384" s="44">
        <v>171.7</v>
      </c>
      <c r="M384" s="79">
        <v>147</v>
      </c>
      <c r="N384" s="72">
        <f t="shared" si="53"/>
        <v>233973.65</v>
      </c>
      <c r="O384" s="44">
        <v>0</v>
      </c>
      <c r="P384" s="44"/>
      <c r="Q384" s="44"/>
      <c r="R384" s="44">
        <f>+'[12]Приложение № 4'!E384</f>
        <v>233973.65</v>
      </c>
      <c r="S384" s="44"/>
      <c r="T384" s="44"/>
      <c r="U384" s="44">
        <v>848.32</v>
      </c>
      <c r="V384" s="44">
        <v>848.32</v>
      </c>
      <c r="W384" s="80" t="s">
        <v>1101</v>
      </c>
      <c r="X384" s="96" t="e">
        <f>+N384-#REF!</f>
        <v>#REF!</v>
      </c>
      <c r="Y384" s="94">
        <v>919972.75</v>
      </c>
      <c r="Z384" s="94">
        <f t="shared" si="54"/>
        <v>359170.95600000001</v>
      </c>
      <c r="AB384" s="96" t="e">
        <f>+N384-#REF!</f>
        <v>#REF!</v>
      </c>
      <c r="AC384" s="27">
        <f>+N384-'[12]Приложение № 4'!E384</f>
        <v>0</v>
      </c>
      <c r="AE384" s="98" t="e">
        <f>+N384-#REF!</f>
        <v>#REF!</v>
      </c>
      <c r="AG384" s="101" t="s">
        <v>970</v>
      </c>
      <c r="AH384" s="102">
        <f t="shared" si="51"/>
        <v>235114.08057599998</v>
      </c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>
        <v>211114.08057599998</v>
      </c>
      <c r="AV384" s="102">
        <v>24000</v>
      </c>
      <c r="AW384" s="102"/>
    </row>
    <row r="385" spans="1:49" ht="15" x14ac:dyDescent="0.25">
      <c r="A385" s="76">
        <f t="shared" si="44"/>
        <v>373</v>
      </c>
      <c r="B385" s="77">
        <f t="shared" si="44"/>
        <v>373</v>
      </c>
      <c r="C385" s="77" t="s">
        <v>1128</v>
      </c>
      <c r="D385" s="77" t="s">
        <v>971</v>
      </c>
      <c r="E385" s="78" t="s">
        <v>592</v>
      </c>
      <c r="F385" s="78"/>
      <c r="G385" s="78" t="s">
        <v>570</v>
      </c>
      <c r="H385" s="78" t="s">
        <v>582</v>
      </c>
      <c r="I385" s="78" t="s">
        <v>579</v>
      </c>
      <c r="J385" s="44">
        <v>3258</v>
      </c>
      <c r="K385" s="44">
        <v>3019.8</v>
      </c>
      <c r="L385" s="44">
        <v>0</v>
      </c>
      <c r="M385" s="79">
        <v>132</v>
      </c>
      <c r="N385" s="72">
        <f t="shared" si="53"/>
        <v>233740.11000000002</v>
      </c>
      <c r="O385" s="44">
        <v>0</v>
      </c>
      <c r="P385" s="44"/>
      <c r="Q385" s="44"/>
      <c r="R385" s="44">
        <f>+'[12]Приложение № 4'!E385</f>
        <v>233740.11000000002</v>
      </c>
      <c r="S385" s="44"/>
      <c r="T385" s="44"/>
      <c r="U385" s="44">
        <v>848.32</v>
      </c>
      <c r="V385" s="44">
        <v>848.32</v>
      </c>
      <c r="W385" s="80" t="s">
        <v>1101</v>
      </c>
      <c r="X385" s="96" t="e">
        <f>+N385-#REF!</f>
        <v>#REF!</v>
      </c>
      <c r="Y385" s="94">
        <v>815711.41</v>
      </c>
      <c r="Z385" s="94">
        <f t="shared" si="54"/>
        <v>329762.16000000003</v>
      </c>
      <c r="AB385" s="96" t="e">
        <f>+N385-#REF!</f>
        <v>#REF!</v>
      </c>
      <c r="AC385" s="27">
        <f>+N385-'[12]Приложение № 4'!E385</f>
        <v>0</v>
      </c>
      <c r="AE385" s="98" t="e">
        <f>+N385-#REF!</f>
        <v>#REF!</v>
      </c>
      <c r="AG385" s="101" t="s">
        <v>971</v>
      </c>
      <c r="AH385" s="102">
        <f t="shared" si="51"/>
        <v>234879.26611199998</v>
      </c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>
        <v>210879.26611199998</v>
      </c>
      <c r="AV385" s="102">
        <v>24000</v>
      </c>
      <c r="AW385" s="102"/>
    </row>
    <row r="386" spans="1:49" ht="15" x14ac:dyDescent="0.25">
      <c r="A386" s="76">
        <f t="shared" si="44"/>
        <v>374</v>
      </c>
      <c r="B386" s="77">
        <f t="shared" si="44"/>
        <v>374</v>
      </c>
      <c r="C386" s="77" t="s">
        <v>1128</v>
      </c>
      <c r="D386" s="77" t="s">
        <v>972</v>
      </c>
      <c r="E386" s="78" t="s">
        <v>1106</v>
      </c>
      <c r="F386" s="78"/>
      <c r="G386" s="78" t="s">
        <v>570</v>
      </c>
      <c r="H386" s="78" t="s">
        <v>579</v>
      </c>
      <c r="I386" s="78" t="s">
        <v>579</v>
      </c>
      <c r="J386" s="44">
        <v>2719.1</v>
      </c>
      <c r="K386" s="44">
        <v>2367.3000000000002</v>
      </c>
      <c r="L386" s="44">
        <v>192</v>
      </c>
      <c r="M386" s="79">
        <v>120</v>
      </c>
      <c r="N386" s="72">
        <f t="shared" si="53"/>
        <v>181002.58000000002</v>
      </c>
      <c r="O386" s="44">
        <v>0</v>
      </c>
      <c r="P386" s="44"/>
      <c r="Q386" s="44"/>
      <c r="R386" s="44">
        <f>+'[12]Приложение № 4'!E386</f>
        <v>181002.58000000002</v>
      </c>
      <c r="S386" s="44"/>
      <c r="T386" s="44"/>
      <c r="U386" s="44">
        <v>848.32</v>
      </c>
      <c r="V386" s="44">
        <v>848.32</v>
      </c>
      <c r="W386" s="80" t="s">
        <v>1101</v>
      </c>
      <c r="X386" s="96" t="e">
        <f>+N386-#REF!</f>
        <v>#REF!</v>
      </c>
      <c r="Y386" s="94">
        <v>666617.75</v>
      </c>
      <c r="Z386" s="94">
        <f t="shared" si="54"/>
        <v>300418.92</v>
      </c>
      <c r="AB386" s="96" t="e">
        <f>+N386-#REF!</f>
        <v>#REF!</v>
      </c>
      <c r="AC386" s="27">
        <f>+N386-'[12]Приложение № 4'!E386</f>
        <v>0</v>
      </c>
      <c r="AE386" s="98" t="e">
        <f>+N386-#REF!</f>
        <v>#REF!</v>
      </c>
      <c r="AG386" s="101" t="s">
        <v>972</v>
      </c>
      <c r="AH386" s="102">
        <f t="shared" si="51"/>
        <v>181855.310784</v>
      </c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>
        <v>157855.310784</v>
      </c>
      <c r="AV386" s="102">
        <v>24000</v>
      </c>
      <c r="AW386" s="102"/>
    </row>
    <row r="387" spans="1:49" ht="15" x14ac:dyDescent="0.25">
      <c r="A387" s="76">
        <f t="shared" si="44"/>
        <v>375</v>
      </c>
      <c r="B387" s="77">
        <f t="shared" si="44"/>
        <v>375</v>
      </c>
      <c r="C387" s="77" t="s">
        <v>1128</v>
      </c>
      <c r="D387" s="77" t="s">
        <v>973</v>
      </c>
      <c r="E387" s="78" t="s">
        <v>1108</v>
      </c>
      <c r="F387" s="78"/>
      <c r="G387" s="78" t="s">
        <v>570</v>
      </c>
      <c r="H387" s="78" t="s">
        <v>579</v>
      </c>
      <c r="I387" s="78" t="s">
        <v>579</v>
      </c>
      <c r="J387" s="44">
        <v>2789.5</v>
      </c>
      <c r="K387" s="44">
        <v>2469.5</v>
      </c>
      <c r="L387" s="44">
        <v>73.5</v>
      </c>
      <c r="M387" s="79">
        <v>116</v>
      </c>
      <c r="N387" s="72">
        <f t="shared" si="53"/>
        <v>180630.75</v>
      </c>
      <c r="O387" s="44">
        <v>0</v>
      </c>
      <c r="P387" s="44"/>
      <c r="Q387" s="44"/>
      <c r="R387" s="44">
        <f>+'[12]Приложение № 4'!E387</f>
        <v>180630.75</v>
      </c>
      <c r="S387" s="44"/>
      <c r="T387" s="44"/>
      <c r="U387" s="44">
        <v>848.32</v>
      </c>
      <c r="V387" s="44">
        <v>848.32</v>
      </c>
      <c r="W387" s="80" t="s">
        <v>1101</v>
      </c>
      <c r="X387" s="96" t="e">
        <f>+N387-#REF!</f>
        <v>#REF!</v>
      </c>
      <c r="Y387" s="94">
        <v>771792.86</v>
      </c>
      <c r="Z387" s="94">
        <f t="shared" si="54"/>
        <v>285712.98</v>
      </c>
      <c r="AB387" s="96" t="e">
        <f>+N387-#REF!</f>
        <v>#REF!</v>
      </c>
      <c r="AC387" s="27">
        <f>+N387-'[12]Приложение № 4'!E387</f>
        <v>0</v>
      </c>
      <c r="AE387" s="98" t="e">
        <f>+N387-#REF!</f>
        <v>#REF!</v>
      </c>
      <c r="AG387" s="101" t="s">
        <v>973</v>
      </c>
      <c r="AH387" s="102">
        <f t="shared" si="51"/>
        <v>181481.46144000001</v>
      </c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>
        <v>157481.46144000001</v>
      </c>
      <c r="AV387" s="102">
        <v>24000</v>
      </c>
      <c r="AW387" s="102"/>
    </row>
    <row r="388" spans="1:49" ht="15" x14ac:dyDescent="0.25">
      <c r="A388" s="76">
        <f t="shared" si="44"/>
        <v>376</v>
      </c>
      <c r="B388" s="77">
        <f t="shared" si="44"/>
        <v>376</v>
      </c>
      <c r="C388" s="77" t="s">
        <v>629</v>
      </c>
      <c r="D388" s="77" t="s">
        <v>1069</v>
      </c>
      <c r="E388" s="78" t="s">
        <v>601</v>
      </c>
      <c r="F388" s="78"/>
      <c r="G388" s="78" t="s">
        <v>570</v>
      </c>
      <c r="H388" s="78" t="s">
        <v>582</v>
      </c>
      <c r="I388" s="78" t="s">
        <v>579</v>
      </c>
      <c r="J388" s="44">
        <v>4924.2</v>
      </c>
      <c r="K388" s="44">
        <v>4233.8</v>
      </c>
      <c r="L388" s="44">
        <v>71.2</v>
      </c>
      <c r="M388" s="79">
        <v>80</v>
      </c>
      <c r="N388" s="72">
        <f t="shared" si="53"/>
        <v>861634.79</v>
      </c>
      <c r="O388" s="44">
        <v>0</v>
      </c>
      <c r="P388" s="44"/>
      <c r="Q388" s="44"/>
      <c r="R388" s="44">
        <f>+'[12]Приложение № 4'!E388</f>
        <v>861634.79</v>
      </c>
      <c r="S388" s="44"/>
      <c r="T388" s="44"/>
      <c r="U388" s="44">
        <v>2022.29</v>
      </c>
      <c r="V388" s="44">
        <v>2022.29</v>
      </c>
      <c r="W388" s="80" t="s">
        <v>1101</v>
      </c>
      <c r="X388" s="96" t="e">
        <f>+N388-#REF!</f>
        <v>#REF!</v>
      </c>
      <c r="Y388" s="94">
        <v>1851250.39</v>
      </c>
      <c r="Z388" s="94">
        <f t="shared" si="54"/>
        <v>477872.49599999998</v>
      </c>
      <c r="AB388" s="96" t="e">
        <f>+N388-#REF!</f>
        <v>#REF!</v>
      </c>
      <c r="AC388" s="27">
        <f>+N388-'[12]Приложение № 4'!E388</f>
        <v>0</v>
      </c>
      <c r="AE388" s="98" t="e">
        <f>+N388-#REF!</f>
        <v>#REF!</v>
      </c>
      <c r="AG388" s="101" t="s">
        <v>1069</v>
      </c>
      <c r="AH388" s="102">
        <f t="shared" si="51"/>
        <v>880108.17723007197</v>
      </c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>
        <v>833986.07855167193</v>
      </c>
      <c r="AV388" s="102">
        <v>46122.098678399998</v>
      </c>
      <c r="AW388" s="102"/>
    </row>
    <row r="389" spans="1:49" ht="15" x14ac:dyDescent="0.25">
      <c r="A389" s="76">
        <f t="shared" si="44"/>
        <v>377</v>
      </c>
      <c r="B389" s="77">
        <f t="shared" si="44"/>
        <v>377</v>
      </c>
      <c r="C389" s="77" t="s">
        <v>629</v>
      </c>
      <c r="D389" s="77" t="s">
        <v>1070</v>
      </c>
      <c r="E389" s="78" t="s">
        <v>627</v>
      </c>
      <c r="F389" s="78"/>
      <c r="G389" s="78" t="s">
        <v>570</v>
      </c>
      <c r="H389" s="78" t="s">
        <v>579</v>
      </c>
      <c r="I389" s="78" t="s">
        <v>572</v>
      </c>
      <c r="J389" s="44">
        <v>1192.7</v>
      </c>
      <c r="K389" s="44">
        <v>962</v>
      </c>
      <c r="L389" s="44">
        <v>0</v>
      </c>
      <c r="M389" s="79">
        <v>41</v>
      </c>
      <c r="N389" s="72">
        <f t="shared" si="53"/>
        <v>177214.19</v>
      </c>
      <c r="O389" s="44">
        <v>0</v>
      </c>
      <c r="P389" s="44"/>
      <c r="Q389" s="44"/>
      <c r="R389" s="44">
        <f>+'[12]Приложение № 4'!E389</f>
        <v>177214.19</v>
      </c>
      <c r="S389" s="44"/>
      <c r="T389" s="44"/>
      <c r="U389" s="44">
        <v>927.79</v>
      </c>
      <c r="V389" s="44">
        <v>927.79</v>
      </c>
      <c r="W389" s="80" t="s">
        <v>1101</v>
      </c>
      <c r="X389" s="96" t="e">
        <f>+N389-#REF!</f>
        <v>#REF!</v>
      </c>
      <c r="Y389" s="94">
        <v>454660.03</v>
      </c>
      <c r="Z389" s="94">
        <f t="shared" si="54"/>
        <v>105050.4</v>
      </c>
      <c r="AB389" s="96" t="e">
        <f>+N389-#REF!</f>
        <v>#REF!</v>
      </c>
      <c r="AC389" s="27">
        <f>+N389-'[12]Приложение № 4'!E389</f>
        <v>0</v>
      </c>
      <c r="AE389" s="98" t="e">
        <f>+N389-#REF!</f>
        <v>#REF!</v>
      </c>
      <c r="AG389" s="101" t="s">
        <v>1070</v>
      </c>
      <c r="AH389" s="102">
        <f t="shared" si="51"/>
        <v>194103.02713208791</v>
      </c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>
        <v>153388.80420248793</v>
      </c>
      <c r="AV389" s="102">
        <v>40714.2229296</v>
      </c>
      <c r="AW389" s="102"/>
    </row>
    <row r="390" spans="1:49" ht="15" x14ac:dyDescent="0.25">
      <c r="A390" s="76">
        <f t="shared" si="44"/>
        <v>378</v>
      </c>
      <c r="B390" s="77">
        <f t="shared" si="44"/>
        <v>378</v>
      </c>
      <c r="C390" s="77" t="s">
        <v>630</v>
      </c>
      <c r="D390" s="77" t="s">
        <v>1071</v>
      </c>
      <c r="E390" s="78" t="s">
        <v>1132</v>
      </c>
      <c r="F390" s="78"/>
      <c r="G390" s="78" t="s">
        <v>570</v>
      </c>
      <c r="H390" s="78" t="s">
        <v>572</v>
      </c>
      <c r="I390" s="78" t="s">
        <v>572</v>
      </c>
      <c r="J390" s="44">
        <v>929.3</v>
      </c>
      <c r="K390" s="44">
        <v>848.3</v>
      </c>
      <c r="L390" s="44">
        <v>81</v>
      </c>
      <c r="M390" s="79">
        <v>22</v>
      </c>
      <c r="N390" s="72">
        <f t="shared" si="53"/>
        <v>128755.15</v>
      </c>
      <c r="O390" s="44">
        <v>0</v>
      </c>
      <c r="P390" s="44"/>
      <c r="Q390" s="44"/>
      <c r="R390" s="44">
        <f>+'[12]Приложение № 4'!E390</f>
        <v>128755.15</v>
      </c>
      <c r="S390" s="44"/>
      <c r="T390" s="44"/>
      <c r="U390" s="44">
        <f>N390/K390</f>
        <v>151.78020747377107</v>
      </c>
      <c r="V390" s="44">
        <v>1172.2830200640003</v>
      </c>
      <c r="W390" s="80" t="s">
        <v>1101</v>
      </c>
      <c r="X390" s="96" t="e">
        <f>+N390-#REF!</f>
        <v>#REF!</v>
      </c>
      <c r="Y390" s="94">
        <v>191367.33</v>
      </c>
      <c r="Z390" s="94">
        <f t="shared" si="54"/>
        <v>110315.03999999998</v>
      </c>
      <c r="AB390" s="96" t="e">
        <f>+N390-#REF!</f>
        <v>#REF!</v>
      </c>
      <c r="AC390" s="27">
        <f>+N390-'[12]Приложение № 4'!E390</f>
        <v>0</v>
      </c>
      <c r="AE390" s="98" t="e">
        <f>+N390-#REF!</f>
        <v>#REF!</v>
      </c>
      <c r="AG390" s="101" t="s">
        <v>1071</v>
      </c>
      <c r="AH390" s="102">
        <f t="shared" si="51"/>
        <v>145389.44910462722</v>
      </c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>
        <v>121389.44910462722</v>
      </c>
      <c r="AV390" s="102">
        <v>24000</v>
      </c>
      <c r="AW390" s="102"/>
    </row>
    <row r="391" spans="1:49" ht="15" x14ac:dyDescent="0.25">
      <c r="A391" s="76">
        <f t="shared" si="44"/>
        <v>379</v>
      </c>
      <c r="B391" s="77">
        <f t="shared" si="44"/>
        <v>379</v>
      </c>
      <c r="C391" s="77" t="s">
        <v>1128</v>
      </c>
      <c r="D391" s="77" t="s">
        <v>1072</v>
      </c>
      <c r="E391" s="78" t="s">
        <v>584</v>
      </c>
      <c r="F391" s="78"/>
      <c r="G391" s="78" t="s">
        <v>570</v>
      </c>
      <c r="H391" s="78" t="s">
        <v>582</v>
      </c>
      <c r="I391" s="78" t="s">
        <v>572</v>
      </c>
      <c r="J391" s="44">
        <v>1745.5</v>
      </c>
      <c r="K391" s="44">
        <v>1575.9</v>
      </c>
      <c r="L391" s="44">
        <v>0</v>
      </c>
      <c r="M391" s="79">
        <v>61</v>
      </c>
      <c r="N391" s="72">
        <f t="shared" si="53"/>
        <v>791799.27999999991</v>
      </c>
      <c r="O391" s="44">
        <v>0</v>
      </c>
      <c r="P391" s="44"/>
      <c r="Q391" s="44"/>
      <c r="R391" s="44">
        <f>+'[12]Приложение № 4'!E391</f>
        <v>791799.27999999991</v>
      </c>
      <c r="S391" s="44"/>
      <c r="T391" s="44"/>
      <c r="U391" s="44">
        <v>3224.92</v>
      </c>
      <c r="V391" s="44">
        <v>3224.92</v>
      </c>
      <c r="W391" s="80" t="s">
        <v>1101</v>
      </c>
      <c r="X391" s="96" t="e">
        <f>+N391-#REF!</f>
        <v>#REF!</v>
      </c>
      <c r="Y391" s="94">
        <v>515625.18</v>
      </c>
      <c r="Z391" s="94">
        <f t="shared" si="54"/>
        <v>172088.28</v>
      </c>
      <c r="AB391" s="96" t="e">
        <f>+N391-#REF!</f>
        <v>#REF!</v>
      </c>
      <c r="AC391" s="27">
        <f>+N391-'[12]Приложение № 4'!E391</f>
        <v>0</v>
      </c>
      <c r="AE391" s="98" t="e">
        <f>+N391-#REF!</f>
        <v>#REF!</v>
      </c>
      <c r="AG391" s="101" t="s">
        <v>1072</v>
      </c>
      <c r="AH391" s="102">
        <f t="shared" si="51"/>
        <v>809905.83697730012</v>
      </c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>
        <v>768650.81116130017</v>
      </c>
      <c r="AV391" s="102">
        <v>41255.025816000001</v>
      </c>
      <c r="AW391" s="102"/>
    </row>
    <row r="392" spans="1:49" ht="15" x14ac:dyDescent="0.25">
      <c r="A392" s="76">
        <f t="shared" si="44"/>
        <v>380</v>
      </c>
      <c r="B392" s="77">
        <f t="shared" si="44"/>
        <v>380</v>
      </c>
      <c r="C392" s="77" t="s">
        <v>1128</v>
      </c>
      <c r="D392" s="77" t="s">
        <v>1073</v>
      </c>
      <c r="E392" s="78" t="s">
        <v>740</v>
      </c>
      <c r="F392" s="78"/>
      <c r="G392" s="78" t="s">
        <v>570</v>
      </c>
      <c r="H392" s="78" t="s">
        <v>579</v>
      </c>
      <c r="I392" s="78" t="s">
        <v>579</v>
      </c>
      <c r="J392" s="44">
        <v>2699.1</v>
      </c>
      <c r="K392" s="44">
        <v>2437.5</v>
      </c>
      <c r="L392" s="44">
        <v>0</v>
      </c>
      <c r="M392" s="79">
        <v>121</v>
      </c>
      <c r="N392" s="72">
        <f t="shared" si="53"/>
        <v>490805.02999999997</v>
      </c>
      <c r="O392" s="44">
        <v>0</v>
      </c>
      <c r="P392" s="44"/>
      <c r="Q392" s="44"/>
      <c r="R392" s="44">
        <f>+'[12]Приложение № 4'!E392</f>
        <v>490805.02999999997</v>
      </c>
      <c r="S392" s="44"/>
      <c r="T392" s="44"/>
      <c r="U392" s="44">
        <v>1826.78</v>
      </c>
      <c r="V392" s="44">
        <v>1826.78</v>
      </c>
      <c r="W392" s="80" t="s">
        <v>1101</v>
      </c>
      <c r="X392" s="96" t="e">
        <f>+N392-#REF!</f>
        <v>#REF!</v>
      </c>
      <c r="Y392" s="94">
        <v>796122.56</v>
      </c>
      <c r="Z392" s="94">
        <f t="shared" si="54"/>
        <v>266175</v>
      </c>
      <c r="AB392" s="96" t="e">
        <f>+N392-#REF!</f>
        <v>#REF!</v>
      </c>
      <c r="AC392" s="27">
        <f>+N392-'[12]Приложение № 4'!E392</f>
        <v>0</v>
      </c>
      <c r="AE392" s="98" t="e">
        <f>+N392-#REF!</f>
        <v>#REF!</v>
      </c>
      <c r="AG392" s="101" t="s">
        <v>1073</v>
      </c>
      <c r="AH392" s="102">
        <f t="shared" si="51"/>
        <v>507330.5609837948</v>
      </c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>
        <v>463926.63989339478</v>
      </c>
      <c r="AV392" s="102">
        <v>43403.921090399999</v>
      </c>
      <c r="AW392" s="102"/>
    </row>
    <row r="393" spans="1:49" ht="15" x14ac:dyDescent="0.25">
      <c r="A393" s="76">
        <f t="shared" si="44"/>
        <v>381</v>
      </c>
      <c r="B393" s="77">
        <f t="shared" si="44"/>
        <v>381</v>
      </c>
      <c r="C393" s="77" t="s">
        <v>1128</v>
      </c>
      <c r="D393" s="77" t="s">
        <v>1074</v>
      </c>
      <c r="E393" s="78" t="s">
        <v>584</v>
      </c>
      <c r="F393" s="78"/>
      <c r="G393" s="78" t="s">
        <v>573</v>
      </c>
      <c r="H393" s="78" t="s">
        <v>579</v>
      </c>
      <c r="I393" s="78" t="s">
        <v>579</v>
      </c>
      <c r="J393" s="44">
        <v>4071.8</v>
      </c>
      <c r="K393" s="44">
        <v>3495</v>
      </c>
      <c r="L393" s="44">
        <v>0</v>
      </c>
      <c r="M393" s="79">
        <v>160</v>
      </c>
      <c r="N393" s="72">
        <f t="shared" si="53"/>
        <v>579805.47</v>
      </c>
      <c r="O393" s="44">
        <v>0</v>
      </c>
      <c r="P393" s="44"/>
      <c r="Q393" s="44"/>
      <c r="R393" s="44">
        <f>+'[12]Приложение № 4'!E393</f>
        <v>579805.47</v>
      </c>
      <c r="S393" s="44"/>
      <c r="T393" s="44"/>
      <c r="U393" s="44">
        <v>4679.37</v>
      </c>
      <c r="V393" s="44">
        <v>4679.37</v>
      </c>
      <c r="W393" s="80" t="s">
        <v>1101</v>
      </c>
      <c r="X393" s="96" t="e">
        <f>+N393-#REF!</f>
        <v>#REF!</v>
      </c>
      <c r="Y393" s="94">
        <v>1021330.64</v>
      </c>
      <c r="Z393" s="94">
        <f t="shared" si="54"/>
        <v>381654</v>
      </c>
      <c r="AB393" s="96" t="e">
        <f>+N393-#REF!</f>
        <v>#REF!</v>
      </c>
      <c r="AC393" s="27">
        <f>+N393-'[12]Приложение № 4'!E393</f>
        <v>0</v>
      </c>
      <c r="AE393" s="98" t="e">
        <f>+N393-#REF!</f>
        <v>#REF!</v>
      </c>
      <c r="AG393" s="101" t="s">
        <v>1074</v>
      </c>
      <c r="AH393" s="102">
        <f t="shared" si="51"/>
        <v>596798.47644356079</v>
      </c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>
        <v>550942.4409443608</v>
      </c>
      <c r="AV393" s="102">
        <v>45856.035499199999</v>
      </c>
      <c r="AW393" s="102"/>
    </row>
    <row r="394" spans="1:49" ht="15" x14ac:dyDescent="0.25">
      <c r="A394" s="76">
        <f t="shared" si="44"/>
        <v>382</v>
      </c>
      <c r="B394" s="77">
        <f t="shared" si="44"/>
        <v>382</v>
      </c>
      <c r="C394" s="77" t="s">
        <v>1128</v>
      </c>
      <c r="D394" s="77" t="s">
        <v>1075</v>
      </c>
      <c r="E394" s="78" t="s">
        <v>740</v>
      </c>
      <c r="F394" s="78"/>
      <c r="G394" s="78" t="s">
        <v>570</v>
      </c>
      <c r="H394" s="78" t="s">
        <v>582</v>
      </c>
      <c r="I394" s="78" t="s">
        <v>572</v>
      </c>
      <c r="J394" s="44">
        <v>1732.6</v>
      </c>
      <c r="K394" s="44">
        <v>1559.6</v>
      </c>
      <c r="L394" s="44">
        <v>0</v>
      </c>
      <c r="M394" s="79">
        <v>59</v>
      </c>
      <c r="N394" s="72">
        <f t="shared" si="53"/>
        <v>790606.31</v>
      </c>
      <c r="O394" s="44">
        <v>0</v>
      </c>
      <c r="P394" s="44"/>
      <c r="Q394" s="44"/>
      <c r="R394" s="44">
        <f>+'[12]Приложение № 4'!E394</f>
        <v>790606.31</v>
      </c>
      <c r="S394" s="44"/>
      <c r="T394" s="44"/>
      <c r="U394" s="44">
        <v>3224.92</v>
      </c>
      <c r="V394" s="44">
        <v>3224.92</v>
      </c>
      <c r="W394" s="80" t="s">
        <v>1101</v>
      </c>
      <c r="X394" s="96" t="e">
        <f>+N394-#REF!</f>
        <v>#REF!</v>
      </c>
      <c r="Y394" s="94">
        <v>437388.42</v>
      </c>
      <c r="Z394" s="94">
        <f t="shared" si="54"/>
        <v>170308.31999999998</v>
      </c>
      <c r="AB394" s="96" t="e">
        <f>+N394-#REF!</f>
        <v>#REF!</v>
      </c>
      <c r="AC394" s="27">
        <f>+N394-'[12]Приложение № 4'!E394</f>
        <v>0</v>
      </c>
      <c r="AE394" s="98" t="e">
        <f>+N394-#REF!</f>
        <v>#REF!</v>
      </c>
      <c r="AG394" s="101" t="s">
        <v>1075</v>
      </c>
      <c r="AH394" s="102">
        <f t="shared" si="51"/>
        <v>808706.6246101812</v>
      </c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>
        <v>767471.35065498122</v>
      </c>
      <c r="AV394" s="102">
        <v>41235.273955199998</v>
      </c>
      <c r="AW394" s="102"/>
    </row>
    <row r="395" spans="1:49" ht="15" x14ac:dyDescent="0.25">
      <c r="A395" s="76">
        <f t="shared" si="44"/>
        <v>383</v>
      </c>
      <c r="B395" s="77">
        <f t="shared" si="44"/>
        <v>383</v>
      </c>
      <c r="C395" s="77" t="s">
        <v>1128</v>
      </c>
      <c r="D395" s="77" t="s">
        <v>1076</v>
      </c>
      <c r="E395" s="78" t="s">
        <v>610</v>
      </c>
      <c r="F395" s="78"/>
      <c r="G395" s="78" t="s">
        <v>570</v>
      </c>
      <c r="H395" s="78" t="s">
        <v>579</v>
      </c>
      <c r="I395" s="78" t="s">
        <v>579</v>
      </c>
      <c r="J395" s="44">
        <v>2944.2</v>
      </c>
      <c r="K395" s="44">
        <v>2714.6</v>
      </c>
      <c r="L395" s="44">
        <v>0</v>
      </c>
      <c r="M395" s="79">
        <v>134</v>
      </c>
      <c r="N395" s="72">
        <f t="shared" si="53"/>
        <v>494691.55</v>
      </c>
      <c r="O395" s="44">
        <v>0</v>
      </c>
      <c r="P395" s="44"/>
      <c r="Q395" s="44"/>
      <c r="R395" s="44">
        <f>+'[12]Приложение № 4'!E395</f>
        <v>494691.55</v>
      </c>
      <c r="S395" s="44"/>
      <c r="T395" s="44"/>
      <c r="U395" s="44">
        <v>1826.78</v>
      </c>
      <c r="V395" s="44">
        <v>1826.78</v>
      </c>
      <c r="W395" s="80" t="s">
        <v>1101</v>
      </c>
      <c r="X395" s="96" t="e">
        <f>+N395-#REF!</f>
        <v>#REF!</v>
      </c>
      <c r="Y395" s="94">
        <v>848134.57</v>
      </c>
      <c r="Z395" s="94">
        <f t="shared" si="54"/>
        <v>296434.31999999995</v>
      </c>
      <c r="AB395" s="96" t="e">
        <f>+N395-#REF!</f>
        <v>#REF!</v>
      </c>
      <c r="AC395" s="27">
        <f>+N395-'[12]Приложение № 4'!E395</f>
        <v>0</v>
      </c>
      <c r="AE395" s="98" t="e">
        <f>+N395-#REF!</f>
        <v>#REF!</v>
      </c>
      <c r="AG395" s="101" t="s">
        <v>1076</v>
      </c>
      <c r="AH395" s="102">
        <f t="shared" si="51"/>
        <v>511237.51270750386</v>
      </c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>
        <v>467395.75870270387</v>
      </c>
      <c r="AV395" s="102">
        <v>43841.754004800001</v>
      </c>
      <c r="AW395" s="102"/>
    </row>
    <row r="396" spans="1:49" ht="15" x14ac:dyDescent="0.25">
      <c r="A396" s="76">
        <f t="shared" si="44"/>
        <v>384</v>
      </c>
      <c r="B396" s="77">
        <f t="shared" si="44"/>
        <v>384</v>
      </c>
      <c r="C396" s="77" t="s">
        <v>534</v>
      </c>
      <c r="D396" s="77" t="s">
        <v>1214</v>
      </c>
      <c r="E396" s="78">
        <v>1976</v>
      </c>
      <c r="F396" s="78">
        <v>1976</v>
      </c>
      <c r="G396" s="78" t="s">
        <v>44</v>
      </c>
      <c r="H396" s="78">
        <v>2</v>
      </c>
      <c r="I396" s="78">
        <v>1</v>
      </c>
      <c r="J396" s="44">
        <v>394</v>
      </c>
      <c r="K396" s="44">
        <v>214.8</v>
      </c>
      <c r="L396" s="44">
        <v>0</v>
      </c>
      <c r="M396" s="79">
        <v>38</v>
      </c>
      <c r="N396" s="72">
        <f t="shared" si="53"/>
        <v>307550.40000000002</v>
      </c>
      <c r="O396" s="44"/>
      <c r="P396" s="44"/>
      <c r="Q396" s="44"/>
      <c r="R396" s="44">
        <f>+'[12]Приложение № 4'!E396</f>
        <v>307550.40000000002</v>
      </c>
      <c r="S396" s="44"/>
      <c r="T396" s="44"/>
      <c r="U396" s="44">
        <f t="shared" ref="U396:V398" si="55">$N396/($K396+$L396)</f>
        <v>1431.7988826815642</v>
      </c>
      <c r="V396" s="44">
        <f t="shared" si="55"/>
        <v>1431.7988826815642</v>
      </c>
      <c r="W396" s="80" t="s">
        <v>1101</v>
      </c>
      <c r="AC396" s="27">
        <f>+N396-'[12]Приложение № 4'!E396</f>
        <v>0</v>
      </c>
      <c r="AG396" s="103" t="s">
        <v>1215</v>
      </c>
      <c r="AH396" s="102">
        <f t="shared" ref="AH396" si="56">SUM(AI396:AW396)</f>
        <v>307550.40000000002</v>
      </c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>
        <v>241340.1</v>
      </c>
      <c r="AV396" s="104">
        <v>66210.3</v>
      </c>
      <c r="AW396" s="106"/>
    </row>
    <row r="397" spans="1:49" ht="15" x14ac:dyDescent="0.25">
      <c r="A397" s="76">
        <f t="shared" si="44"/>
        <v>385</v>
      </c>
      <c r="B397" s="77">
        <f t="shared" si="44"/>
        <v>385</v>
      </c>
      <c r="C397" s="77" t="s">
        <v>1147</v>
      </c>
      <c r="D397" s="77" t="s">
        <v>1216</v>
      </c>
      <c r="E397" s="78">
        <v>1992</v>
      </c>
      <c r="F397" s="78">
        <v>2011</v>
      </c>
      <c r="G397" s="78" t="s">
        <v>52</v>
      </c>
      <c r="H397" s="78">
        <v>2</v>
      </c>
      <c r="I397" s="78">
        <v>1</v>
      </c>
      <c r="J397" s="44">
        <v>640.70000000000005</v>
      </c>
      <c r="K397" s="44">
        <v>605.6</v>
      </c>
      <c r="L397" s="44">
        <v>0</v>
      </c>
      <c r="M397" s="79">
        <v>27</v>
      </c>
      <c r="N397" s="72">
        <f t="shared" si="53"/>
        <v>34592.04</v>
      </c>
      <c r="O397" s="44"/>
      <c r="P397" s="68"/>
      <c r="Q397" s="68"/>
      <c r="R397" s="44">
        <f>+'[12]Приложение № 4'!E397</f>
        <v>34592.04</v>
      </c>
      <c r="S397" s="68"/>
      <c r="T397" s="68"/>
      <c r="U397" s="68">
        <f t="shared" si="55"/>
        <v>57.12027741083223</v>
      </c>
      <c r="V397" s="68">
        <f t="shared" si="55"/>
        <v>57.12027741083223</v>
      </c>
      <c r="W397" s="80" t="s">
        <v>1101</v>
      </c>
      <c r="X397" s="76"/>
      <c r="Y397" s="77"/>
      <c r="Z397" s="77"/>
      <c r="AA397" s="77"/>
      <c r="AC397" s="27">
        <f>+N397-'[12]Приложение № 4'!E397</f>
        <v>0</v>
      </c>
    </row>
    <row r="398" spans="1:49" ht="15" x14ac:dyDescent="0.25">
      <c r="A398" s="76">
        <f t="shared" si="44"/>
        <v>386</v>
      </c>
      <c r="B398" s="77">
        <f t="shared" si="44"/>
        <v>386</v>
      </c>
      <c r="C398" s="124" t="s">
        <v>1147</v>
      </c>
      <c r="D398" s="124" t="s">
        <v>1217</v>
      </c>
      <c r="E398" s="125">
        <v>1987</v>
      </c>
      <c r="F398" s="125">
        <v>2013</v>
      </c>
      <c r="G398" s="125" t="s">
        <v>52</v>
      </c>
      <c r="H398" s="125">
        <v>2</v>
      </c>
      <c r="I398" s="125">
        <v>2</v>
      </c>
      <c r="J398" s="126">
        <v>1208.5999999999999</v>
      </c>
      <c r="K398" s="126">
        <v>1046.8</v>
      </c>
      <c r="L398" s="126">
        <v>0</v>
      </c>
      <c r="M398" s="127">
        <v>50</v>
      </c>
      <c r="N398" s="72">
        <f t="shared" si="53"/>
        <v>45408.83</v>
      </c>
      <c r="O398" s="44"/>
      <c r="P398" s="68"/>
      <c r="Q398" s="68"/>
      <c r="R398" s="44">
        <f>+'[12]Приложение № 4'!E398</f>
        <v>45408.83</v>
      </c>
      <c r="S398" s="68"/>
      <c r="T398" s="68"/>
      <c r="U398" s="68">
        <f t="shared" si="55"/>
        <v>43.378706534199466</v>
      </c>
      <c r="V398" s="68">
        <f t="shared" si="55"/>
        <v>43.378706534199466</v>
      </c>
      <c r="W398" s="80" t="s">
        <v>1101</v>
      </c>
      <c r="X398" s="76"/>
      <c r="Y398" s="77"/>
      <c r="Z398" s="77"/>
      <c r="AA398" s="77"/>
      <c r="AC398" s="27">
        <f>+N398-'[12]Приложение № 4'!E398</f>
        <v>0</v>
      </c>
    </row>
  </sheetData>
  <autoFilter ref="A11:AW424"/>
  <mergeCells count="22">
    <mergeCell ref="V7:V9"/>
    <mergeCell ref="J7:J9"/>
    <mergeCell ref="K7:L7"/>
    <mergeCell ref="M7:M9"/>
    <mergeCell ref="N7:T7"/>
    <mergeCell ref="U7:U9"/>
    <mergeCell ref="B5:W5"/>
    <mergeCell ref="A7:A10"/>
    <mergeCell ref="B7:B10"/>
    <mergeCell ref="C7:C10"/>
    <mergeCell ref="D7:D10"/>
    <mergeCell ref="E7:F7"/>
    <mergeCell ref="G7:G10"/>
    <mergeCell ref="H7:H10"/>
    <mergeCell ref="I7:I10"/>
    <mergeCell ref="W7:W10"/>
    <mergeCell ref="E8:E10"/>
    <mergeCell ref="F8:F10"/>
    <mergeCell ref="K8:K9"/>
    <mergeCell ref="L8:L9"/>
    <mergeCell ref="N8:N9"/>
    <mergeCell ref="O8:T8"/>
  </mergeCells>
  <conditionalFormatting sqref="AG396">
    <cfRule type="duplicateValues" dxfId="24" priority="18"/>
  </conditionalFormatting>
  <conditionalFormatting sqref="AG258:AG259">
    <cfRule type="duplicateValues" dxfId="23" priority="17"/>
  </conditionalFormatting>
  <conditionalFormatting sqref="B1">
    <cfRule type="duplicateValues" dxfId="22" priority="16"/>
  </conditionalFormatting>
  <conditionalFormatting sqref="D208">
    <cfRule type="duplicateValues" dxfId="21" priority="15"/>
  </conditionalFormatting>
  <conditionalFormatting sqref="D335">
    <cfRule type="duplicateValues" dxfId="20" priority="14"/>
  </conditionalFormatting>
  <conditionalFormatting sqref="D349">
    <cfRule type="duplicateValues" dxfId="19" priority="13"/>
  </conditionalFormatting>
  <conditionalFormatting sqref="D361:D362">
    <cfRule type="duplicateValues" dxfId="18" priority="12"/>
  </conditionalFormatting>
  <conditionalFormatting sqref="D350">
    <cfRule type="duplicateValues" dxfId="17" priority="11"/>
  </conditionalFormatting>
  <conditionalFormatting sqref="D207">
    <cfRule type="duplicateValues" dxfId="16" priority="10"/>
  </conditionalFormatting>
  <conditionalFormatting sqref="D296">
    <cfRule type="duplicateValues" dxfId="15" priority="9"/>
  </conditionalFormatting>
  <conditionalFormatting sqref="D308">
    <cfRule type="duplicateValues" dxfId="14" priority="8"/>
  </conditionalFormatting>
  <conditionalFormatting sqref="D297">
    <cfRule type="duplicateValues" dxfId="13" priority="7"/>
  </conditionalFormatting>
  <conditionalFormatting sqref="D398">
    <cfRule type="duplicateValues" dxfId="12" priority="6"/>
  </conditionalFormatting>
  <conditionalFormatting sqref="D180:D181">
    <cfRule type="duplicateValues" dxfId="11" priority="5"/>
  </conditionalFormatting>
  <conditionalFormatting sqref="D344">
    <cfRule type="duplicateValues" dxfId="10" priority="4"/>
  </conditionalFormatting>
  <conditionalFormatting sqref="D342">
    <cfRule type="duplicateValues" dxfId="9" priority="3"/>
  </conditionalFormatting>
  <conditionalFormatting sqref="D343">
    <cfRule type="duplicateValues" dxfId="8" priority="2"/>
  </conditionalFormatting>
  <conditionalFormatting sqref="AG365 AG192:AG193">
    <cfRule type="duplicateValues" dxfId="7" priority="19"/>
  </conditionalFormatting>
  <conditionalFormatting sqref="AA397:AA398 AA308 AA342:AA344 AA361:AA362 AA376 AA207 AA295:AA297 D179 D203 AA203:AA204 AA62 AA178:AA183 AA346:AA351">
    <cfRule type="duplicateValues" dxfId="6" priority="20"/>
  </conditionalFormatting>
  <conditionalFormatting sqref="D352:D360 D209:D273 D202 D13:D61 D336:D341 D184:D200 D298:D307 D205:D206 D377:D396 D309:D334 D345 D363:D372 D63:D177 D275:D294">
    <cfRule type="duplicateValues" dxfId="5" priority="21"/>
  </conditionalFormatting>
  <conditionalFormatting sqref="D373:D376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44" fitToHeight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8"/>
  <sheetViews>
    <sheetView view="pageBreakPreview" zoomScale="60" zoomScaleNormal="85" workbookViewId="0">
      <selection activeCell="E27" sqref="E27"/>
    </sheetView>
  </sheetViews>
  <sheetFormatPr defaultRowHeight="15" x14ac:dyDescent="0.25"/>
  <cols>
    <col min="3" max="3" width="34.5703125" customWidth="1"/>
    <col min="4" max="4" width="74" customWidth="1"/>
    <col min="5" max="5" width="23.140625" customWidth="1"/>
    <col min="6" max="17" width="14.7109375" hidden="1" customWidth="1"/>
    <col min="18" max="20" width="14.7109375" customWidth="1"/>
    <col min="21" max="22" width="0" hidden="1" customWidth="1"/>
  </cols>
  <sheetData>
    <row r="1" spans="1:23" ht="15.75" x14ac:dyDescent="0.25">
      <c r="T1" s="116" t="s">
        <v>1133</v>
      </c>
    </row>
    <row r="2" spans="1:23" ht="15.75" x14ac:dyDescent="0.25">
      <c r="T2" s="116" t="s">
        <v>1218</v>
      </c>
    </row>
    <row r="3" spans="1:23" ht="15.75" x14ac:dyDescent="0.25">
      <c r="T3" s="116" t="s">
        <v>1219</v>
      </c>
    </row>
    <row r="6" spans="1:23" ht="33" customHeight="1" x14ac:dyDescent="0.25">
      <c r="A6" s="212" t="s">
        <v>555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7"/>
      <c r="V6" s="217"/>
      <c r="W6" s="217"/>
    </row>
    <row r="8" spans="1:23" ht="94.5" customHeight="1" x14ac:dyDescent="0.25">
      <c r="A8" s="211" t="s">
        <v>1</v>
      </c>
      <c r="B8" s="211" t="s">
        <v>1</v>
      </c>
      <c r="C8" s="211" t="s">
        <v>2</v>
      </c>
      <c r="D8" s="211" t="s">
        <v>3</v>
      </c>
      <c r="E8" s="211" t="s">
        <v>15</v>
      </c>
      <c r="F8" s="211" t="s">
        <v>752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9" spans="1:23" x14ac:dyDescent="0.25">
      <c r="A9" s="211"/>
      <c r="B9" s="211"/>
      <c r="C9" s="211"/>
      <c r="D9" s="211"/>
      <c r="E9" s="211"/>
      <c r="F9" s="211" t="s">
        <v>753</v>
      </c>
      <c r="G9" s="211"/>
      <c r="H9" s="211"/>
      <c r="I9" s="211"/>
      <c r="J9" s="211"/>
      <c r="K9" s="211"/>
      <c r="L9" s="211"/>
      <c r="M9" s="211" t="s">
        <v>754</v>
      </c>
      <c r="N9" s="211" t="s">
        <v>24</v>
      </c>
      <c r="O9" s="211" t="s">
        <v>755</v>
      </c>
      <c r="P9" s="211" t="s">
        <v>756</v>
      </c>
      <c r="Q9" s="211" t="s">
        <v>757</v>
      </c>
      <c r="R9" s="211" t="s">
        <v>758</v>
      </c>
      <c r="S9" s="211" t="s">
        <v>759</v>
      </c>
      <c r="T9" s="211" t="s">
        <v>760</v>
      </c>
    </row>
    <row r="10" spans="1:23" ht="155.25" customHeight="1" x14ac:dyDescent="0.25">
      <c r="A10" s="211"/>
      <c r="B10" s="211"/>
      <c r="C10" s="211"/>
      <c r="D10" s="211"/>
      <c r="E10" s="211"/>
      <c r="F10" s="156" t="s">
        <v>33</v>
      </c>
      <c r="G10" s="156" t="s">
        <v>34</v>
      </c>
      <c r="H10" s="156" t="s">
        <v>35</v>
      </c>
      <c r="I10" s="156" t="s">
        <v>36</v>
      </c>
      <c r="J10" s="156" t="s">
        <v>37</v>
      </c>
      <c r="K10" s="156" t="s">
        <v>38</v>
      </c>
      <c r="L10" s="156" t="s">
        <v>23</v>
      </c>
      <c r="M10" s="211"/>
      <c r="N10" s="211"/>
      <c r="O10" s="211"/>
      <c r="P10" s="211"/>
      <c r="Q10" s="211"/>
      <c r="R10" s="211"/>
      <c r="S10" s="211"/>
      <c r="T10" s="211"/>
    </row>
    <row r="11" spans="1:23" x14ac:dyDescent="0.25">
      <c r="A11" s="211"/>
      <c r="B11" s="211"/>
      <c r="C11" s="211"/>
      <c r="D11" s="211"/>
      <c r="E11" s="100" t="s">
        <v>761</v>
      </c>
      <c r="F11" s="100" t="s">
        <v>761</v>
      </c>
      <c r="G11" s="100" t="s">
        <v>761</v>
      </c>
      <c r="H11" s="100" t="s">
        <v>761</v>
      </c>
      <c r="I11" s="100" t="s">
        <v>761</v>
      </c>
      <c r="J11" s="100" t="s">
        <v>761</v>
      </c>
      <c r="K11" s="100" t="s">
        <v>761</v>
      </c>
      <c r="L11" s="100" t="s">
        <v>761</v>
      </c>
      <c r="M11" s="100" t="s">
        <v>761</v>
      </c>
      <c r="N11" s="100" t="s">
        <v>761</v>
      </c>
      <c r="O11" s="100" t="s">
        <v>761</v>
      </c>
      <c r="P11" s="100" t="s">
        <v>761</v>
      </c>
      <c r="Q11" s="100" t="s">
        <v>761</v>
      </c>
      <c r="R11" s="100" t="s">
        <v>761</v>
      </c>
      <c r="S11" s="100" t="s">
        <v>761</v>
      </c>
      <c r="T11" s="100" t="s">
        <v>761</v>
      </c>
    </row>
    <row r="12" spans="1:23" x14ac:dyDescent="0.25">
      <c r="A12" s="156"/>
      <c r="B12" s="156"/>
      <c r="C12" s="156"/>
      <c r="D12" s="156" t="s">
        <v>20</v>
      </c>
      <c r="E12" s="114">
        <f>SUM(F12:T12)</f>
        <v>187620508.93046144</v>
      </c>
      <c r="F12" s="114">
        <f t="shared" ref="F12:Q12" si="0">SUM(F133:F396)</f>
        <v>0</v>
      </c>
      <c r="G12" s="114">
        <f t="shared" si="0"/>
        <v>0</v>
      </c>
      <c r="H12" s="114">
        <f t="shared" si="0"/>
        <v>0</v>
      </c>
      <c r="I12" s="114">
        <f t="shared" si="0"/>
        <v>0</v>
      </c>
      <c r="J12" s="114">
        <f t="shared" si="0"/>
        <v>0</v>
      </c>
      <c r="K12" s="114">
        <f t="shared" si="0"/>
        <v>0</v>
      </c>
      <c r="L12" s="114">
        <f t="shared" si="0"/>
        <v>0</v>
      </c>
      <c r="M12" s="114">
        <f t="shared" si="0"/>
        <v>0</v>
      </c>
      <c r="N12" s="114">
        <f t="shared" si="0"/>
        <v>0</v>
      </c>
      <c r="O12" s="114">
        <f t="shared" si="0"/>
        <v>0</v>
      </c>
      <c r="P12" s="114">
        <f t="shared" si="0"/>
        <v>0</v>
      </c>
      <c r="Q12" s="114">
        <f t="shared" si="0"/>
        <v>0</v>
      </c>
      <c r="R12" s="114">
        <f>SUM(R13:R398)</f>
        <v>179490710.93046144</v>
      </c>
      <c r="S12" s="114">
        <f>SUM(S13:S398)</f>
        <v>8129798</v>
      </c>
      <c r="T12" s="114">
        <f>SUM(T133:T396)</f>
        <v>0</v>
      </c>
    </row>
    <row r="13" spans="1:23" x14ac:dyDescent="0.25">
      <c r="A13" s="158">
        <v>1</v>
      </c>
      <c r="B13" s="158">
        <v>1</v>
      </c>
      <c r="C13" s="77" t="s">
        <v>545</v>
      </c>
      <c r="D13" s="159" t="s">
        <v>887</v>
      </c>
      <c r="E13" s="160">
        <f t="shared" ref="E13:E108" si="1">SUM(F13:T13)</f>
        <v>1765327.31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>
        <v>1745327.31</v>
      </c>
      <c r="S13" s="160">
        <v>20000</v>
      </c>
      <c r="T13" s="160"/>
      <c r="U13" s="94">
        <v>1</v>
      </c>
      <c r="V13" s="117">
        <f>+E13-R13-S13</f>
        <v>0</v>
      </c>
    </row>
    <row r="14" spans="1:23" x14ac:dyDescent="0.25">
      <c r="A14" s="158">
        <f>+A13+1</f>
        <v>2</v>
      </c>
      <c r="B14" s="158">
        <f>+B13+1</f>
        <v>2</v>
      </c>
      <c r="C14" s="77" t="s">
        <v>545</v>
      </c>
      <c r="D14" s="159" t="s">
        <v>888</v>
      </c>
      <c r="E14" s="160">
        <f t="shared" si="1"/>
        <v>628645.94999999995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>
        <v>612645.94999999995</v>
      </c>
      <c r="S14" s="160">
        <v>16000</v>
      </c>
      <c r="T14" s="160"/>
      <c r="U14" s="94">
        <v>1</v>
      </c>
      <c r="V14" s="117">
        <f t="shared" ref="V14:V118" si="2">+E14-R14-S14</f>
        <v>0</v>
      </c>
    </row>
    <row r="15" spans="1:23" x14ac:dyDescent="0.25">
      <c r="A15" s="158">
        <f t="shared" ref="A15:B78" si="3">+A14+1</f>
        <v>3</v>
      </c>
      <c r="B15" s="158">
        <f t="shared" si="3"/>
        <v>3</v>
      </c>
      <c r="C15" s="77" t="s">
        <v>545</v>
      </c>
      <c r="D15" s="159" t="s">
        <v>889</v>
      </c>
      <c r="E15" s="160">
        <f t="shared" si="1"/>
        <v>1379242.0499999998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>
        <v>1361242.0499999998</v>
      </c>
      <c r="S15" s="160">
        <v>18000</v>
      </c>
      <c r="T15" s="160"/>
      <c r="U15" s="94">
        <v>1</v>
      </c>
      <c r="V15" s="117">
        <f t="shared" si="2"/>
        <v>0</v>
      </c>
    </row>
    <row r="16" spans="1:23" x14ac:dyDescent="0.25">
      <c r="A16" s="158">
        <f t="shared" si="3"/>
        <v>4</v>
      </c>
      <c r="B16" s="158">
        <f t="shared" si="3"/>
        <v>4</v>
      </c>
      <c r="C16" s="77" t="s">
        <v>545</v>
      </c>
      <c r="D16" s="159" t="s">
        <v>890</v>
      </c>
      <c r="E16" s="160">
        <f t="shared" si="1"/>
        <v>560136.63000000012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>
        <v>550136.63000000012</v>
      </c>
      <c r="S16" s="160">
        <v>10000</v>
      </c>
      <c r="T16" s="160"/>
      <c r="U16" s="94">
        <v>1</v>
      </c>
      <c r="V16" s="117">
        <f t="shared" si="2"/>
        <v>0</v>
      </c>
    </row>
    <row r="17" spans="1:22" x14ac:dyDescent="0.25">
      <c r="A17" s="158">
        <f t="shared" si="3"/>
        <v>5</v>
      </c>
      <c r="B17" s="158">
        <f t="shared" si="3"/>
        <v>5</v>
      </c>
      <c r="C17" s="77" t="s">
        <v>545</v>
      </c>
      <c r="D17" s="159" t="s">
        <v>891</v>
      </c>
      <c r="E17" s="160">
        <f t="shared" si="1"/>
        <v>441934.27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>
        <v>433934.27</v>
      </c>
      <c r="S17" s="160">
        <v>8000</v>
      </c>
      <c r="T17" s="160"/>
      <c r="U17" s="94">
        <v>1</v>
      </c>
      <c r="V17" s="117">
        <f t="shared" si="2"/>
        <v>0</v>
      </c>
    </row>
    <row r="18" spans="1:22" x14ac:dyDescent="0.25">
      <c r="A18" s="158">
        <f t="shared" si="3"/>
        <v>6</v>
      </c>
      <c r="B18" s="158">
        <f t="shared" si="3"/>
        <v>6</v>
      </c>
      <c r="C18" s="77" t="s">
        <v>545</v>
      </c>
      <c r="D18" s="159" t="s">
        <v>892</v>
      </c>
      <c r="E18" s="160">
        <f t="shared" si="1"/>
        <v>514059.43000000005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>
        <v>498059.43000000005</v>
      </c>
      <c r="S18" s="160">
        <v>16000</v>
      </c>
      <c r="T18" s="160"/>
      <c r="U18" s="94">
        <v>1</v>
      </c>
      <c r="V18" s="117">
        <f t="shared" si="2"/>
        <v>0</v>
      </c>
    </row>
    <row r="19" spans="1:22" x14ac:dyDescent="0.25">
      <c r="A19" s="158">
        <f t="shared" si="3"/>
        <v>7</v>
      </c>
      <c r="B19" s="158">
        <f t="shared" si="3"/>
        <v>7</v>
      </c>
      <c r="C19" s="77" t="s">
        <v>545</v>
      </c>
      <c r="D19" s="159" t="s">
        <v>1030</v>
      </c>
      <c r="E19" s="160">
        <f t="shared" ref="E19:E62" si="4">SUM(F19:T19)</f>
        <v>539082.57716751983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>
        <v>515082.57716751983</v>
      </c>
      <c r="S19" s="160">
        <v>24000</v>
      </c>
      <c r="T19" s="160"/>
      <c r="U19" s="94">
        <v>1</v>
      </c>
      <c r="V19" s="117">
        <f t="shared" si="2"/>
        <v>0</v>
      </c>
    </row>
    <row r="20" spans="1:22" x14ac:dyDescent="0.25">
      <c r="A20" s="158">
        <f t="shared" si="3"/>
        <v>8</v>
      </c>
      <c r="B20" s="158">
        <f t="shared" si="3"/>
        <v>8</v>
      </c>
      <c r="C20" s="77" t="s">
        <v>545</v>
      </c>
      <c r="D20" s="159" t="s">
        <v>1031</v>
      </c>
      <c r="E20" s="160">
        <f t="shared" si="4"/>
        <v>413345.9236279992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>
        <v>389345.9236279992</v>
      </c>
      <c r="S20" s="160">
        <v>24000</v>
      </c>
      <c r="T20" s="160"/>
      <c r="U20" s="94">
        <v>1</v>
      </c>
      <c r="V20" s="117">
        <f t="shared" si="2"/>
        <v>0</v>
      </c>
    </row>
    <row r="21" spans="1:22" x14ac:dyDescent="0.25">
      <c r="A21" s="158">
        <f t="shared" si="3"/>
        <v>9</v>
      </c>
      <c r="B21" s="158">
        <f t="shared" si="3"/>
        <v>9</v>
      </c>
      <c r="C21" s="77" t="s">
        <v>545</v>
      </c>
      <c r="D21" s="159" t="s">
        <v>1032</v>
      </c>
      <c r="E21" s="160">
        <f t="shared" si="4"/>
        <v>360975.41000000003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>
        <v>352975.41000000003</v>
      </c>
      <c r="S21" s="160">
        <v>8000</v>
      </c>
      <c r="T21" s="160"/>
      <c r="U21" s="94">
        <v>1</v>
      </c>
      <c r="V21" s="117">
        <f t="shared" si="2"/>
        <v>0</v>
      </c>
    </row>
    <row r="22" spans="1:22" x14ac:dyDescent="0.25">
      <c r="A22" s="158">
        <f t="shared" si="3"/>
        <v>10</v>
      </c>
      <c r="B22" s="158">
        <f t="shared" si="3"/>
        <v>10</v>
      </c>
      <c r="C22" s="77" t="s">
        <v>545</v>
      </c>
      <c r="D22" s="159" t="s">
        <v>1033</v>
      </c>
      <c r="E22" s="160">
        <f t="shared" si="4"/>
        <v>365115.69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>
        <v>355115.69</v>
      </c>
      <c r="S22" s="160">
        <v>10000</v>
      </c>
      <c r="T22" s="160"/>
      <c r="U22" s="94">
        <v>1</v>
      </c>
      <c r="V22" s="117">
        <f t="shared" si="2"/>
        <v>0</v>
      </c>
    </row>
    <row r="23" spans="1:22" x14ac:dyDescent="0.25">
      <c r="A23" s="158">
        <f t="shared" si="3"/>
        <v>11</v>
      </c>
      <c r="B23" s="158">
        <f t="shared" si="3"/>
        <v>11</v>
      </c>
      <c r="C23" s="77" t="s">
        <v>545</v>
      </c>
      <c r="D23" s="159" t="s">
        <v>1034</v>
      </c>
      <c r="E23" s="160">
        <f t="shared" si="4"/>
        <v>1132940.07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>
        <v>1122940.07</v>
      </c>
      <c r="S23" s="160">
        <v>10000</v>
      </c>
      <c r="T23" s="160"/>
      <c r="U23" s="94">
        <v>1</v>
      </c>
      <c r="V23" s="117">
        <f t="shared" si="2"/>
        <v>0</v>
      </c>
    </row>
    <row r="24" spans="1:22" x14ac:dyDescent="0.25">
      <c r="A24" s="158">
        <f t="shared" si="3"/>
        <v>12</v>
      </c>
      <c r="B24" s="158">
        <f t="shared" si="3"/>
        <v>12</v>
      </c>
      <c r="C24" s="77" t="s">
        <v>545</v>
      </c>
      <c r="D24" s="159" t="s">
        <v>1035</v>
      </c>
      <c r="E24" s="160">
        <f t="shared" si="4"/>
        <v>1019590.6252053897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>
        <v>995590.62520538969</v>
      </c>
      <c r="S24" s="160">
        <v>24000</v>
      </c>
      <c r="T24" s="160"/>
      <c r="U24" s="94">
        <v>1</v>
      </c>
      <c r="V24" s="117">
        <f t="shared" si="2"/>
        <v>0</v>
      </c>
    </row>
    <row r="25" spans="1:22" x14ac:dyDescent="0.25">
      <c r="A25" s="158">
        <f t="shared" si="3"/>
        <v>13</v>
      </c>
      <c r="B25" s="158">
        <f t="shared" si="3"/>
        <v>13</v>
      </c>
      <c r="C25" s="77" t="s">
        <v>545</v>
      </c>
      <c r="D25" s="159" t="s">
        <v>1036</v>
      </c>
      <c r="E25" s="160">
        <f t="shared" si="4"/>
        <v>584127.39066321694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>
        <v>560127.39066321694</v>
      </c>
      <c r="S25" s="160">
        <v>24000</v>
      </c>
      <c r="T25" s="160"/>
      <c r="U25" s="94">
        <v>1</v>
      </c>
      <c r="V25" s="117">
        <f t="shared" si="2"/>
        <v>0</v>
      </c>
    </row>
    <row r="26" spans="1:22" x14ac:dyDescent="0.25">
      <c r="A26" s="158">
        <f t="shared" si="3"/>
        <v>14</v>
      </c>
      <c r="B26" s="158">
        <f t="shared" si="3"/>
        <v>14</v>
      </c>
      <c r="C26" s="77" t="s">
        <v>545</v>
      </c>
      <c r="D26" s="159" t="s">
        <v>1037</v>
      </c>
      <c r="E26" s="160">
        <f t="shared" si="4"/>
        <v>194947.9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>
        <v>186947.9</v>
      </c>
      <c r="S26" s="160">
        <v>8000</v>
      </c>
      <c r="T26" s="160"/>
      <c r="U26" s="94">
        <v>1</v>
      </c>
      <c r="V26" s="117">
        <f t="shared" si="2"/>
        <v>0</v>
      </c>
    </row>
    <row r="27" spans="1:22" x14ac:dyDescent="0.25">
      <c r="A27" s="158">
        <f t="shared" si="3"/>
        <v>15</v>
      </c>
      <c r="B27" s="158">
        <f t="shared" si="3"/>
        <v>15</v>
      </c>
      <c r="C27" s="77" t="s">
        <v>545</v>
      </c>
      <c r="D27" s="159" t="s">
        <v>1038</v>
      </c>
      <c r="E27" s="160">
        <f t="shared" si="4"/>
        <v>544797.25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>
        <v>520797.25</v>
      </c>
      <c r="S27" s="160">
        <v>24000</v>
      </c>
      <c r="T27" s="160"/>
      <c r="U27" s="94">
        <v>1</v>
      </c>
      <c r="V27" s="117">
        <f t="shared" si="2"/>
        <v>0</v>
      </c>
    </row>
    <row r="28" spans="1:22" x14ac:dyDescent="0.25">
      <c r="A28" s="158">
        <f t="shared" si="3"/>
        <v>16</v>
      </c>
      <c r="B28" s="158">
        <f t="shared" si="3"/>
        <v>16</v>
      </c>
      <c r="C28" s="77" t="s">
        <v>545</v>
      </c>
      <c r="D28" s="159" t="s">
        <v>899</v>
      </c>
      <c r="E28" s="160">
        <f t="shared" si="4"/>
        <v>750904.93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>
        <v>718904.93</v>
      </c>
      <c r="S28" s="160">
        <v>32000</v>
      </c>
      <c r="T28" s="160"/>
      <c r="U28" s="94">
        <v>1</v>
      </c>
      <c r="V28" s="117">
        <f t="shared" si="2"/>
        <v>0</v>
      </c>
    </row>
    <row r="29" spans="1:22" x14ac:dyDescent="0.25">
      <c r="A29" s="158">
        <f t="shared" si="3"/>
        <v>17</v>
      </c>
      <c r="B29" s="158">
        <f t="shared" si="3"/>
        <v>17</v>
      </c>
      <c r="C29" s="77" t="s">
        <v>545</v>
      </c>
      <c r="D29" s="159" t="s">
        <v>1039</v>
      </c>
      <c r="E29" s="160">
        <f t="shared" si="4"/>
        <v>334516.96000000002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>
        <v>310516.96000000002</v>
      </c>
      <c r="S29" s="160">
        <v>24000</v>
      </c>
      <c r="T29" s="160"/>
      <c r="U29" s="94">
        <v>1</v>
      </c>
      <c r="V29" s="117">
        <f t="shared" si="2"/>
        <v>0</v>
      </c>
    </row>
    <row r="30" spans="1:22" x14ac:dyDescent="0.25">
      <c r="A30" s="158">
        <f t="shared" si="3"/>
        <v>18</v>
      </c>
      <c r="B30" s="158">
        <f t="shared" si="3"/>
        <v>18</v>
      </c>
      <c r="C30" s="77" t="s">
        <v>545</v>
      </c>
      <c r="D30" s="159" t="s">
        <v>1040</v>
      </c>
      <c r="E30" s="160">
        <f t="shared" si="4"/>
        <v>325945.57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>
        <v>301945.57</v>
      </c>
      <c r="S30" s="160">
        <v>24000</v>
      </c>
      <c r="T30" s="160"/>
      <c r="U30" s="94">
        <v>1</v>
      </c>
      <c r="V30" s="117">
        <f t="shared" si="2"/>
        <v>0</v>
      </c>
    </row>
    <row r="31" spans="1:22" x14ac:dyDescent="0.25">
      <c r="A31" s="158">
        <f t="shared" si="3"/>
        <v>19</v>
      </c>
      <c r="B31" s="158">
        <f t="shared" si="3"/>
        <v>19</v>
      </c>
      <c r="C31" s="77" t="s">
        <v>545</v>
      </c>
      <c r="D31" s="159" t="s">
        <v>905</v>
      </c>
      <c r="E31" s="160">
        <f t="shared" si="4"/>
        <v>608400.32000000007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>
        <v>560400.32000000007</v>
      </c>
      <c r="S31" s="160">
        <v>48000</v>
      </c>
      <c r="T31" s="160"/>
      <c r="U31" s="94">
        <v>1</v>
      </c>
      <c r="V31" s="117">
        <f t="shared" si="2"/>
        <v>0</v>
      </c>
    </row>
    <row r="32" spans="1:22" x14ac:dyDescent="0.25">
      <c r="A32" s="158">
        <f t="shared" si="3"/>
        <v>20</v>
      </c>
      <c r="B32" s="158">
        <f t="shared" si="3"/>
        <v>20</v>
      </c>
      <c r="C32" s="77" t="s">
        <v>545</v>
      </c>
      <c r="D32" s="159" t="s">
        <v>907</v>
      </c>
      <c r="E32" s="160">
        <f t="shared" si="4"/>
        <v>322133.13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>
        <v>314133.13</v>
      </c>
      <c r="S32" s="160">
        <v>8000</v>
      </c>
      <c r="T32" s="160"/>
      <c r="U32" s="94">
        <v>1</v>
      </c>
      <c r="V32" s="117">
        <f t="shared" si="2"/>
        <v>0</v>
      </c>
    </row>
    <row r="33" spans="1:22" x14ac:dyDescent="0.25">
      <c r="A33" s="158">
        <f t="shared" si="3"/>
        <v>21</v>
      </c>
      <c r="B33" s="158">
        <f t="shared" si="3"/>
        <v>21</v>
      </c>
      <c r="C33" s="77" t="s">
        <v>545</v>
      </c>
      <c r="D33" s="159" t="s">
        <v>1041</v>
      </c>
      <c r="E33" s="160">
        <f t="shared" si="4"/>
        <v>496837.23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>
        <v>472837.23</v>
      </c>
      <c r="S33" s="160">
        <v>24000</v>
      </c>
      <c r="T33" s="160"/>
      <c r="U33" s="94">
        <v>1</v>
      </c>
      <c r="V33" s="117">
        <f t="shared" si="2"/>
        <v>0</v>
      </c>
    </row>
    <row r="34" spans="1:22" x14ac:dyDescent="0.25">
      <c r="A34" s="158">
        <f t="shared" si="3"/>
        <v>22</v>
      </c>
      <c r="B34" s="158">
        <f t="shared" si="3"/>
        <v>22</v>
      </c>
      <c r="C34" s="77" t="s">
        <v>545</v>
      </c>
      <c r="D34" s="159" t="s">
        <v>908</v>
      </c>
      <c r="E34" s="160">
        <f t="shared" si="4"/>
        <v>552243.46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>
        <v>528243.46</v>
      </c>
      <c r="S34" s="160">
        <v>24000</v>
      </c>
      <c r="T34" s="160"/>
      <c r="U34" s="94">
        <v>1</v>
      </c>
      <c r="V34" s="117">
        <f t="shared" si="2"/>
        <v>0</v>
      </c>
    </row>
    <row r="35" spans="1:22" x14ac:dyDescent="0.25">
      <c r="A35" s="158">
        <f t="shared" si="3"/>
        <v>23</v>
      </c>
      <c r="B35" s="158">
        <f t="shared" si="3"/>
        <v>23</v>
      </c>
      <c r="C35" s="77" t="s">
        <v>545</v>
      </c>
      <c r="D35" s="159" t="s">
        <v>1042</v>
      </c>
      <c r="E35" s="160">
        <f t="shared" si="4"/>
        <v>834540.31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>
        <v>810540.31</v>
      </c>
      <c r="S35" s="160">
        <v>24000</v>
      </c>
      <c r="T35" s="160"/>
      <c r="U35" s="94">
        <v>1</v>
      </c>
      <c r="V35" s="117">
        <f t="shared" si="2"/>
        <v>0</v>
      </c>
    </row>
    <row r="36" spans="1:22" x14ac:dyDescent="0.25">
      <c r="A36" s="158">
        <f t="shared" si="3"/>
        <v>24</v>
      </c>
      <c r="B36" s="158">
        <f t="shared" si="3"/>
        <v>24</v>
      </c>
      <c r="C36" s="77" t="s">
        <v>545</v>
      </c>
      <c r="D36" s="159" t="s">
        <v>1043</v>
      </c>
      <c r="E36" s="160">
        <f t="shared" si="4"/>
        <v>678517.30999999994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>
        <v>654517.30999999994</v>
      </c>
      <c r="S36" s="160">
        <v>24000</v>
      </c>
      <c r="T36" s="160"/>
      <c r="U36" s="94">
        <v>1</v>
      </c>
      <c r="V36" s="117">
        <f t="shared" si="2"/>
        <v>0</v>
      </c>
    </row>
    <row r="37" spans="1:22" x14ac:dyDescent="0.25">
      <c r="A37" s="158">
        <f t="shared" si="3"/>
        <v>25</v>
      </c>
      <c r="B37" s="158">
        <f t="shared" si="3"/>
        <v>25</v>
      </c>
      <c r="C37" s="77" t="s">
        <v>545</v>
      </c>
      <c r="D37" s="159" t="s">
        <v>1044</v>
      </c>
      <c r="E37" s="160">
        <f t="shared" si="4"/>
        <v>626355.59000000008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>
        <v>602355.59000000008</v>
      </c>
      <c r="S37" s="160">
        <v>24000</v>
      </c>
      <c r="T37" s="160"/>
      <c r="U37" s="94">
        <v>1</v>
      </c>
      <c r="V37" s="117">
        <f t="shared" si="2"/>
        <v>0</v>
      </c>
    </row>
    <row r="38" spans="1:22" x14ac:dyDescent="0.25">
      <c r="A38" s="158">
        <f t="shared" si="3"/>
        <v>26</v>
      </c>
      <c r="B38" s="158">
        <f t="shared" si="3"/>
        <v>26</v>
      </c>
      <c r="C38" s="77" t="s">
        <v>545</v>
      </c>
      <c r="D38" s="159" t="s">
        <v>1045</v>
      </c>
      <c r="E38" s="160">
        <f t="shared" si="4"/>
        <v>612556.79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>
        <v>588556.79</v>
      </c>
      <c r="S38" s="160">
        <v>24000</v>
      </c>
      <c r="T38" s="160"/>
      <c r="U38" s="94">
        <v>1</v>
      </c>
      <c r="V38" s="117">
        <f t="shared" si="2"/>
        <v>0</v>
      </c>
    </row>
    <row r="39" spans="1:22" x14ac:dyDescent="0.25">
      <c r="A39" s="158">
        <f t="shared" si="3"/>
        <v>27</v>
      </c>
      <c r="B39" s="158">
        <f t="shared" si="3"/>
        <v>27</v>
      </c>
      <c r="C39" s="77" t="s">
        <v>545</v>
      </c>
      <c r="D39" s="159" t="s">
        <v>1046</v>
      </c>
      <c r="E39" s="160">
        <f t="shared" si="4"/>
        <v>613418.62000000011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>
        <v>589418.62000000011</v>
      </c>
      <c r="S39" s="160">
        <v>24000</v>
      </c>
      <c r="T39" s="160"/>
      <c r="U39" s="94">
        <v>1</v>
      </c>
      <c r="V39" s="117">
        <f t="shared" si="2"/>
        <v>0</v>
      </c>
    </row>
    <row r="40" spans="1:22" x14ac:dyDescent="0.25">
      <c r="A40" s="158">
        <f t="shared" si="3"/>
        <v>28</v>
      </c>
      <c r="B40" s="158">
        <f t="shared" si="3"/>
        <v>28</v>
      </c>
      <c r="C40" s="77" t="s">
        <v>545</v>
      </c>
      <c r="D40" s="159" t="s">
        <v>1047</v>
      </c>
      <c r="E40" s="160">
        <f t="shared" si="4"/>
        <v>254259.8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>
        <v>230259.8</v>
      </c>
      <c r="S40" s="160">
        <v>24000</v>
      </c>
      <c r="T40" s="160"/>
      <c r="U40" s="94">
        <v>1</v>
      </c>
      <c r="V40" s="117">
        <f t="shared" si="2"/>
        <v>0</v>
      </c>
    </row>
    <row r="41" spans="1:22" x14ac:dyDescent="0.25">
      <c r="A41" s="158">
        <f t="shared" si="3"/>
        <v>29</v>
      </c>
      <c r="B41" s="158">
        <f t="shared" si="3"/>
        <v>29</v>
      </c>
      <c r="C41" s="77" t="s">
        <v>545</v>
      </c>
      <c r="D41" s="159" t="s">
        <v>1048</v>
      </c>
      <c r="E41" s="160">
        <f t="shared" si="4"/>
        <v>228321.53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>
        <v>204321.53</v>
      </c>
      <c r="S41" s="160">
        <v>24000</v>
      </c>
      <c r="T41" s="160"/>
      <c r="U41" s="94">
        <v>1</v>
      </c>
      <c r="V41" s="117">
        <f t="shared" si="2"/>
        <v>0</v>
      </c>
    </row>
    <row r="42" spans="1:22" x14ac:dyDescent="0.25">
      <c r="A42" s="158">
        <f t="shared" si="3"/>
        <v>30</v>
      </c>
      <c r="B42" s="158">
        <f t="shared" si="3"/>
        <v>30</v>
      </c>
      <c r="C42" s="77" t="s">
        <v>545</v>
      </c>
      <c r="D42" s="159" t="s">
        <v>1049</v>
      </c>
      <c r="E42" s="160">
        <f t="shared" si="4"/>
        <v>322420.25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>
        <v>314420.25</v>
      </c>
      <c r="S42" s="160">
        <v>8000</v>
      </c>
      <c r="T42" s="160"/>
      <c r="U42" s="94">
        <v>1</v>
      </c>
      <c r="V42" s="117">
        <f t="shared" si="2"/>
        <v>0</v>
      </c>
    </row>
    <row r="43" spans="1:22" x14ac:dyDescent="0.25">
      <c r="A43" s="158">
        <f t="shared" si="3"/>
        <v>31</v>
      </c>
      <c r="B43" s="158">
        <f t="shared" si="3"/>
        <v>31</v>
      </c>
      <c r="C43" s="77" t="s">
        <v>545</v>
      </c>
      <c r="D43" s="159" t="s">
        <v>1050</v>
      </c>
      <c r="E43" s="160">
        <f t="shared" si="4"/>
        <v>269093.41000000003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>
        <v>245093.41000000003</v>
      </c>
      <c r="S43" s="160">
        <v>24000</v>
      </c>
      <c r="T43" s="160"/>
      <c r="U43" s="94">
        <v>1</v>
      </c>
      <c r="V43" s="117">
        <f t="shared" si="2"/>
        <v>0</v>
      </c>
    </row>
    <row r="44" spans="1:22" x14ac:dyDescent="0.25">
      <c r="A44" s="158">
        <f t="shared" si="3"/>
        <v>32</v>
      </c>
      <c r="B44" s="158">
        <f t="shared" si="3"/>
        <v>32</v>
      </c>
      <c r="C44" s="77" t="s">
        <v>545</v>
      </c>
      <c r="D44" s="159" t="s">
        <v>1051</v>
      </c>
      <c r="E44" s="160">
        <f t="shared" si="4"/>
        <v>268599.84999999998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>
        <v>244599.84999999998</v>
      </c>
      <c r="S44" s="160">
        <v>24000</v>
      </c>
      <c r="T44" s="160"/>
      <c r="U44" s="94">
        <v>1</v>
      </c>
      <c r="V44" s="117">
        <f t="shared" si="2"/>
        <v>0</v>
      </c>
    </row>
    <row r="45" spans="1:22" x14ac:dyDescent="0.25">
      <c r="A45" s="158">
        <f t="shared" si="3"/>
        <v>33</v>
      </c>
      <c r="B45" s="158">
        <f t="shared" si="3"/>
        <v>33</v>
      </c>
      <c r="C45" s="77" t="s">
        <v>545</v>
      </c>
      <c r="D45" s="159" t="s">
        <v>911</v>
      </c>
      <c r="E45" s="160">
        <f t="shared" si="4"/>
        <v>863995.04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>
        <v>829995.04</v>
      </c>
      <c r="S45" s="160">
        <v>34000</v>
      </c>
      <c r="T45" s="160"/>
      <c r="U45" s="94">
        <v>1</v>
      </c>
      <c r="V45" s="117">
        <f t="shared" si="2"/>
        <v>0</v>
      </c>
    </row>
    <row r="46" spans="1:22" x14ac:dyDescent="0.25">
      <c r="A46" s="158">
        <f t="shared" si="3"/>
        <v>34</v>
      </c>
      <c r="B46" s="158">
        <f t="shared" si="3"/>
        <v>34</v>
      </c>
      <c r="C46" s="77" t="s">
        <v>545</v>
      </c>
      <c r="D46" s="159" t="s">
        <v>1052</v>
      </c>
      <c r="E46" s="160">
        <f t="shared" si="4"/>
        <v>322757.76000000001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>
        <v>314757.76000000001</v>
      </c>
      <c r="S46" s="160">
        <v>8000</v>
      </c>
      <c r="T46" s="160"/>
      <c r="U46" s="94">
        <v>1</v>
      </c>
      <c r="V46" s="117">
        <f t="shared" si="2"/>
        <v>0</v>
      </c>
    </row>
    <row r="47" spans="1:22" x14ac:dyDescent="0.25">
      <c r="A47" s="158">
        <f t="shared" si="3"/>
        <v>35</v>
      </c>
      <c r="B47" s="158">
        <f t="shared" si="3"/>
        <v>35</v>
      </c>
      <c r="C47" s="77" t="s">
        <v>545</v>
      </c>
      <c r="D47" s="159" t="s">
        <v>1053</v>
      </c>
      <c r="E47" s="160">
        <f t="shared" si="4"/>
        <v>332755.06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>
        <v>324755.06</v>
      </c>
      <c r="S47" s="160">
        <v>8000</v>
      </c>
      <c r="T47" s="160"/>
      <c r="U47" s="94">
        <v>1</v>
      </c>
      <c r="V47" s="117">
        <f t="shared" si="2"/>
        <v>0</v>
      </c>
    </row>
    <row r="48" spans="1:22" x14ac:dyDescent="0.25">
      <c r="A48" s="158">
        <f t="shared" si="3"/>
        <v>36</v>
      </c>
      <c r="B48" s="158">
        <f t="shared" si="3"/>
        <v>36</v>
      </c>
      <c r="C48" s="77" t="s">
        <v>545</v>
      </c>
      <c r="D48" s="159" t="s">
        <v>1054</v>
      </c>
      <c r="E48" s="160">
        <f t="shared" si="4"/>
        <v>998050.20000000019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>
        <v>988050.20000000019</v>
      </c>
      <c r="S48" s="160">
        <v>10000</v>
      </c>
      <c r="T48" s="160"/>
      <c r="U48" s="94">
        <v>1</v>
      </c>
      <c r="V48" s="117">
        <f t="shared" si="2"/>
        <v>0</v>
      </c>
    </row>
    <row r="49" spans="1:22" x14ac:dyDescent="0.25">
      <c r="A49" s="158">
        <f t="shared" si="3"/>
        <v>37</v>
      </c>
      <c r="B49" s="158">
        <f t="shared" si="3"/>
        <v>37</v>
      </c>
      <c r="C49" s="77" t="s">
        <v>545</v>
      </c>
      <c r="D49" s="159" t="s">
        <v>1055</v>
      </c>
      <c r="E49" s="160">
        <f t="shared" si="4"/>
        <v>460868.39999999997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>
        <v>452868.39999999997</v>
      </c>
      <c r="S49" s="160">
        <v>8000</v>
      </c>
      <c r="T49" s="160"/>
      <c r="U49" s="94">
        <v>1</v>
      </c>
      <c r="V49" s="117">
        <f t="shared" si="2"/>
        <v>0</v>
      </c>
    </row>
    <row r="50" spans="1:22" x14ac:dyDescent="0.25">
      <c r="A50" s="158">
        <f t="shared" si="3"/>
        <v>38</v>
      </c>
      <c r="B50" s="158">
        <f t="shared" si="3"/>
        <v>38</v>
      </c>
      <c r="C50" s="77" t="s">
        <v>545</v>
      </c>
      <c r="D50" s="159" t="s">
        <v>1056</v>
      </c>
      <c r="E50" s="160">
        <f t="shared" si="4"/>
        <v>796517.34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>
        <v>786517.34</v>
      </c>
      <c r="S50" s="160">
        <v>10000</v>
      </c>
      <c r="T50" s="160"/>
      <c r="U50" s="94">
        <v>1</v>
      </c>
      <c r="V50" s="117">
        <f t="shared" si="2"/>
        <v>0</v>
      </c>
    </row>
    <row r="51" spans="1:22" x14ac:dyDescent="0.25">
      <c r="A51" s="158">
        <f t="shared" si="3"/>
        <v>39</v>
      </c>
      <c r="B51" s="158">
        <f t="shared" si="3"/>
        <v>39</v>
      </c>
      <c r="C51" s="77" t="s">
        <v>545</v>
      </c>
      <c r="D51" s="159" t="s">
        <v>1057</v>
      </c>
      <c r="E51" s="160">
        <f t="shared" si="4"/>
        <v>382753.72860983951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>
        <v>358753.72860983951</v>
      </c>
      <c r="S51" s="160">
        <v>24000</v>
      </c>
      <c r="T51" s="160"/>
      <c r="U51" s="94">
        <v>1</v>
      </c>
      <c r="V51" s="117">
        <f t="shared" si="2"/>
        <v>0</v>
      </c>
    </row>
    <row r="52" spans="1:22" x14ac:dyDescent="0.25">
      <c r="A52" s="158">
        <f t="shared" si="3"/>
        <v>40</v>
      </c>
      <c r="B52" s="158">
        <f t="shared" si="3"/>
        <v>40</v>
      </c>
      <c r="C52" s="77" t="s">
        <v>545</v>
      </c>
      <c r="D52" s="159" t="s">
        <v>923</v>
      </c>
      <c r="E52" s="160">
        <f t="shared" si="4"/>
        <v>1418184.5214474853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>
        <v>1384184.5214474853</v>
      </c>
      <c r="S52" s="160">
        <v>34000</v>
      </c>
      <c r="T52" s="160"/>
      <c r="U52" s="94">
        <v>1</v>
      </c>
      <c r="V52" s="117">
        <f t="shared" si="2"/>
        <v>0</v>
      </c>
    </row>
    <row r="53" spans="1:22" x14ac:dyDescent="0.25">
      <c r="A53" s="158">
        <f t="shared" si="3"/>
        <v>41</v>
      </c>
      <c r="B53" s="158">
        <f t="shared" si="3"/>
        <v>41</v>
      </c>
      <c r="C53" s="77" t="s">
        <v>545</v>
      </c>
      <c r="D53" s="159" t="s">
        <v>1058</v>
      </c>
      <c r="E53" s="160">
        <f t="shared" si="4"/>
        <v>706531.21580926236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>
        <v>682531.21580926236</v>
      </c>
      <c r="S53" s="160">
        <v>24000</v>
      </c>
      <c r="T53" s="160"/>
      <c r="U53" s="94">
        <v>1</v>
      </c>
      <c r="V53" s="117">
        <f t="shared" si="2"/>
        <v>0</v>
      </c>
    </row>
    <row r="54" spans="1:22" x14ac:dyDescent="0.25">
      <c r="A54" s="158">
        <f t="shared" si="3"/>
        <v>42</v>
      </c>
      <c r="B54" s="158">
        <f t="shared" si="3"/>
        <v>42</v>
      </c>
      <c r="C54" s="77" t="s">
        <v>545</v>
      </c>
      <c r="D54" s="159" t="s">
        <v>1059</v>
      </c>
      <c r="E54" s="160">
        <f t="shared" si="4"/>
        <v>469117.85018307797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>
        <v>445117.85018307797</v>
      </c>
      <c r="S54" s="160">
        <v>24000</v>
      </c>
      <c r="T54" s="160"/>
      <c r="U54" s="94">
        <v>1</v>
      </c>
      <c r="V54" s="117">
        <f t="shared" si="2"/>
        <v>0</v>
      </c>
    </row>
    <row r="55" spans="1:22" x14ac:dyDescent="0.25">
      <c r="A55" s="158">
        <f t="shared" si="3"/>
        <v>43</v>
      </c>
      <c r="B55" s="158">
        <f t="shared" si="3"/>
        <v>43</v>
      </c>
      <c r="C55" s="77" t="s">
        <v>545</v>
      </c>
      <c r="D55" s="159" t="s">
        <v>926</v>
      </c>
      <c r="E55" s="160">
        <f t="shared" si="4"/>
        <v>1383529.4714977562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>
        <v>1335529.4714977562</v>
      </c>
      <c r="S55" s="160">
        <v>48000</v>
      </c>
      <c r="T55" s="160"/>
      <c r="U55" s="94">
        <v>1</v>
      </c>
      <c r="V55" s="117">
        <f t="shared" si="2"/>
        <v>0</v>
      </c>
    </row>
    <row r="56" spans="1:22" x14ac:dyDescent="0.25">
      <c r="A56" s="158">
        <f t="shared" si="3"/>
        <v>44</v>
      </c>
      <c r="B56" s="158">
        <f t="shared" si="3"/>
        <v>44</v>
      </c>
      <c r="C56" s="77" t="s">
        <v>545</v>
      </c>
      <c r="D56" s="159" t="s">
        <v>1060</v>
      </c>
      <c r="E56" s="160">
        <f t="shared" si="4"/>
        <v>450951.80070266448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>
        <v>426951.80070266448</v>
      </c>
      <c r="S56" s="160">
        <v>24000</v>
      </c>
      <c r="T56" s="160"/>
      <c r="U56" s="94">
        <v>1</v>
      </c>
      <c r="V56" s="117">
        <f t="shared" si="2"/>
        <v>0</v>
      </c>
    </row>
    <row r="57" spans="1:22" x14ac:dyDescent="0.25">
      <c r="A57" s="158">
        <f t="shared" si="3"/>
        <v>45</v>
      </c>
      <c r="B57" s="158">
        <f t="shared" si="3"/>
        <v>45</v>
      </c>
      <c r="C57" s="77" t="s">
        <v>545</v>
      </c>
      <c r="D57" s="159" t="s">
        <v>931</v>
      </c>
      <c r="E57" s="160">
        <f t="shared" si="4"/>
        <v>427851.16874364635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>
        <v>393851.16874364635</v>
      </c>
      <c r="S57" s="160">
        <v>34000</v>
      </c>
      <c r="T57" s="160"/>
      <c r="U57" s="94">
        <v>1</v>
      </c>
      <c r="V57" s="117">
        <f t="shared" si="2"/>
        <v>0</v>
      </c>
    </row>
    <row r="58" spans="1:22" x14ac:dyDescent="0.25">
      <c r="A58" s="158">
        <f t="shared" si="3"/>
        <v>46</v>
      </c>
      <c r="B58" s="158">
        <f t="shared" si="3"/>
        <v>46</v>
      </c>
      <c r="C58" s="77" t="s">
        <v>545</v>
      </c>
      <c r="D58" s="159" t="s">
        <v>934</v>
      </c>
      <c r="E58" s="160">
        <f t="shared" si="4"/>
        <v>1329258.7059235161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>
        <v>1295258.7059235161</v>
      </c>
      <c r="S58" s="160">
        <v>34000</v>
      </c>
      <c r="T58" s="160"/>
      <c r="U58" s="94">
        <v>1</v>
      </c>
      <c r="V58" s="117">
        <f t="shared" si="2"/>
        <v>0</v>
      </c>
    </row>
    <row r="59" spans="1:22" x14ac:dyDescent="0.25">
      <c r="A59" s="158">
        <f t="shared" si="3"/>
        <v>47</v>
      </c>
      <c r="B59" s="158">
        <f t="shared" si="3"/>
        <v>47</v>
      </c>
      <c r="C59" s="77" t="s">
        <v>545</v>
      </c>
      <c r="D59" s="159" t="s">
        <v>935</v>
      </c>
      <c r="E59" s="160">
        <f t="shared" si="4"/>
        <v>1434629.2921652414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>
        <v>1400629.2921652414</v>
      </c>
      <c r="S59" s="160">
        <v>34000</v>
      </c>
      <c r="T59" s="160"/>
      <c r="U59" s="94">
        <v>1</v>
      </c>
      <c r="V59" s="117">
        <f t="shared" si="2"/>
        <v>0</v>
      </c>
    </row>
    <row r="60" spans="1:22" x14ac:dyDescent="0.25">
      <c r="A60" s="158">
        <f t="shared" si="3"/>
        <v>48</v>
      </c>
      <c r="B60" s="158">
        <f t="shared" si="3"/>
        <v>48</v>
      </c>
      <c r="C60" s="77" t="s">
        <v>545</v>
      </c>
      <c r="D60" s="159" t="s">
        <v>1061</v>
      </c>
      <c r="E60" s="160">
        <f t="shared" si="4"/>
        <v>451412.75421461329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>
        <v>427412.75421461329</v>
      </c>
      <c r="S60" s="160">
        <v>24000</v>
      </c>
      <c r="T60" s="160"/>
      <c r="U60" s="94">
        <v>1</v>
      </c>
      <c r="V60" s="117">
        <f t="shared" si="2"/>
        <v>0</v>
      </c>
    </row>
    <row r="61" spans="1:22" x14ac:dyDescent="0.25">
      <c r="A61" s="158">
        <f t="shared" si="3"/>
        <v>49</v>
      </c>
      <c r="B61" s="158">
        <f t="shared" si="3"/>
        <v>49</v>
      </c>
      <c r="C61" s="77" t="s">
        <v>545</v>
      </c>
      <c r="D61" s="159" t="s">
        <v>1062</v>
      </c>
      <c r="E61" s="160">
        <f t="shared" si="4"/>
        <v>267582.33999999997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>
        <v>243582.33999999997</v>
      </c>
      <c r="S61" s="160">
        <v>24000</v>
      </c>
      <c r="T61" s="160"/>
      <c r="U61" s="94">
        <v>1</v>
      </c>
      <c r="V61" s="117">
        <f t="shared" si="2"/>
        <v>0</v>
      </c>
    </row>
    <row r="62" spans="1:22" x14ac:dyDescent="0.25">
      <c r="A62" s="158">
        <f t="shared" si="3"/>
        <v>50</v>
      </c>
      <c r="B62" s="158">
        <f t="shared" si="3"/>
        <v>50</v>
      </c>
      <c r="C62" s="77" t="s">
        <v>545</v>
      </c>
      <c r="D62" s="153" t="s">
        <v>1137</v>
      </c>
      <c r="E62" s="160">
        <f t="shared" si="4"/>
        <v>477598.53011454962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>
        <v>453598.53011454962</v>
      </c>
      <c r="S62" s="160">
        <v>24000</v>
      </c>
      <c r="T62" s="160"/>
    </row>
    <row r="63" spans="1:22" x14ac:dyDescent="0.25">
      <c r="A63" s="158">
        <f t="shared" si="3"/>
        <v>51</v>
      </c>
      <c r="B63" s="158">
        <f t="shared" si="3"/>
        <v>51</v>
      </c>
      <c r="C63" s="77" t="s">
        <v>545</v>
      </c>
      <c r="D63" s="159" t="s">
        <v>893</v>
      </c>
      <c r="E63" s="160">
        <f t="shared" si="1"/>
        <v>1292424.21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>
        <v>1282424.21</v>
      </c>
      <c r="S63" s="160">
        <v>10000</v>
      </c>
      <c r="T63" s="160"/>
      <c r="U63" s="94">
        <v>1</v>
      </c>
      <c r="V63" s="117">
        <f t="shared" si="2"/>
        <v>0</v>
      </c>
    </row>
    <row r="64" spans="1:22" x14ac:dyDescent="0.25">
      <c r="A64" s="158">
        <f t="shared" si="3"/>
        <v>52</v>
      </c>
      <c r="B64" s="158">
        <f t="shared" si="3"/>
        <v>52</v>
      </c>
      <c r="C64" s="77" t="s">
        <v>545</v>
      </c>
      <c r="D64" s="159" t="s">
        <v>894</v>
      </c>
      <c r="E64" s="160">
        <f t="shared" si="1"/>
        <v>1060645.6500000001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>
        <v>1036645.6500000001</v>
      </c>
      <c r="S64" s="160">
        <v>24000</v>
      </c>
      <c r="T64" s="160"/>
      <c r="U64" s="94">
        <v>1</v>
      </c>
      <c r="V64" s="117">
        <f t="shared" si="2"/>
        <v>0</v>
      </c>
    </row>
    <row r="65" spans="1:22" x14ac:dyDescent="0.25">
      <c r="A65" s="158">
        <f t="shared" si="3"/>
        <v>53</v>
      </c>
      <c r="B65" s="158">
        <f t="shared" si="3"/>
        <v>53</v>
      </c>
      <c r="C65" s="77" t="s">
        <v>545</v>
      </c>
      <c r="D65" s="159" t="s">
        <v>895</v>
      </c>
      <c r="E65" s="160">
        <f t="shared" si="1"/>
        <v>747051.57000000007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>
        <v>723051.57000000007</v>
      </c>
      <c r="S65" s="160">
        <v>24000</v>
      </c>
      <c r="T65" s="160"/>
      <c r="U65" s="94">
        <v>1</v>
      </c>
      <c r="V65" s="117">
        <f t="shared" si="2"/>
        <v>0</v>
      </c>
    </row>
    <row r="66" spans="1:22" x14ac:dyDescent="0.25">
      <c r="A66" s="158">
        <f t="shared" si="3"/>
        <v>54</v>
      </c>
      <c r="B66" s="158">
        <f t="shared" si="3"/>
        <v>54</v>
      </c>
      <c r="C66" s="77" t="s">
        <v>545</v>
      </c>
      <c r="D66" s="159" t="s">
        <v>896</v>
      </c>
      <c r="E66" s="160">
        <f t="shared" si="1"/>
        <v>309619.23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>
        <v>285619.23</v>
      </c>
      <c r="S66" s="160">
        <v>24000</v>
      </c>
      <c r="T66" s="160"/>
      <c r="U66" s="94">
        <v>1</v>
      </c>
      <c r="V66" s="117">
        <f t="shared" si="2"/>
        <v>0</v>
      </c>
    </row>
    <row r="67" spans="1:22" x14ac:dyDescent="0.25">
      <c r="A67" s="158">
        <f t="shared" si="3"/>
        <v>55</v>
      </c>
      <c r="B67" s="158">
        <f t="shared" si="3"/>
        <v>55</v>
      </c>
      <c r="C67" s="77" t="s">
        <v>545</v>
      </c>
      <c r="D67" s="159" t="s">
        <v>897</v>
      </c>
      <c r="E67" s="160">
        <f t="shared" si="1"/>
        <v>579578.69999999995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>
        <v>555578.69999999995</v>
      </c>
      <c r="S67" s="160">
        <v>24000</v>
      </c>
      <c r="T67" s="160"/>
      <c r="U67" s="94">
        <v>1</v>
      </c>
      <c r="V67" s="117">
        <f t="shared" si="2"/>
        <v>0</v>
      </c>
    </row>
    <row r="68" spans="1:22" x14ac:dyDescent="0.25">
      <c r="A68" s="158">
        <f t="shared" si="3"/>
        <v>56</v>
      </c>
      <c r="B68" s="158">
        <f t="shared" si="3"/>
        <v>56</v>
      </c>
      <c r="C68" s="77" t="s">
        <v>545</v>
      </c>
      <c r="D68" s="159" t="s">
        <v>898</v>
      </c>
      <c r="E68" s="160">
        <f t="shared" si="1"/>
        <v>347451.22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>
        <v>323451.21999999997</v>
      </c>
      <c r="S68" s="160">
        <v>24000</v>
      </c>
      <c r="T68" s="160"/>
      <c r="U68" s="94">
        <v>1</v>
      </c>
      <c r="V68" s="117">
        <f t="shared" si="2"/>
        <v>0</v>
      </c>
    </row>
    <row r="69" spans="1:22" x14ac:dyDescent="0.25">
      <c r="A69" s="158">
        <f t="shared" si="3"/>
        <v>57</v>
      </c>
      <c r="B69" s="158">
        <f t="shared" si="3"/>
        <v>57</v>
      </c>
      <c r="C69" s="77" t="s">
        <v>545</v>
      </c>
      <c r="D69" s="159" t="s">
        <v>900</v>
      </c>
      <c r="E69" s="160">
        <f t="shared" si="1"/>
        <v>400458.23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>
        <v>376458.23</v>
      </c>
      <c r="S69" s="160">
        <v>24000</v>
      </c>
      <c r="T69" s="160"/>
      <c r="U69" s="94">
        <v>1</v>
      </c>
      <c r="V69" s="117">
        <f t="shared" si="2"/>
        <v>0</v>
      </c>
    </row>
    <row r="70" spans="1:22" x14ac:dyDescent="0.25">
      <c r="A70" s="158">
        <f t="shared" si="3"/>
        <v>58</v>
      </c>
      <c r="B70" s="158">
        <f t="shared" si="3"/>
        <v>58</v>
      </c>
      <c r="C70" s="77" t="s">
        <v>545</v>
      </c>
      <c r="D70" s="159" t="s">
        <v>901</v>
      </c>
      <c r="E70" s="160">
        <f t="shared" si="1"/>
        <v>644109.07000000007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>
        <v>620109.07000000007</v>
      </c>
      <c r="S70" s="160">
        <v>24000</v>
      </c>
      <c r="T70" s="160"/>
      <c r="U70" s="94">
        <v>1</v>
      </c>
      <c r="V70" s="117">
        <f t="shared" si="2"/>
        <v>0</v>
      </c>
    </row>
    <row r="71" spans="1:22" x14ac:dyDescent="0.25">
      <c r="A71" s="158">
        <f t="shared" si="3"/>
        <v>59</v>
      </c>
      <c r="B71" s="158">
        <f t="shared" si="3"/>
        <v>59</v>
      </c>
      <c r="C71" s="77" t="s">
        <v>545</v>
      </c>
      <c r="D71" s="159" t="s">
        <v>902</v>
      </c>
      <c r="E71" s="160">
        <f t="shared" si="1"/>
        <v>645433.58000000007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>
        <v>621433.58000000007</v>
      </c>
      <c r="S71" s="160">
        <v>24000</v>
      </c>
      <c r="T71" s="160"/>
      <c r="U71" s="94">
        <v>1</v>
      </c>
      <c r="V71" s="117">
        <f t="shared" si="2"/>
        <v>0</v>
      </c>
    </row>
    <row r="72" spans="1:22" x14ac:dyDescent="0.25">
      <c r="A72" s="158">
        <f t="shared" si="3"/>
        <v>60</v>
      </c>
      <c r="B72" s="158">
        <f t="shared" si="3"/>
        <v>60</v>
      </c>
      <c r="C72" s="77" t="s">
        <v>545</v>
      </c>
      <c r="D72" s="159" t="s">
        <v>903</v>
      </c>
      <c r="E72" s="160">
        <f t="shared" si="1"/>
        <v>489797.92999999993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>
        <v>465797.92999999993</v>
      </c>
      <c r="S72" s="160">
        <v>24000</v>
      </c>
      <c r="T72" s="160"/>
      <c r="U72" s="94">
        <v>1</v>
      </c>
      <c r="V72" s="117">
        <f t="shared" si="2"/>
        <v>0</v>
      </c>
    </row>
    <row r="73" spans="1:22" x14ac:dyDescent="0.25">
      <c r="A73" s="158">
        <f t="shared" si="3"/>
        <v>61</v>
      </c>
      <c r="B73" s="158">
        <f t="shared" si="3"/>
        <v>61</v>
      </c>
      <c r="C73" s="77" t="s">
        <v>545</v>
      </c>
      <c r="D73" s="159" t="s">
        <v>904</v>
      </c>
      <c r="E73" s="160">
        <f t="shared" si="1"/>
        <v>510180.1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>
        <v>500180.1</v>
      </c>
      <c r="S73" s="160">
        <v>10000</v>
      </c>
      <c r="T73" s="160"/>
      <c r="U73" s="94">
        <v>1</v>
      </c>
      <c r="V73" s="117">
        <f t="shared" si="2"/>
        <v>0</v>
      </c>
    </row>
    <row r="74" spans="1:22" x14ac:dyDescent="0.25">
      <c r="A74" s="158">
        <f t="shared" si="3"/>
        <v>62</v>
      </c>
      <c r="B74" s="158">
        <f t="shared" si="3"/>
        <v>62</v>
      </c>
      <c r="C74" s="77" t="s">
        <v>545</v>
      </c>
      <c r="D74" s="159" t="s">
        <v>906</v>
      </c>
      <c r="E74" s="160">
        <f t="shared" si="1"/>
        <v>291856.58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>
        <v>267856.58</v>
      </c>
      <c r="S74" s="160">
        <v>24000</v>
      </c>
      <c r="T74" s="160"/>
      <c r="U74" s="94">
        <v>1</v>
      </c>
      <c r="V74" s="117">
        <f t="shared" si="2"/>
        <v>0</v>
      </c>
    </row>
    <row r="75" spans="1:22" x14ac:dyDescent="0.25">
      <c r="A75" s="158">
        <f t="shared" si="3"/>
        <v>63</v>
      </c>
      <c r="B75" s="158">
        <f t="shared" si="3"/>
        <v>63</v>
      </c>
      <c r="C75" s="77" t="s">
        <v>545</v>
      </c>
      <c r="D75" s="159" t="s">
        <v>909</v>
      </c>
      <c r="E75" s="160">
        <f t="shared" si="1"/>
        <v>628730.09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>
        <v>604730.09</v>
      </c>
      <c r="S75" s="160">
        <v>24000</v>
      </c>
      <c r="T75" s="160"/>
      <c r="U75" s="94">
        <v>1</v>
      </c>
      <c r="V75" s="117">
        <f t="shared" si="2"/>
        <v>0</v>
      </c>
    </row>
    <row r="76" spans="1:22" x14ac:dyDescent="0.25">
      <c r="A76" s="158">
        <f t="shared" si="3"/>
        <v>64</v>
      </c>
      <c r="B76" s="158">
        <f t="shared" si="3"/>
        <v>64</v>
      </c>
      <c r="C76" s="77" t="s">
        <v>545</v>
      </c>
      <c r="D76" s="159" t="s">
        <v>910</v>
      </c>
      <c r="E76" s="160">
        <f t="shared" si="1"/>
        <v>679433.91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>
        <v>669433.91</v>
      </c>
      <c r="S76" s="160">
        <v>10000</v>
      </c>
      <c r="T76" s="160"/>
      <c r="U76" s="94">
        <v>1</v>
      </c>
      <c r="V76" s="117">
        <f t="shared" si="2"/>
        <v>0</v>
      </c>
    </row>
    <row r="77" spans="1:22" x14ac:dyDescent="0.25">
      <c r="A77" s="158">
        <f t="shared" si="3"/>
        <v>65</v>
      </c>
      <c r="B77" s="158">
        <f t="shared" si="3"/>
        <v>65</v>
      </c>
      <c r="C77" s="77" t="s">
        <v>545</v>
      </c>
      <c r="D77" s="159" t="s">
        <v>912</v>
      </c>
      <c r="E77" s="160">
        <f t="shared" si="1"/>
        <v>352064.63038420893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>
        <v>328064.63038420893</v>
      </c>
      <c r="S77" s="160">
        <v>24000</v>
      </c>
      <c r="T77" s="160"/>
      <c r="U77" s="94">
        <v>1</v>
      </c>
      <c r="V77" s="117">
        <f t="shared" si="2"/>
        <v>0</v>
      </c>
    </row>
    <row r="78" spans="1:22" x14ac:dyDescent="0.25">
      <c r="A78" s="158">
        <f t="shared" si="3"/>
        <v>66</v>
      </c>
      <c r="B78" s="158">
        <f t="shared" si="3"/>
        <v>66</v>
      </c>
      <c r="C78" s="77" t="s">
        <v>545</v>
      </c>
      <c r="D78" s="159" t="s">
        <v>913</v>
      </c>
      <c r="E78" s="160">
        <f t="shared" si="1"/>
        <v>355412.14547568292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>
        <v>331412.14547568292</v>
      </c>
      <c r="S78" s="160">
        <v>24000</v>
      </c>
      <c r="T78" s="160"/>
      <c r="U78" s="94">
        <v>1</v>
      </c>
      <c r="V78" s="117">
        <f t="shared" si="2"/>
        <v>0</v>
      </c>
    </row>
    <row r="79" spans="1:22" x14ac:dyDescent="0.25">
      <c r="A79" s="158">
        <f t="shared" ref="A79:B141" si="5">+A78+1</f>
        <v>67</v>
      </c>
      <c r="B79" s="158">
        <f t="shared" si="5"/>
        <v>67</v>
      </c>
      <c r="C79" s="77" t="s">
        <v>545</v>
      </c>
      <c r="D79" s="159" t="s">
        <v>914</v>
      </c>
      <c r="E79" s="160">
        <f t="shared" si="1"/>
        <v>354985.9572117221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>
        <v>330985.9572117221</v>
      </c>
      <c r="S79" s="160">
        <v>24000</v>
      </c>
      <c r="T79" s="160"/>
      <c r="U79" s="94">
        <v>1</v>
      </c>
      <c r="V79" s="117">
        <f t="shared" si="2"/>
        <v>0</v>
      </c>
    </row>
    <row r="80" spans="1:22" x14ac:dyDescent="0.25">
      <c r="A80" s="158">
        <f t="shared" si="5"/>
        <v>68</v>
      </c>
      <c r="B80" s="158">
        <f t="shared" si="5"/>
        <v>68</v>
      </c>
      <c r="C80" s="77" t="s">
        <v>545</v>
      </c>
      <c r="D80" s="159" t="s">
        <v>915</v>
      </c>
      <c r="E80" s="160">
        <f t="shared" si="1"/>
        <v>330088.81371888478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>
        <v>306088.81371888478</v>
      </c>
      <c r="S80" s="160">
        <v>24000</v>
      </c>
      <c r="T80" s="160"/>
      <c r="U80" s="94">
        <v>1</v>
      </c>
      <c r="V80" s="117">
        <f t="shared" si="2"/>
        <v>0</v>
      </c>
    </row>
    <row r="81" spans="1:22" x14ac:dyDescent="0.25">
      <c r="A81" s="158">
        <f t="shared" si="5"/>
        <v>69</v>
      </c>
      <c r="B81" s="158">
        <f t="shared" si="5"/>
        <v>69</v>
      </c>
      <c r="C81" s="77" t="s">
        <v>545</v>
      </c>
      <c r="D81" s="159" t="s">
        <v>916</v>
      </c>
      <c r="E81" s="160">
        <f t="shared" si="1"/>
        <v>364408.59228401899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>
        <v>340408.59228401899</v>
      </c>
      <c r="S81" s="160">
        <v>24000</v>
      </c>
      <c r="T81" s="160"/>
      <c r="U81" s="94">
        <v>1</v>
      </c>
      <c r="V81" s="117">
        <f t="shared" si="2"/>
        <v>0</v>
      </c>
    </row>
    <row r="82" spans="1:22" x14ac:dyDescent="0.25">
      <c r="A82" s="158">
        <f t="shared" si="5"/>
        <v>70</v>
      </c>
      <c r="B82" s="158">
        <f t="shared" si="5"/>
        <v>70</v>
      </c>
      <c r="C82" s="77" t="s">
        <v>545</v>
      </c>
      <c r="D82" s="159" t="s">
        <v>917</v>
      </c>
      <c r="E82" s="160">
        <f t="shared" si="1"/>
        <v>382905.16293991776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>
        <v>358905.16293991776</v>
      </c>
      <c r="S82" s="160">
        <v>24000</v>
      </c>
      <c r="T82" s="160"/>
      <c r="U82" s="94">
        <v>1</v>
      </c>
      <c r="V82" s="117">
        <f t="shared" si="2"/>
        <v>0</v>
      </c>
    </row>
    <row r="83" spans="1:22" x14ac:dyDescent="0.25">
      <c r="A83" s="158">
        <f t="shared" si="5"/>
        <v>71</v>
      </c>
      <c r="B83" s="158">
        <f t="shared" si="5"/>
        <v>71</v>
      </c>
      <c r="C83" s="77" t="s">
        <v>545</v>
      </c>
      <c r="D83" s="159" t="s">
        <v>918</v>
      </c>
      <c r="E83" s="160">
        <f t="shared" si="1"/>
        <v>30258.98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>
        <v>6258.98</v>
      </c>
      <c r="S83" s="160">
        <v>24000</v>
      </c>
      <c r="T83" s="160"/>
      <c r="U83" s="94">
        <v>1</v>
      </c>
      <c r="V83" s="117">
        <f t="shared" si="2"/>
        <v>0</v>
      </c>
    </row>
    <row r="84" spans="1:22" x14ac:dyDescent="0.25">
      <c r="A84" s="158">
        <f t="shared" si="5"/>
        <v>72</v>
      </c>
      <c r="B84" s="158">
        <f t="shared" si="5"/>
        <v>72</v>
      </c>
      <c r="C84" s="77" t="s">
        <v>545</v>
      </c>
      <c r="D84" s="159" t="s">
        <v>919</v>
      </c>
      <c r="E84" s="160">
        <f t="shared" si="1"/>
        <v>570579.72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>
        <v>560579.72</v>
      </c>
      <c r="S84" s="160">
        <v>10000</v>
      </c>
      <c r="T84" s="160"/>
      <c r="U84" s="94">
        <v>1</v>
      </c>
      <c r="V84" s="117">
        <f t="shared" si="2"/>
        <v>0</v>
      </c>
    </row>
    <row r="85" spans="1:22" x14ac:dyDescent="0.25">
      <c r="A85" s="158">
        <f t="shared" si="5"/>
        <v>73</v>
      </c>
      <c r="B85" s="158">
        <f t="shared" si="5"/>
        <v>73</v>
      </c>
      <c r="C85" s="77" t="s">
        <v>545</v>
      </c>
      <c r="D85" s="159" t="s">
        <v>920</v>
      </c>
      <c r="E85" s="160">
        <f t="shared" si="1"/>
        <v>356159.53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>
        <v>348159.53</v>
      </c>
      <c r="S85" s="160">
        <v>8000</v>
      </c>
      <c r="T85" s="160"/>
      <c r="U85" s="94">
        <v>1</v>
      </c>
      <c r="V85" s="117">
        <f t="shared" si="2"/>
        <v>0</v>
      </c>
    </row>
    <row r="86" spans="1:22" x14ac:dyDescent="0.25">
      <c r="A86" s="158">
        <f t="shared" si="5"/>
        <v>74</v>
      </c>
      <c r="B86" s="158">
        <f t="shared" si="5"/>
        <v>74</v>
      </c>
      <c r="C86" s="77" t="s">
        <v>545</v>
      </c>
      <c r="D86" s="159" t="s">
        <v>921</v>
      </c>
      <c r="E86" s="160">
        <f t="shared" si="1"/>
        <v>315921.42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>
        <v>307921.42</v>
      </c>
      <c r="S86" s="160">
        <v>8000</v>
      </c>
      <c r="T86" s="160"/>
      <c r="U86" s="94">
        <v>1</v>
      </c>
      <c r="V86" s="117">
        <f t="shared" si="2"/>
        <v>0</v>
      </c>
    </row>
    <row r="87" spans="1:22" x14ac:dyDescent="0.25">
      <c r="A87" s="158">
        <f t="shared" si="5"/>
        <v>75</v>
      </c>
      <c r="B87" s="158">
        <f t="shared" si="5"/>
        <v>75</v>
      </c>
      <c r="C87" s="77" t="s">
        <v>545</v>
      </c>
      <c r="D87" s="159" t="s">
        <v>922</v>
      </c>
      <c r="E87" s="160">
        <f t="shared" si="1"/>
        <v>398499.78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>
        <v>390499.78</v>
      </c>
      <c r="S87" s="160">
        <v>8000</v>
      </c>
      <c r="T87" s="160"/>
      <c r="U87" s="94">
        <v>1</v>
      </c>
      <c r="V87" s="117">
        <f t="shared" si="2"/>
        <v>0</v>
      </c>
    </row>
    <row r="88" spans="1:22" x14ac:dyDescent="0.25">
      <c r="A88" s="158">
        <f t="shared" si="5"/>
        <v>76</v>
      </c>
      <c r="B88" s="158">
        <f t="shared" si="5"/>
        <v>76</v>
      </c>
      <c r="C88" s="77" t="s">
        <v>545</v>
      </c>
      <c r="D88" s="159" t="s">
        <v>924</v>
      </c>
      <c r="E88" s="160">
        <f t="shared" si="1"/>
        <v>569954.38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>
        <v>521954.38</v>
      </c>
      <c r="S88" s="160">
        <v>48000</v>
      </c>
      <c r="T88" s="160"/>
      <c r="U88" s="94">
        <v>1</v>
      </c>
      <c r="V88" s="117">
        <f t="shared" si="2"/>
        <v>0</v>
      </c>
    </row>
    <row r="89" spans="1:22" x14ac:dyDescent="0.25">
      <c r="A89" s="158">
        <f t="shared" si="5"/>
        <v>77</v>
      </c>
      <c r="B89" s="158">
        <f t="shared" si="5"/>
        <v>77</v>
      </c>
      <c r="C89" s="77" t="s">
        <v>545</v>
      </c>
      <c r="D89" s="159" t="s">
        <v>925</v>
      </c>
      <c r="E89" s="160">
        <f t="shared" si="1"/>
        <v>335675.75441553449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>
        <v>311675.75441553449</v>
      </c>
      <c r="S89" s="160">
        <v>24000</v>
      </c>
      <c r="T89" s="160"/>
      <c r="U89" s="94">
        <v>1</v>
      </c>
      <c r="V89" s="117">
        <f t="shared" si="2"/>
        <v>0</v>
      </c>
    </row>
    <row r="90" spans="1:22" x14ac:dyDescent="0.25">
      <c r="A90" s="158">
        <f t="shared" si="5"/>
        <v>78</v>
      </c>
      <c r="B90" s="158">
        <f t="shared" si="5"/>
        <v>78</v>
      </c>
      <c r="C90" s="77" t="s">
        <v>545</v>
      </c>
      <c r="D90" s="159" t="s">
        <v>927</v>
      </c>
      <c r="E90" s="160">
        <f t="shared" si="1"/>
        <v>349563.7261175625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>
        <v>325563.7261175625</v>
      </c>
      <c r="S90" s="160">
        <v>24000</v>
      </c>
      <c r="T90" s="160"/>
      <c r="U90" s="94">
        <v>1</v>
      </c>
      <c r="V90" s="117">
        <f t="shared" si="2"/>
        <v>0</v>
      </c>
    </row>
    <row r="91" spans="1:22" x14ac:dyDescent="0.25">
      <c r="A91" s="158">
        <f t="shared" si="5"/>
        <v>79</v>
      </c>
      <c r="B91" s="158">
        <f t="shared" si="5"/>
        <v>79</v>
      </c>
      <c r="C91" s="77" t="s">
        <v>545</v>
      </c>
      <c r="D91" s="159" t="s">
        <v>928</v>
      </c>
      <c r="E91" s="160">
        <f t="shared" si="1"/>
        <v>341642.39011098578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>
        <v>317642.39011098578</v>
      </c>
      <c r="S91" s="160">
        <v>24000</v>
      </c>
      <c r="T91" s="160"/>
      <c r="U91" s="94">
        <v>1</v>
      </c>
      <c r="V91" s="117">
        <f t="shared" si="2"/>
        <v>0</v>
      </c>
    </row>
    <row r="92" spans="1:22" x14ac:dyDescent="0.25">
      <c r="A92" s="158">
        <f t="shared" si="5"/>
        <v>80</v>
      </c>
      <c r="B92" s="158">
        <f t="shared" si="5"/>
        <v>80</v>
      </c>
      <c r="C92" s="77" t="s">
        <v>545</v>
      </c>
      <c r="D92" s="159" t="s">
        <v>929</v>
      </c>
      <c r="E92" s="160">
        <f t="shared" si="1"/>
        <v>459705.43000000005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>
        <v>449705.43000000005</v>
      </c>
      <c r="S92" s="160">
        <v>10000</v>
      </c>
      <c r="T92" s="160"/>
      <c r="U92" s="94">
        <v>1</v>
      </c>
      <c r="V92" s="117">
        <f t="shared" si="2"/>
        <v>0</v>
      </c>
    </row>
    <row r="93" spans="1:22" x14ac:dyDescent="0.25">
      <c r="A93" s="158">
        <f t="shared" si="5"/>
        <v>81</v>
      </c>
      <c r="B93" s="158">
        <f t="shared" si="5"/>
        <v>81</v>
      </c>
      <c r="C93" s="77" t="s">
        <v>545</v>
      </c>
      <c r="D93" s="159" t="s">
        <v>930</v>
      </c>
      <c r="E93" s="160">
        <f t="shared" si="1"/>
        <v>166703.26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>
        <v>158703.26</v>
      </c>
      <c r="S93" s="160">
        <v>8000</v>
      </c>
      <c r="T93" s="160"/>
      <c r="U93" s="94">
        <v>1</v>
      </c>
      <c r="V93" s="117">
        <f t="shared" si="2"/>
        <v>0</v>
      </c>
    </row>
    <row r="94" spans="1:22" x14ac:dyDescent="0.25">
      <c r="A94" s="158">
        <f t="shared" si="5"/>
        <v>82</v>
      </c>
      <c r="B94" s="158">
        <f t="shared" si="5"/>
        <v>82</v>
      </c>
      <c r="C94" s="77" t="s">
        <v>545</v>
      </c>
      <c r="D94" s="159" t="s">
        <v>932</v>
      </c>
      <c r="E94" s="160">
        <f t="shared" si="1"/>
        <v>173573.47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>
        <v>165573.47</v>
      </c>
      <c r="S94" s="160">
        <v>8000</v>
      </c>
      <c r="T94" s="160"/>
      <c r="U94" s="94">
        <v>1</v>
      </c>
      <c r="V94" s="117">
        <f t="shared" si="2"/>
        <v>0</v>
      </c>
    </row>
    <row r="95" spans="1:22" x14ac:dyDescent="0.25">
      <c r="A95" s="158">
        <f t="shared" si="5"/>
        <v>83</v>
      </c>
      <c r="B95" s="158">
        <f t="shared" si="5"/>
        <v>83</v>
      </c>
      <c r="C95" s="77" t="s">
        <v>545</v>
      </c>
      <c r="D95" s="159" t="s">
        <v>933</v>
      </c>
      <c r="E95" s="160">
        <f t="shared" si="1"/>
        <v>779598.42999999993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>
        <v>767598.42999999993</v>
      </c>
      <c r="S95" s="160">
        <v>12000</v>
      </c>
      <c r="T95" s="160"/>
      <c r="U95" s="94">
        <v>1</v>
      </c>
      <c r="V95" s="117">
        <f t="shared" si="2"/>
        <v>0</v>
      </c>
    </row>
    <row r="96" spans="1:22" x14ac:dyDescent="0.25">
      <c r="A96" s="158">
        <f t="shared" si="5"/>
        <v>84</v>
      </c>
      <c r="B96" s="158">
        <f t="shared" si="5"/>
        <v>84</v>
      </c>
      <c r="C96" s="77" t="s">
        <v>545</v>
      </c>
      <c r="D96" s="159" t="s">
        <v>936</v>
      </c>
      <c r="E96" s="160">
        <f t="shared" si="1"/>
        <v>1035363.46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>
        <v>1025363.46</v>
      </c>
      <c r="S96" s="160">
        <v>10000</v>
      </c>
      <c r="T96" s="160"/>
      <c r="U96" s="94">
        <v>1</v>
      </c>
      <c r="V96" s="117">
        <f t="shared" si="2"/>
        <v>0</v>
      </c>
    </row>
    <row r="97" spans="1:22" x14ac:dyDescent="0.25">
      <c r="A97" s="158">
        <f t="shared" si="5"/>
        <v>85</v>
      </c>
      <c r="B97" s="158">
        <f t="shared" si="5"/>
        <v>85</v>
      </c>
      <c r="C97" s="77" t="s">
        <v>545</v>
      </c>
      <c r="D97" s="159" t="s">
        <v>937</v>
      </c>
      <c r="E97" s="160">
        <f t="shared" si="1"/>
        <v>412442.82787746476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>
        <v>388442.82787746476</v>
      </c>
      <c r="S97" s="160">
        <v>24000</v>
      </c>
      <c r="T97" s="160"/>
      <c r="U97" s="94">
        <v>1</v>
      </c>
      <c r="V97" s="117">
        <f t="shared" si="2"/>
        <v>0</v>
      </c>
    </row>
    <row r="98" spans="1:22" x14ac:dyDescent="0.25">
      <c r="A98" s="158">
        <f t="shared" si="5"/>
        <v>86</v>
      </c>
      <c r="B98" s="158">
        <f t="shared" si="5"/>
        <v>86</v>
      </c>
      <c r="C98" s="77" t="s">
        <v>545</v>
      </c>
      <c r="D98" s="159" t="s">
        <v>938</v>
      </c>
      <c r="E98" s="160">
        <f t="shared" si="1"/>
        <v>314561.06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>
        <v>306561.06</v>
      </c>
      <c r="S98" s="160">
        <v>8000</v>
      </c>
      <c r="T98" s="160"/>
      <c r="U98" s="94">
        <v>1</v>
      </c>
      <c r="V98" s="117">
        <f t="shared" si="2"/>
        <v>0</v>
      </c>
    </row>
    <row r="99" spans="1:22" x14ac:dyDescent="0.25">
      <c r="A99" s="158">
        <f t="shared" si="5"/>
        <v>87</v>
      </c>
      <c r="B99" s="158">
        <f t="shared" si="5"/>
        <v>87</v>
      </c>
      <c r="C99" s="77" t="s">
        <v>545</v>
      </c>
      <c r="D99" s="159" t="s">
        <v>939</v>
      </c>
      <c r="E99" s="160">
        <f t="shared" si="1"/>
        <v>816121.81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>
        <v>806121.81</v>
      </c>
      <c r="S99" s="160">
        <v>10000</v>
      </c>
      <c r="T99" s="160"/>
      <c r="U99" s="94">
        <v>1</v>
      </c>
      <c r="V99" s="117">
        <f t="shared" si="2"/>
        <v>0</v>
      </c>
    </row>
    <row r="100" spans="1:22" x14ac:dyDescent="0.25">
      <c r="A100" s="158">
        <f t="shared" si="5"/>
        <v>88</v>
      </c>
      <c r="B100" s="158">
        <f t="shared" si="5"/>
        <v>88</v>
      </c>
      <c r="C100" s="77" t="s">
        <v>545</v>
      </c>
      <c r="D100" s="159" t="s">
        <v>940</v>
      </c>
      <c r="E100" s="160">
        <f t="shared" si="1"/>
        <v>527866.23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>
        <v>515866.23</v>
      </c>
      <c r="S100" s="160">
        <v>12000</v>
      </c>
      <c r="T100" s="160"/>
      <c r="U100" s="94">
        <v>1</v>
      </c>
      <c r="V100" s="117">
        <f t="shared" si="2"/>
        <v>0</v>
      </c>
    </row>
    <row r="101" spans="1:22" x14ac:dyDescent="0.25">
      <c r="A101" s="158">
        <f t="shared" si="5"/>
        <v>89</v>
      </c>
      <c r="B101" s="158">
        <f t="shared" si="5"/>
        <v>89</v>
      </c>
      <c r="C101" s="77" t="s">
        <v>545</v>
      </c>
      <c r="D101" s="159" t="s">
        <v>941</v>
      </c>
      <c r="E101" s="160">
        <f t="shared" si="1"/>
        <v>425235.56999999995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>
        <v>417235.56999999995</v>
      </c>
      <c r="S101" s="160">
        <v>8000</v>
      </c>
      <c r="T101" s="160"/>
      <c r="U101" s="94">
        <v>1</v>
      </c>
      <c r="V101" s="117">
        <f t="shared" si="2"/>
        <v>0</v>
      </c>
    </row>
    <row r="102" spans="1:22" x14ac:dyDescent="0.25">
      <c r="A102" s="158">
        <f t="shared" si="5"/>
        <v>90</v>
      </c>
      <c r="B102" s="158">
        <f t="shared" si="5"/>
        <v>90</v>
      </c>
      <c r="C102" s="77" t="s">
        <v>545</v>
      </c>
      <c r="D102" s="159" t="s">
        <v>942</v>
      </c>
      <c r="E102" s="160">
        <f t="shared" si="1"/>
        <v>894975.79999999993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>
        <v>884975.79999999993</v>
      </c>
      <c r="S102" s="160">
        <v>10000</v>
      </c>
      <c r="T102" s="160"/>
      <c r="U102" s="94">
        <v>1</v>
      </c>
      <c r="V102" s="117">
        <f t="shared" si="2"/>
        <v>0</v>
      </c>
    </row>
    <row r="103" spans="1:22" x14ac:dyDescent="0.25">
      <c r="A103" s="158">
        <f t="shared" si="5"/>
        <v>91</v>
      </c>
      <c r="B103" s="158">
        <f t="shared" si="5"/>
        <v>91</v>
      </c>
      <c r="C103" s="77" t="s">
        <v>545</v>
      </c>
      <c r="D103" s="159" t="s">
        <v>943</v>
      </c>
      <c r="E103" s="160">
        <f t="shared" si="1"/>
        <v>298717.92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>
        <v>274717.92</v>
      </c>
      <c r="S103" s="160">
        <v>24000</v>
      </c>
      <c r="T103" s="160"/>
      <c r="U103" s="94">
        <v>1</v>
      </c>
      <c r="V103" s="117">
        <f t="shared" si="2"/>
        <v>0</v>
      </c>
    </row>
    <row r="104" spans="1:22" x14ac:dyDescent="0.25">
      <c r="A104" s="158">
        <f t="shared" si="5"/>
        <v>92</v>
      </c>
      <c r="B104" s="158">
        <f t="shared" si="5"/>
        <v>92</v>
      </c>
      <c r="C104" s="77" t="s">
        <v>545</v>
      </c>
      <c r="D104" s="159" t="s">
        <v>944</v>
      </c>
      <c r="E104" s="160">
        <f t="shared" si="1"/>
        <v>658104.89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>
        <v>634104.89</v>
      </c>
      <c r="S104" s="160">
        <v>24000</v>
      </c>
      <c r="T104" s="160"/>
      <c r="U104" s="94">
        <v>1</v>
      </c>
      <c r="V104" s="117">
        <f t="shared" si="2"/>
        <v>0</v>
      </c>
    </row>
    <row r="105" spans="1:22" x14ac:dyDescent="0.25">
      <c r="A105" s="158">
        <f t="shared" si="5"/>
        <v>93</v>
      </c>
      <c r="B105" s="158">
        <f t="shared" si="5"/>
        <v>93</v>
      </c>
      <c r="C105" s="77" t="s">
        <v>54</v>
      </c>
      <c r="D105" s="159" t="s">
        <v>1063</v>
      </c>
      <c r="E105" s="160">
        <f>SUM(F105:T105)</f>
        <v>1389861.8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>
        <v>1365861.8</v>
      </c>
      <c r="S105" s="160">
        <v>24000</v>
      </c>
      <c r="T105" s="160"/>
      <c r="U105" s="94">
        <v>1</v>
      </c>
      <c r="V105" s="117">
        <f>+E105-R105-S105</f>
        <v>0</v>
      </c>
    </row>
    <row r="106" spans="1:22" x14ac:dyDescent="0.25">
      <c r="A106" s="158">
        <f t="shared" si="5"/>
        <v>94</v>
      </c>
      <c r="B106" s="158">
        <f t="shared" si="5"/>
        <v>94</v>
      </c>
      <c r="C106" s="77" t="s">
        <v>59</v>
      </c>
      <c r="D106" s="159" t="s">
        <v>563</v>
      </c>
      <c r="E106" s="160">
        <f t="shared" si="1"/>
        <v>409917.87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>
        <v>385917.87</v>
      </c>
      <c r="S106" s="160">
        <v>24000</v>
      </c>
      <c r="T106" s="160"/>
      <c r="U106" s="94">
        <v>1</v>
      </c>
      <c r="V106" s="117">
        <f t="shared" si="2"/>
        <v>0</v>
      </c>
    </row>
    <row r="107" spans="1:22" x14ac:dyDescent="0.25">
      <c r="A107" s="158">
        <f t="shared" si="5"/>
        <v>95</v>
      </c>
      <c r="B107" s="158">
        <f t="shared" si="5"/>
        <v>95</v>
      </c>
      <c r="C107" s="77" t="s">
        <v>275</v>
      </c>
      <c r="D107" s="159" t="s">
        <v>945</v>
      </c>
      <c r="E107" s="160">
        <f t="shared" si="1"/>
        <v>181853.98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>
        <v>157853.98000000001</v>
      </c>
      <c r="S107" s="160">
        <v>24000</v>
      </c>
      <c r="T107" s="160"/>
      <c r="U107" s="94">
        <v>1</v>
      </c>
      <c r="V107" s="117">
        <f t="shared" si="2"/>
        <v>0</v>
      </c>
    </row>
    <row r="108" spans="1:22" x14ac:dyDescent="0.25">
      <c r="A108" s="158">
        <f t="shared" si="5"/>
        <v>96</v>
      </c>
      <c r="B108" s="158">
        <f t="shared" si="5"/>
        <v>96</v>
      </c>
      <c r="C108" s="77" t="s">
        <v>275</v>
      </c>
      <c r="D108" s="159" t="s">
        <v>946</v>
      </c>
      <c r="E108" s="160">
        <f t="shared" si="1"/>
        <v>316118.53000000003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>
        <v>292118.53000000003</v>
      </c>
      <c r="S108" s="160">
        <v>24000</v>
      </c>
      <c r="T108" s="160"/>
      <c r="U108" s="94">
        <v>1</v>
      </c>
      <c r="V108" s="117">
        <f t="shared" si="2"/>
        <v>0</v>
      </c>
    </row>
    <row r="109" spans="1:22" x14ac:dyDescent="0.25">
      <c r="A109" s="158">
        <f t="shared" si="5"/>
        <v>97</v>
      </c>
      <c r="B109" s="158">
        <f t="shared" si="5"/>
        <v>97</v>
      </c>
      <c r="C109" s="77" t="s">
        <v>275</v>
      </c>
      <c r="D109" s="159" t="s">
        <v>947</v>
      </c>
      <c r="E109" s="160">
        <f t="shared" ref="E109:E132" si="6">SUM(F109:T109)</f>
        <v>344861.6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>
        <v>320861.59999999998</v>
      </c>
      <c r="S109" s="160">
        <v>24000</v>
      </c>
      <c r="T109" s="160"/>
      <c r="U109" s="94">
        <v>1</v>
      </c>
      <c r="V109" s="117">
        <f t="shared" si="2"/>
        <v>0</v>
      </c>
    </row>
    <row r="110" spans="1:22" x14ac:dyDescent="0.25">
      <c r="A110" s="158">
        <f t="shared" si="5"/>
        <v>98</v>
      </c>
      <c r="B110" s="158">
        <f t="shared" si="5"/>
        <v>98</v>
      </c>
      <c r="C110" s="77" t="s">
        <v>275</v>
      </c>
      <c r="D110" s="159" t="s">
        <v>948</v>
      </c>
      <c r="E110" s="160">
        <f t="shared" si="6"/>
        <v>284554.5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>
        <v>260554.5</v>
      </c>
      <c r="S110" s="160">
        <v>24000</v>
      </c>
      <c r="T110" s="160"/>
      <c r="U110" s="94">
        <v>1</v>
      </c>
      <c r="V110" s="117">
        <f t="shared" si="2"/>
        <v>0</v>
      </c>
    </row>
    <row r="111" spans="1:22" x14ac:dyDescent="0.25">
      <c r="A111" s="158">
        <f t="shared" si="5"/>
        <v>99</v>
      </c>
      <c r="B111" s="158">
        <f t="shared" si="5"/>
        <v>99</v>
      </c>
      <c r="C111" s="77" t="s">
        <v>275</v>
      </c>
      <c r="D111" s="159" t="s">
        <v>949</v>
      </c>
      <c r="E111" s="160">
        <f t="shared" si="6"/>
        <v>316646.27999999997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>
        <v>268646.27999999997</v>
      </c>
      <c r="S111" s="160">
        <v>48000</v>
      </c>
      <c r="T111" s="160"/>
      <c r="U111" s="94">
        <v>1</v>
      </c>
      <c r="V111" s="117">
        <f t="shared" si="2"/>
        <v>0</v>
      </c>
    </row>
    <row r="112" spans="1:22" x14ac:dyDescent="0.25">
      <c r="A112" s="158">
        <f t="shared" si="5"/>
        <v>100</v>
      </c>
      <c r="B112" s="158">
        <f t="shared" si="5"/>
        <v>100</v>
      </c>
      <c r="C112" s="77" t="s">
        <v>275</v>
      </c>
      <c r="D112" s="159" t="s">
        <v>950</v>
      </c>
      <c r="E112" s="160">
        <f t="shared" si="6"/>
        <v>213070.32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>
        <v>189070.32</v>
      </c>
      <c r="S112" s="160">
        <v>24000</v>
      </c>
      <c r="T112" s="160"/>
      <c r="U112" s="94">
        <v>1</v>
      </c>
      <c r="V112" s="117">
        <f t="shared" si="2"/>
        <v>0</v>
      </c>
    </row>
    <row r="113" spans="1:22" x14ac:dyDescent="0.25">
      <c r="A113" s="158">
        <f t="shared" si="5"/>
        <v>101</v>
      </c>
      <c r="B113" s="158">
        <f t="shared" si="5"/>
        <v>101</v>
      </c>
      <c r="C113" s="77" t="s">
        <v>60</v>
      </c>
      <c r="D113" s="159" t="s">
        <v>1064</v>
      </c>
      <c r="E113" s="160">
        <f t="shared" si="6"/>
        <v>777051.21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>
        <v>753051.21</v>
      </c>
      <c r="S113" s="160">
        <v>24000</v>
      </c>
      <c r="T113" s="160"/>
      <c r="U113" s="94">
        <v>1</v>
      </c>
      <c r="V113" s="117">
        <f>+E113-R113-S113</f>
        <v>0</v>
      </c>
    </row>
    <row r="114" spans="1:22" x14ac:dyDescent="0.25">
      <c r="A114" s="158">
        <f t="shared" si="5"/>
        <v>102</v>
      </c>
      <c r="B114" s="158">
        <f t="shared" si="5"/>
        <v>102</v>
      </c>
      <c r="C114" s="77" t="s">
        <v>60</v>
      </c>
      <c r="D114" s="159" t="s">
        <v>1065</v>
      </c>
      <c r="E114" s="160">
        <f t="shared" si="6"/>
        <v>112633.63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>
        <v>88633.63</v>
      </c>
      <c r="S114" s="160">
        <v>24000</v>
      </c>
      <c r="T114" s="160"/>
      <c r="U114" s="94">
        <v>1</v>
      </c>
      <c r="V114" s="117">
        <f>+E114-R114-S114</f>
        <v>0</v>
      </c>
    </row>
    <row r="115" spans="1:22" x14ac:dyDescent="0.25">
      <c r="A115" s="158">
        <f t="shared" si="5"/>
        <v>103</v>
      </c>
      <c r="B115" s="158">
        <f t="shared" si="5"/>
        <v>103</v>
      </c>
      <c r="C115" s="77" t="s">
        <v>60</v>
      </c>
      <c r="D115" s="159" t="s">
        <v>1066</v>
      </c>
      <c r="E115" s="160">
        <f t="shared" si="6"/>
        <v>495351.51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>
        <v>471351.51</v>
      </c>
      <c r="S115" s="160">
        <v>24000</v>
      </c>
      <c r="T115" s="160"/>
      <c r="U115" s="94">
        <v>1</v>
      </c>
      <c r="V115" s="117">
        <f>+E115-R115-S115</f>
        <v>0</v>
      </c>
    </row>
    <row r="116" spans="1:22" x14ac:dyDescent="0.25">
      <c r="A116" s="158">
        <f t="shared" si="5"/>
        <v>104</v>
      </c>
      <c r="B116" s="158">
        <f t="shared" si="5"/>
        <v>104</v>
      </c>
      <c r="C116" s="77" t="s">
        <v>60</v>
      </c>
      <c r="D116" s="159" t="s">
        <v>1067</v>
      </c>
      <c r="E116" s="160">
        <f t="shared" si="6"/>
        <v>219585.07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>
        <v>195585.07</v>
      </c>
      <c r="S116" s="160">
        <v>24000</v>
      </c>
      <c r="T116" s="160"/>
      <c r="U116" s="94">
        <v>1</v>
      </c>
      <c r="V116" s="117">
        <f>+E116-R116-S116</f>
        <v>0</v>
      </c>
    </row>
    <row r="117" spans="1:22" x14ac:dyDescent="0.25">
      <c r="A117" s="158">
        <f t="shared" si="5"/>
        <v>105</v>
      </c>
      <c r="B117" s="158">
        <f t="shared" si="5"/>
        <v>105</v>
      </c>
      <c r="C117" s="77" t="s">
        <v>60</v>
      </c>
      <c r="D117" s="159" t="s">
        <v>951</v>
      </c>
      <c r="E117" s="160">
        <f t="shared" si="6"/>
        <v>979401.28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>
        <v>955401.28</v>
      </c>
      <c r="S117" s="160">
        <v>24000</v>
      </c>
      <c r="T117" s="160"/>
      <c r="U117" s="94">
        <v>1</v>
      </c>
      <c r="V117" s="117">
        <f t="shared" si="2"/>
        <v>0</v>
      </c>
    </row>
    <row r="118" spans="1:22" x14ac:dyDescent="0.25">
      <c r="A118" s="158">
        <f t="shared" si="5"/>
        <v>106</v>
      </c>
      <c r="B118" s="158">
        <f t="shared" si="5"/>
        <v>106</v>
      </c>
      <c r="C118" s="77" t="s">
        <v>60</v>
      </c>
      <c r="D118" s="159" t="s">
        <v>952</v>
      </c>
      <c r="E118" s="160">
        <f t="shared" si="6"/>
        <v>1060519.5599999998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>
        <v>1036519.5599999998</v>
      </c>
      <c r="S118" s="160">
        <v>24000</v>
      </c>
      <c r="T118" s="160"/>
      <c r="U118" s="94">
        <v>1</v>
      </c>
      <c r="V118" s="117">
        <f t="shared" si="2"/>
        <v>0</v>
      </c>
    </row>
    <row r="119" spans="1:22" x14ac:dyDescent="0.25">
      <c r="A119" s="158">
        <f t="shared" si="5"/>
        <v>107</v>
      </c>
      <c r="B119" s="158">
        <f t="shared" si="5"/>
        <v>107</v>
      </c>
      <c r="C119" s="77" t="s">
        <v>60</v>
      </c>
      <c r="D119" s="159" t="s">
        <v>953</v>
      </c>
      <c r="E119" s="160">
        <f t="shared" si="6"/>
        <v>1130630.8899999999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>
        <v>1106630.8899999999</v>
      </c>
      <c r="S119" s="160">
        <v>24000</v>
      </c>
      <c r="T119" s="160"/>
      <c r="U119" s="94">
        <v>1</v>
      </c>
      <c r="V119" s="117">
        <f t="shared" ref="V119:V174" si="7">+E119-R119-S119</f>
        <v>0</v>
      </c>
    </row>
    <row r="120" spans="1:22" x14ac:dyDescent="0.25">
      <c r="A120" s="158">
        <f t="shared" si="5"/>
        <v>108</v>
      </c>
      <c r="B120" s="158">
        <f t="shared" si="5"/>
        <v>108</v>
      </c>
      <c r="C120" s="77" t="s">
        <v>60</v>
      </c>
      <c r="D120" s="159" t="s">
        <v>954</v>
      </c>
      <c r="E120" s="160">
        <f t="shared" si="6"/>
        <v>1051018.73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>
        <v>1039018.73</v>
      </c>
      <c r="S120" s="160">
        <v>12000</v>
      </c>
      <c r="T120" s="160"/>
      <c r="U120" s="94">
        <v>1</v>
      </c>
      <c r="V120" s="117">
        <f t="shared" si="7"/>
        <v>0</v>
      </c>
    </row>
    <row r="121" spans="1:22" x14ac:dyDescent="0.25">
      <c r="A121" s="158">
        <f t="shared" si="5"/>
        <v>109</v>
      </c>
      <c r="B121" s="158">
        <f t="shared" si="5"/>
        <v>109</v>
      </c>
      <c r="C121" s="77" t="s">
        <v>60</v>
      </c>
      <c r="D121" s="159" t="s">
        <v>955</v>
      </c>
      <c r="E121" s="160">
        <f t="shared" si="6"/>
        <v>865571.13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>
        <v>831571.13</v>
      </c>
      <c r="S121" s="160">
        <v>34000</v>
      </c>
      <c r="T121" s="160"/>
      <c r="U121" s="94">
        <v>1</v>
      </c>
      <c r="V121" s="117">
        <f t="shared" si="7"/>
        <v>0</v>
      </c>
    </row>
    <row r="122" spans="1:22" x14ac:dyDescent="0.25">
      <c r="A122" s="158">
        <f t="shared" si="5"/>
        <v>110</v>
      </c>
      <c r="B122" s="158">
        <f t="shared" si="5"/>
        <v>110</v>
      </c>
      <c r="C122" s="77" t="s">
        <v>60</v>
      </c>
      <c r="D122" s="159" t="s">
        <v>956</v>
      </c>
      <c r="E122" s="160">
        <f t="shared" si="6"/>
        <v>206798.07999999999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>
        <v>196798.07999999999</v>
      </c>
      <c r="S122" s="160">
        <v>10000</v>
      </c>
      <c r="T122" s="160"/>
      <c r="U122" s="94">
        <v>1</v>
      </c>
      <c r="V122" s="117">
        <f t="shared" si="7"/>
        <v>0</v>
      </c>
    </row>
    <row r="123" spans="1:22" x14ac:dyDescent="0.25">
      <c r="A123" s="158">
        <f t="shared" si="5"/>
        <v>111</v>
      </c>
      <c r="B123" s="158">
        <f t="shared" si="5"/>
        <v>111</v>
      </c>
      <c r="C123" s="77" t="s">
        <v>568</v>
      </c>
      <c r="D123" s="159" t="s">
        <v>1006</v>
      </c>
      <c r="E123" s="160">
        <f t="shared" si="6"/>
        <v>630100.6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>
        <v>606100.6</v>
      </c>
      <c r="S123" s="160">
        <v>24000</v>
      </c>
      <c r="T123" s="160"/>
      <c r="U123" s="94">
        <v>1</v>
      </c>
      <c r="V123" s="117">
        <f t="shared" si="7"/>
        <v>0</v>
      </c>
    </row>
    <row r="124" spans="1:22" x14ac:dyDescent="0.25">
      <c r="A124" s="158">
        <f t="shared" si="5"/>
        <v>112</v>
      </c>
      <c r="B124" s="158">
        <f t="shared" si="5"/>
        <v>112</v>
      </c>
      <c r="C124" s="77" t="s">
        <v>568</v>
      </c>
      <c r="D124" s="159" t="s">
        <v>1156</v>
      </c>
      <c r="E124" s="160">
        <f t="shared" si="6"/>
        <v>24000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>
        <v>24000</v>
      </c>
      <c r="T124" s="160"/>
      <c r="U124" s="108">
        <v>1</v>
      </c>
      <c r="V124" s="117">
        <f t="shared" si="7"/>
        <v>0</v>
      </c>
    </row>
    <row r="125" spans="1:22" x14ac:dyDescent="0.25">
      <c r="A125" s="158">
        <f t="shared" si="5"/>
        <v>113</v>
      </c>
      <c r="B125" s="158">
        <f t="shared" si="5"/>
        <v>113</v>
      </c>
      <c r="C125" s="77" t="s">
        <v>568</v>
      </c>
      <c r="D125" s="159" t="s">
        <v>1157</v>
      </c>
      <c r="E125" s="160">
        <f t="shared" si="6"/>
        <v>24000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>
        <v>24000</v>
      </c>
      <c r="T125" s="160"/>
      <c r="U125" s="108">
        <v>1</v>
      </c>
      <c r="V125" s="117">
        <f t="shared" si="7"/>
        <v>0</v>
      </c>
    </row>
    <row r="126" spans="1:22" x14ac:dyDescent="0.25">
      <c r="A126" s="158">
        <f t="shared" si="5"/>
        <v>114</v>
      </c>
      <c r="B126" s="158">
        <f t="shared" si="5"/>
        <v>114</v>
      </c>
      <c r="C126" s="77" t="s">
        <v>568</v>
      </c>
      <c r="D126" s="159" t="s">
        <v>1158</v>
      </c>
      <c r="E126" s="160">
        <f t="shared" si="6"/>
        <v>24000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>
        <v>24000</v>
      </c>
      <c r="T126" s="160"/>
      <c r="U126" s="108">
        <v>1</v>
      </c>
      <c r="V126" s="117">
        <f t="shared" si="7"/>
        <v>0</v>
      </c>
    </row>
    <row r="127" spans="1:22" x14ac:dyDescent="0.25">
      <c r="A127" s="158">
        <f t="shared" si="5"/>
        <v>115</v>
      </c>
      <c r="B127" s="158">
        <f t="shared" si="5"/>
        <v>115</v>
      </c>
      <c r="C127" s="77" t="s">
        <v>568</v>
      </c>
      <c r="D127" s="159" t="s">
        <v>1159</v>
      </c>
      <c r="E127" s="160">
        <f t="shared" si="6"/>
        <v>24000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>
        <v>24000</v>
      </c>
      <c r="T127" s="160"/>
      <c r="U127" s="108">
        <v>1</v>
      </c>
      <c r="V127" s="117">
        <f t="shared" si="7"/>
        <v>0</v>
      </c>
    </row>
    <row r="128" spans="1:22" x14ac:dyDescent="0.25">
      <c r="A128" s="158">
        <f t="shared" si="5"/>
        <v>116</v>
      </c>
      <c r="B128" s="158">
        <f t="shared" si="5"/>
        <v>116</v>
      </c>
      <c r="C128" s="77" t="s">
        <v>568</v>
      </c>
      <c r="D128" s="159" t="s">
        <v>1160</v>
      </c>
      <c r="E128" s="160">
        <f t="shared" si="6"/>
        <v>24000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>
        <v>24000</v>
      </c>
      <c r="T128" s="160"/>
      <c r="U128" s="108">
        <v>1</v>
      </c>
      <c r="V128" s="117">
        <f t="shared" si="7"/>
        <v>0</v>
      </c>
    </row>
    <row r="129" spans="1:22" x14ac:dyDescent="0.25">
      <c r="A129" s="158">
        <f t="shared" si="5"/>
        <v>117</v>
      </c>
      <c r="B129" s="158">
        <f t="shared" si="5"/>
        <v>117</v>
      </c>
      <c r="C129" s="77" t="s">
        <v>568</v>
      </c>
      <c r="D129" s="159" t="s">
        <v>851</v>
      </c>
      <c r="E129" s="160">
        <f>SUM(F129:T129)</f>
        <v>1182275.27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>
        <v>1170275.27</v>
      </c>
      <c r="S129" s="160">
        <v>12000</v>
      </c>
      <c r="T129" s="160"/>
      <c r="U129" s="94">
        <v>1</v>
      </c>
      <c r="V129" s="117">
        <f>+E129-R129-S129</f>
        <v>0</v>
      </c>
    </row>
    <row r="130" spans="1:22" x14ac:dyDescent="0.25">
      <c r="A130" s="158">
        <f t="shared" si="5"/>
        <v>118</v>
      </c>
      <c r="B130" s="158">
        <f t="shared" si="5"/>
        <v>118</v>
      </c>
      <c r="C130" s="77" t="s">
        <v>568</v>
      </c>
      <c r="D130" s="159" t="s">
        <v>852</v>
      </c>
      <c r="E130" s="160">
        <f>SUM(F130:T130)</f>
        <v>1178062.1200000001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>
        <v>1166062.1200000001</v>
      </c>
      <c r="S130" s="160">
        <v>12000</v>
      </c>
      <c r="T130" s="160"/>
      <c r="U130" s="94">
        <v>1</v>
      </c>
      <c r="V130" s="117">
        <f>+E130-R130-S130</f>
        <v>0</v>
      </c>
    </row>
    <row r="131" spans="1:22" x14ac:dyDescent="0.25">
      <c r="A131" s="158">
        <f t="shared" si="5"/>
        <v>119</v>
      </c>
      <c r="B131" s="158">
        <f t="shared" si="5"/>
        <v>119</v>
      </c>
      <c r="C131" s="77" t="s">
        <v>568</v>
      </c>
      <c r="D131" s="159" t="s">
        <v>853</v>
      </c>
      <c r="E131" s="160">
        <f>SUM(F131:T131)</f>
        <v>125146.44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>
        <v>101146.44</v>
      </c>
      <c r="S131" s="160">
        <v>24000</v>
      </c>
      <c r="T131" s="160"/>
      <c r="U131" s="94">
        <v>1</v>
      </c>
      <c r="V131" s="117">
        <f>+E131-R131-S131</f>
        <v>0</v>
      </c>
    </row>
    <row r="132" spans="1:22" x14ac:dyDescent="0.25">
      <c r="A132" s="158">
        <f t="shared" si="5"/>
        <v>120</v>
      </c>
      <c r="B132" s="158">
        <f t="shared" si="5"/>
        <v>120</v>
      </c>
      <c r="C132" s="77" t="s">
        <v>568</v>
      </c>
      <c r="D132" s="159" t="s">
        <v>1007</v>
      </c>
      <c r="E132" s="160">
        <f t="shared" si="6"/>
        <v>124408.54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>
        <v>100408.54</v>
      </c>
      <c r="S132" s="160">
        <v>24000</v>
      </c>
      <c r="T132" s="160"/>
      <c r="U132" s="94">
        <v>1</v>
      </c>
      <c r="V132" s="117">
        <f t="shared" si="7"/>
        <v>0</v>
      </c>
    </row>
    <row r="133" spans="1:22" x14ac:dyDescent="0.25">
      <c r="A133" s="158">
        <f t="shared" si="5"/>
        <v>121</v>
      </c>
      <c r="B133" s="158">
        <f t="shared" si="5"/>
        <v>121</v>
      </c>
      <c r="C133" s="77" t="s">
        <v>568</v>
      </c>
      <c r="D133" s="159" t="s">
        <v>822</v>
      </c>
      <c r="E133" s="160">
        <f t="shared" ref="E133:E134" si="8">SUM(F133:T133)</f>
        <v>253995.31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>
        <v>229995.31</v>
      </c>
      <c r="S133" s="160">
        <v>24000</v>
      </c>
      <c r="T133" s="160"/>
      <c r="U133" s="94">
        <v>1</v>
      </c>
      <c r="V133" s="117">
        <f t="shared" si="7"/>
        <v>0</v>
      </c>
    </row>
    <row r="134" spans="1:22" x14ac:dyDescent="0.25">
      <c r="A134" s="158">
        <f t="shared" si="5"/>
        <v>122</v>
      </c>
      <c r="B134" s="158">
        <f t="shared" si="5"/>
        <v>122</v>
      </c>
      <c r="C134" s="77" t="s">
        <v>568</v>
      </c>
      <c r="D134" s="159" t="s">
        <v>823</v>
      </c>
      <c r="E134" s="160">
        <f t="shared" si="8"/>
        <v>278945.83999999997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>
        <v>270945.83999999997</v>
      </c>
      <c r="S134" s="160">
        <v>8000</v>
      </c>
      <c r="T134" s="160"/>
      <c r="U134" s="94">
        <v>1</v>
      </c>
      <c r="V134" s="117">
        <f t="shared" si="7"/>
        <v>0</v>
      </c>
    </row>
    <row r="135" spans="1:22" x14ac:dyDescent="0.25">
      <c r="A135" s="158">
        <f t="shared" si="5"/>
        <v>123</v>
      </c>
      <c r="B135" s="158">
        <f t="shared" si="5"/>
        <v>123</v>
      </c>
      <c r="C135" s="77" t="s">
        <v>568</v>
      </c>
      <c r="D135" s="159" t="s">
        <v>824</v>
      </c>
      <c r="E135" s="160">
        <f t="shared" ref="E135:E364" si="9">SUM(F135:T135)</f>
        <v>428137.96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>
        <v>420137.96</v>
      </c>
      <c r="S135" s="160">
        <v>8000</v>
      </c>
      <c r="T135" s="160"/>
      <c r="U135" s="94">
        <v>1</v>
      </c>
      <c r="V135" s="117">
        <f t="shared" si="7"/>
        <v>0</v>
      </c>
    </row>
    <row r="136" spans="1:22" x14ac:dyDescent="0.25">
      <c r="A136" s="158">
        <f t="shared" si="5"/>
        <v>124</v>
      </c>
      <c r="B136" s="158">
        <f t="shared" si="5"/>
        <v>124</v>
      </c>
      <c r="C136" s="77" t="s">
        <v>568</v>
      </c>
      <c r="D136" s="159" t="s">
        <v>825</v>
      </c>
      <c r="E136" s="160">
        <f t="shared" si="9"/>
        <v>218514.1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>
        <v>210514.1</v>
      </c>
      <c r="S136" s="160">
        <v>8000</v>
      </c>
      <c r="T136" s="160"/>
      <c r="U136" s="94">
        <v>1</v>
      </c>
      <c r="V136" s="117">
        <f t="shared" si="7"/>
        <v>0</v>
      </c>
    </row>
    <row r="137" spans="1:22" x14ac:dyDescent="0.25">
      <c r="A137" s="158">
        <f t="shared" si="5"/>
        <v>125</v>
      </c>
      <c r="B137" s="158">
        <f t="shared" si="5"/>
        <v>125</v>
      </c>
      <c r="C137" s="77" t="s">
        <v>568</v>
      </c>
      <c r="D137" s="159" t="s">
        <v>826</v>
      </c>
      <c r="E137" s="160">
        <f t="shared" si="9"/>
        <v>960875.90000000014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>
        <v>936875.90000000014</v>
      </c>
      <c r="S137" s="160">
        <v>24000</v>
      </c>
      <c r="T137" s="160"/>
      <c r="U137" s="94">
        <v>1</v>
      </c>
      <c r="V137" s="117">
        <f t="shared" si="7"/>
        <v>0</v>
      </c>
    </row>
    <row r="138" spans="1:22" x14ac:dyDescent="0.25">
      <c r="A138" s="158">
        <f t="shared" si="5"/>
        <v>126</v>
      </c>
      <c r="B138" s="158">
        <f t="shared" si="5"/>
        <v>126</v>
      </c>
      <c r="C138" s="77" t="s">
        <v>568</v>
      </c>
      <c r="D138" s="159" t="s">
        <v>827</v>
      </c>
      <c r="E138" s="160">
        <f t="shared" si="9"/>
        <v>1217591.97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>
        <v>1205591.97</v>
      </c>
      <c r="S138" s="160">
        <v>12000</v>
      </c>
      <c r="T138" s="160"/>
      <c r="U138" s="94">
        <v>1</v>
      </c>
      <c r="V138" s="117">
        <f t="shared" si="7"/>
        <v>0</v>
      </c>
    </row>
    <row r="139" spans="1:22" x14ac:dyDescent="0.25">
      <c r="A139" s="158">
        <f t="shared" si="5"/>
        <v>127</v>
      </c>
      <c r="B139" s="158">
        <f t="shared" si="5"/>
        <v>127</v>
      </c>
      <c r="C139" s="77" t="s">
        <v>568</v>
      </c>
      <c r="D139" s="159" t="s">
        <v>828</v>
      </c>
      <c r="E139" s="160">
        <f t="shared" si="9"/>
        <v>967772.2200000002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>
        <v>955772.2200000002</v>
      </c>
      <c r="S139" s="160">
        <v>12000</v>
      </c>
      <c r="T139" s="160"/>
      <c r="U139" s="94">
        <v>1</v>
      </c>
      <c r="V139" s="117">
        <f t="shared" si="7"/>
        <v>0</v>
      </c>
    </row>
    <row r="140" spans="1:22" x14ac:dyDescent="0.25">
      <c r="A140" s="158">
        <f t="shared" si="5"/>
        <v>128</v>
      </c>
      <c r="B140" s="158">
        <f t="shared" si="5"/>
        <v>128</v>
      </c>
      <c r="C140" s="77" t="s">
        <v>568</v>
      </c>
      <c r="D140" s="159" t="s">
        <v>829</v>
      </c>
      <c r="E140" s="160">
        <f t="shared" si="9"/>
        <v>1355397.4700000002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>
        <v>1343397.4700000002</v>
      </c>
      <c r="S140" s="160">
        <v>12000</v>
      </c>
      <c r="T140" s="160"/>
      <c r="U140" s="94">
        <v>1</v>
      </c>
      <c r="V140" s="117">
        <f t="shared" si="7"/>
        <v>0</v>
      </c>
    </row>
    <row r="141" spans="1:22" x14ac:dyDescent="0.25">
      <c r="A141" s="158">
        <f t="shared" si="5"/>
        <v>129</v>
      </c>
      <c r="B141" s="158">
        <f t="shared" si="5"/>
        <v>129</v>
      </c>
      <c r="C141" s="77" t="s">
        <v>568</v>
      </c>
      <c r="D141" s="159" t="s">
        <v>830</v>
      </c>
      <c r="E141" s="160">
        <f t="shared" si="9"/>
        <v>158258.59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>
        <v>150258.59</v>
      </c>
      <c r="S141" s="160">
        <v>8000</v>
      </c>
      <c r="T141" s="160"/>
      <c r="U141" s="94">
        <v>1</v>
      </c>
      <c r="V141" s="117">
        <f t="shared" si="7"/>
        <v>0</v>
      </c>
    </row>
    <row r="142" spans="1:22" x14ac:dyDescent="0.25">
      <c r="A142" s="158">
        <f t="shared" ref="A142:B205" si="10">+A141+1</f>
        <v>130</v>
      </c>
      <c r="B142" s="158">
        <f t="shared" si="10"/>
        <v>130</v>
      </c>
      <c r="C142" s="77" t="s">
        <v>568</v>
      </c>
      <c r="D142" s="159" t="s">
        <v>831</v>
      </c>
      <c r="E142" s="160">
        <f t="shared" si="9"/>
        <v>375445.14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>
        <v>367445.14</v>
      </c>
      <c r="S142" s="160">
        <v>8000</v>
      </c>
      <c r="T142" s="160"/>
      <c r="U142" s="94">
        <v>1</v>
      </c>
      <c r="V142" s="117">
        <f t="shared" si="7"/>
        <v>0</v>
      </c>
    </row>
    <row r="143" spans="1:22" x14ac:dyDescent="0.25">
      <c r="A143" s="158">
        <f t="shared" si="10"/>
        <v>131</v>
      </c>
      <c r="B143" s="158">
        <f t="shared" si="10"/>
        <v>131</v>
      </c>
      <c r="C143" s="77" t="s">
        <v>568</v>
      </c>
      <c r="D143" s="159" t="s">
        <v>832</v>
      </c>
      <c r="E143" s="160">
        <f t="shared" si="9"/>
        <v>486303.72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>
        <v>476303.72</v>
      </c>
      <c r="S143" s="160">
        <v>10000</v>
      </c>
      <c r="T143" s="160"/>
      <c r="U143" s="94">
        <v>1</v>
      </c>
      <c r="V143" s="117">
        <f t="shared" si="7"/>
        <v>0</v>
      </c>
    </row>
    <row r="144" spans="1:22" x14ac:dyDescent="0.25">
      <c r="A144" s="158">
        <f t="shared" si="10"/>
        <v>132</v>
      </c>
      <c r="B144" s="158">
        <f t="shared" si="10"/>
        <v>132</v>
      </c>
      <c r="C144" s="77" t="s">
        <v>568</v>
      </c>
      <c r="D144" s="159" t="s">
        <v>833</v>
      </c>
      <c r="E144" s="160">
        <f t="shared" si="9"/>
        <v>522136.27999999997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>
        <v>512136.27999999997</v>
      </c>
      <c r="S144" s="160">
        <v>10000</v>
      </c>
      <c r="T144" s="160"/>
      <c r="U144" s="94">
        <v>1</v>
      </c>
      <c r="V144" s="117">
        <f t="shared" si="7"/>
        <v>0</v>
      </c>
    </row>
    <row r="145" spans="1:22" x14ac:dyDescent="0.25">
      <c r="A145" s="158">
        <f t="shared" si="10"/>
        <v>133</v>
      </c>
      <c r="B145" s="158">
        <f t="shared" si="10"/>
        <v>133</v>
      </c>
      <c r="C145" s="77" t="s">
        <v>568</v>
      </c>
      <c r="D145" s="159" t="s">
        <v>834</v>
      </c>
      <c r="E145" s="160">
        <f t="shared" si="9"/>
        <v>1162265.5899999999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>
        <v>1128265.5899999999</v>
      </c>
      <c r="S145" s="160">
        <v>34000</v>
      </c>
      <c r="T145" s="160"/>
      <c r="U145" s="94">
        <v>1</v>
      </c>
      <c r="V145" s="117">
        <f t="shared" si="7"/>
        <v>0</v>
      </c>
    </row>
    <row r="146" spans="1:22" x14ac:dyDescent="0.25">
      <c r="A146" s="158">
        <f t="shared" si="10"/>
        <v>134</v>
      </c>
      <c r="B146" s="158">
        <f t="shared" si="10"/>
        <v>134</v>
      </c>
      <c r="C146" s="77" t="s">
        <v>568</v>
      </c>
      <c r="D146" s="159" t="s">
        <v>992</v>
      </c>
      <c r="E146" s="160">
        <f t="shared" si="9"/>
        <v>1514631.2099999997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>
        <v>1490631.2099999997</v>
      </c>
      <c r="S146" s="160">
        <v>24000</v>
      </c>
      <c r="T146" s="160"/>
      <c r="U146" s="94">
        <v>1</v>
      </c>
      <c r="V146" s="117">
        <f t="shared" si="7"/>
        <v>0</v>
      </c>
    </row>
    <row r="147" spans="1:22" x14ac:dyDescent="0.25">
      <c r="A147" s="158">
        <f t="shared" si="10"/>
        <v>135</v>
      </c>
      <c r="B147" s="158">
        <f t="shared" si="10"/>
        <v>135</v>
      </c>
      <c r="C147" s="77" t="s">
        <v>568</v>
      </c>
      <c r="D147" s="159" t="s">
        <v>993</v>
      </c>
      <c r="E147" s="160">
        <f t="shared" si="9"/>
        <v>576659.44999999995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>
        <v>552659.44999999995</v>
      </c>
      <c r="S147" s="160">
        <v>24000</v>
      </c>
      <c r="T147" s="160"/>
      <c r="U147" s="94">
        <v>1</v>
      </c>
      <c r="V147" s="117">
        <f t="shared" si="7"/>
        <v>0</v>
      </c>
    </row>
    <row r="148" spans="1:22" x14ac:dyDescent="0.25">
      <c r="A148" s="158">
        <f t="shared" si="10"/>
        <v>136</v>
      </c>
      <c r="B148" s="158">
        <f t="shared" si="10"/>
        <v>136</v>
      </c>
      <c r="C148" s="77" t="s">
        <v>568</v>
      </c>
      <c r="D148" s="153" t="s">
        <v>1161</v>
      </c>
      <c r="E148" s="160">
        <f t="shared" si="9"/>
        <v>48000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>
        <v>0</v>
      </c>
      <c r="S148" s="160">
        <v>48000</v>
      </c>
      <c r="T148" s="160"/>
      <c r="U148" s="108">
        <v>1</v>
      </c>
      <c r="V148" s="117">
        <f t="shared" si="7"/>
        <v>0</v>
      </c>
    </row>
    <row r="149" spans="1:22" x14ac:dyDescent="0.25">
      <c r="A149" s="158">
        <f t="shared" si="10"/>
        <v>137</v>
      </c>
      <c r="B149" s="158">
        <f t="shared" si="10"/>
        <v>137</v>
      </c>
      <c r="C149" s="77" t="s">
        <v>568</v>
      </c>
      <c r="D149" s="153" t="s">
        <v>1162</v>
      </c>
      <c r="E149" s="160">
        <f t="shared" si="9"/>
        <v>24000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>
        <v>24000</v>
      </c>
      <c r="T149" s="160"/>
      <c r="U149" s="108">
        <v>1</v>
      </c>
      <c r="V149" s="117">
        <f t="shared" si="7"/>
        <v>0</v>
      </c>
    </row>
    <row r="150" spans="1:22" x14ac:dyDescent="0.25">
      <c r="A150" s="158">
        <f t="shared" si="10"/>
        <v>138</v>
      </c>
      <c r="B150" s="158">
        <f t="shared" si="10"/>
        <v>138</v>
      </c>
      <c r="C150" s="77" t="s">
        <v>568</v>
      </c>
      <c r="D150" s="153" t="s">
        <v>1163</v>
      </c>
      <c r="E150" s="160">
        <f t="shared" si="9"/>
        <v>24000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>
        <v>24000</v>
      </c>
      <c r="T150" s="160"/>
      <c r="U150" s="108">
        <v>1</v>
      </c>
      <c r="V150" s="117">
        <f t="shared" si="7"/>
        <v>0</v>
      </c>
    </row>
    <row r="151" spans="1:22" x14ac:dyDescent="0.25">
      <c r="A151" s="158">
        <f t="shared" si="10"/>
        <v>139</v>
      </c>
      <c r="B151" s="158">
        <f t="shared" si="10"/>
        <v>139</v>
      </c>
      <c r="C151" s="77" t="s">
        <v>568</v>
      </c>
      <c r="D151" s="153" t="s">
        <v>1164</v>
      </c>
      <c r="E151" s="160">
        <f t="shared" si="9"/>
        <v>24000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>
        <v>24000</v>
      </c>
      <c r="T151" s="160"/>
      <c r="U151" s="108">
        <v>1</v>
      </c>
      <c r="V151" s="117">
        <f t="shared" si="7"/>
        <v>0</v>
      </c>
    </row>
    <row r="152" spans="1:22" x14ac:dyDescent="0.25">
      <c r="A152" s="158">
        <f t="shared" si="10"/>
        <v>140</v>
      </c>
      <c r="B152" s="158">
        <f t="shared" si="10"/>
        <v>140</v>
      </c>
      <c r="C152" s="77" t="s">
        <v>568</v>
      </c>
      <c r="D152" s="153" t="s">
        <v>1165</v>
      </c>
      <c r="E152" s="160">
        <f t="shared" si="9"/>
        <v>24000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>
        <v>24000</v>
      </c>
      <c r="T152" s="160"/>
      <c r="U152" s="108">
        <v>1</v>
      </c>
      <c r="V152" s="117">
        <f t="shared" si="7"/>
        <v>0</v>
      </c>
    </row>
    <row r="153" spans="1:22" x14ac:dyDescent="0.25">
      <c r="A153" s="158">
        <f t="shared" si="10"/>
        <v>141</v>
      </c>
      <c r="B153" s="158">
        <f t="shared" si="10"/>
        <v>141</v>
      </c>
      <c r="C153" s="77" t="s">
        <v>568</v>
      </c>
      <c r="D153" s="153" t="s">
        <v>1166</v>
      </c>
      <c r="E153" s="160">
        <f t="shared" si="9"/>
        <v>24000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>
        <v>24000</v>
      </c>
      <c r="T153" s="160"/>
      <c r="U153" s="108">
        <v>1</v>
      </c>
      <c r="V153" s="117">
        <f t="shared" si="7"/>
        <v>0</v>
      </c>
    </row>
    <row r="154" spans="1:22" x14ac:dyDescent="0.25">
      <c r="A154" s="158">
        <f t="shared" si="10"/>
        <v>142</v>
      </c>
      <c r="B154" s="158">
        <f t="shared" si="10"/>
        <v>142</v>
      </c>
      <c r="C154" s="77" t="s">
        <v>568</v>
      </c>
      <c r="D154" s="153" t="s">
        <v>1167</v>
      </c>
      <c r="E154" s="160">
        <f t="shared" si="9"/>
        <v>24000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>
        <v>24000</v>
      </c>
      <c r="T154" s="160"/>
      <c r="U154" s="108">
        <v>1</v>
      </c>
      <c r="V154" s="117">
        <f t="shared" si="7"/>
        <v>0</v>
      </c>
    </row>
    <row r="155" spans="1:22" x14ac:dyDescent="0.25">
      <c r="A155" s="158">
        <f t="shared" si="10"/>
        <v>143</v>
      </c>
      <c r="B155" s="158">
        <f t="shared" si="10"/>
        <v>143</v>
      </c>
      <c r="C155" s="77" t="s">
        <v>568</v>
      </c>
      <c r="D155" s="153" t="s">
        <v>1168</v>
      </c>
      <c r="E155" s="160">
        <f t="shared" si="9"/>
        <v>24000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>
        <v>24000</v>
      </c>
      <c r="T155" s="160"/>
      <c r="U155" s="108">
        <v>1</v>
      </c>
      <c r="V155" s="117">
        <f t="shared" si="7"/>
        <v>0</v>
      </c>
    </row>
    <row r="156" spans="1:22" x14ac:dyDescent="0.25">
      <c r="A156" s="158">
        <f t="shared" si="10"/>
        <v>144</v>
      </c>
      <c r="B156" s="158">
        <f t="shared" si="10"/>
        <v>144</v>
      </c>
      <c r="C156" s="77" t="s">
        <v>568</v>
      </c>
      <c r="D156" s="159" t="s">
        <v>994</v>
      </c>
      <c r="E156" s="160">
        <f t="shared" si="9"/>
        <v>819121.35000000021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>
        <v>795121.35000000021</v>
      </c>
      <c r="S156" s="160">
        <v>24000</v>
      </c>
      <c r="T156" s="160"/>
      <c r="U156" s="94">
        <v>1</v>
      </c>
      <c r="V156" s="117">
        <f t="shared" si="7"/>
        <v>0</v>
      </c>
    </row>
    <row r="157" spans="1:22" x14ac:dyDescent="0.25">
      <c r="A157" s="158">
        <f t="shared" si="10"/>
        <v>145</v>
      </c>
      <c r="B157" s="158">
        <f t="shared" si="10"/>
        <v>145</v>
      </c>
      <c r="C157" s="77" t="s">
        <v>568</v>
      </c>
      <c r="D157" s="159" t="s">
        <v>995</v>
      </c>
      <c r="E157" s="160">
        <f t="shared" si="9"/>
        <v>573364.16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>
        <v>563364.16</v>
      </c>
      <c r="S157" s="160">
        <v>10000</v>
      </c>
      <c r="T157" s="160"/>
      <c r="U157" s="94">
        <v>1</v>
      </c>
      <c r="V157" s="117">
        <f t="shared" si="7"/>
        <v>0</v>
      </c>
    </row>
    <row r="158" spans="1:22" x14ac:dyDescent="0.25">
      <c r="A158" s="158">
        <f t="shared" si="10"/>
        <v>146</v>
      </c>
      <c r="B158" s="158">
        <f t="shared" si="10"/>
        <v>146</v>
      </c>
      <c r="C158" s="77" t="s">
        <v>568</v>
      </c>
      <c r="D158" s="159" t="s">
        <v>996</v>
      </c>
      <c r="E158" s="160">
        <f t="shared" si="9"/>
        <v>523999.34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>
        <v>513999.34</v>
      </c>
      <c r="S158" s="160">
        <v>10000</v>
      </c>
      <c r="T158" s="160"/>
      <c r="U158" s="94">
        <v>1</v>
      </c>
      <c r="V158" s="117">
        <f t="shared" si="7"/>
        <v>0</v>
      </c>
    </row>
    <row r="159" spans="1:22" x14ac:dyDescent="0.25">
      <c r="A159" s="158">
        <f t="shared" si="10"/>
        <v>147</v>
      </c>
      <c r="B159" s="158">
        <f t="shared" si="10"/>
        <v>147</v>
      </c>
      <c r="C159" s="77" t="s">
        <v>568</v>
      </c>
      <c r="D159" s="159" t="s">
        <v>997</v>
      </c>
      <c r="E159" s="160">
        <f t="shared" si="9"/>
        <v>550735.69999999995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>
        <v>518735.7</v>
      </c>
      <c r="S159" s="160">
        <v>32000</v>
      </c>
      <c r="T159" s="160"/>
      <c r="U159" s="94">
        <v>1</v>
      </c>
      <c r="V159" s="117">
        <f t="shared" si="7"/>
        <v>-5.8207660913467407E-11</v>
      </c>
    </row>
    <row r="160" spans="1:22" x14ac:dyDescent="0.25">
      <c r="A160" s="158">
        <f t="shared" si="10"/>
        <v>148</v>
      </c>
      <c r="B160" s="158">
        <f t="shared" si="10"/>
        <v>148</v>
      </c>
      <c r="C160" s="77" t="s">
        <v>568</v>
      </c>
      <c r="D160" s="159" t="s">
        <v>998</v>
      </c>
      <c r="E160" s="160">
        <f t="shared" si="9"/>
        <v>635450.6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>
        <v>625450.6</v>
      </c>
      <c r="S160" s="160">
        <v>10000</v>
      </c>
      <c r="T160" s="160"/>
      <c r="U160" s="94">
        <v>1</v>
      </c>
      <c r="V160" s="117">
        <f t="shared" si="7"/>
        <v>0</v>
      </c>
    </row>
    <row r="161" spans="1:22" x14ac:dyDescent="0.25">
      <c r="A161" s="158">
        <f t="shared" si="10"/>
        <v>149</v>
      </c>
      <c r="B161" s="158">
        <f t="shared" si="10"/>
        <v>149</v>
      </c>
      <c r="C161" s="77" t="s">
        <v>568</v>
      </c>
      <c r="D161" s="159" t="s">
        <v>999</v>
      </c>
      <c r="E161" s="160">
        <f t="shared" si="9"/>
        <v>486902.27999999991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>
        <v>476902.27999999991</v>
      </c>
      <c r="S161" s="160">
        <v>10000</v>
      </c>
      <c r="T161" s="160"/>
      <c r="U161" s="94">
        <v>1</v>
      </c>
      <c r="V161" s="117">
        <f t="shared" si="7"/>
        <v>0</v>
      </c>
    </row>
    <row r="162" spans="1:22" x14ac:dyDescent="0.25">
      <c r="A162" s="158">
        <f t="shared" si="10"/>
        <v>150</v>
      </c>
      <c r="B162" s="158">
        <f t="shared" si="10"/>
        <v>150</v>
      </c>
      <c r="C162" s="77" t="s">
        <v>568</v>
      </c>
      <c r="D162" s="159" t="s">
        <v>843</v>
      </c>
      <c r="E162" s="160">
        <f t="shared" si="9"/>
        <v>1413561.83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>
        <v>1379561.83</v>
      </c>
      <c r="S162" s="160">
        <v>34000</v>
      </c>
      <c r="T162" s="160"/>
      <c r="U162" s="94">
        <v>1</v>
      </c>
      <c r="V162" s="117">
        <f t="shared" si="7"/>
        <v>0</v>
      </c>
    </row>
    <row r="163" spans="1:22" x14ac:dyDescent="0.25">
      <c r="A163" s="158">
        <f t="shared" si="10"/>
        <v>151</v>
      </c>
      <c r="B163" s="158">
        <f t="shared" si="10"/>
        <v>151</v>
      </c>
      <c r="C163" s="77" t="s">
        <v>568</v>
      </c>
      <c r="D163" s="159" t="s">
        <v>1000</v>
      </c>
      <c r="E163" s="160">
        <f t="shared" si="9"/>
        <v>512696.55000000005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>
        <v>502696.55000000005</v>
      </c>
      <c r="S163" s="160">
        <v>10000</v>
      </c>
      <c r="T163" s="160"/>
      <c r="U163" s="94">
        <v>1</v>
      </c>
      <c r="V163" s="117">
        <f t="shared" si="7"/>
        <v>0</v>
      </c>
    </row>
    <row r="164" spans="1:22" x14ac:dyDescent="0.25">
      <c r="A164" s="158">
        <f t="shared" si="10"/>
        <v>152</v>
      </c>
      <c r="B164" s="158">
        <f t="shared" si="10"/>
        <v>152</v>
      </c>
      <c r="C164" s="77" t="s">
        <v>568</v>
      </c>
      <c r="D164" s="159" t="s">
        <v>845</v>
      </c>
      <c r="E164" s="160">
        <f t="shared" si="9"/>
        <v>951248.59999999986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>
        <v>903248.59999999986</v>
      </c>
      <c r="S164" s="160">
        <v>48000</v>
      </c>
      <c r="T164" s="160"/>
      <c r="U164" s="94">
        <v>1</v>
      </c>
      <c r="V164" s="117">
        <f t="shared" si="7"/>
        <v>0</v>
      </c>
    </row>
    <row r="165" spans="1:22" x14ac:dyDescent="0.25">
      <c r="A165" s="158">
        <f t="shared" si="10"/>
        <v>153</v>
      </c>
      <c r="B165" s="158">
        <f t="shared" si="10"/>
        <v>153</v>
      </c>
      <c r="C165" s="77" t="s">
        <v>568</v>
      </c>
      <c r="D165" s="159" t="s">
        <v>1001</v>
      </c>
      <c r="E165" s="160">
        <f t="shared" si="9"/>
        <v>266552.34999999998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>
        <v>258552.34999999998</v>
      </c>
      <c r="S165" s="160">
        <v>8000</v>
      </c>
      <c r="T165" s="160"/>
      <c r="U165" s="94">
        <v>1</v>
      </c>
      <c r="V165" s="117">
        <f t="shared" si="7"/>
        <v>0</v>
      </c>
    </row>
    <row r="166" spans="1:22" x14ac:dyDescent="0.25">
      <c r="A166" s="158">
        <f t="shared" si="10"/>
        <v>154</v>
      </c>
      <c r="B166" s="158">
        <f t="shared" si="10"/>
        <v>154</v>
      </c>
      <c r="C166" s="77" t="s">
        <v>568</v>
      </c>
      <c r="D166" s="159" t="s">
        <v>1002</v>
      </c>
      <c r="E166" s="160">
        <f t="shared" si="9"/>
        <v>1612207.31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>
        <v>1588207.31</v>
      </c>
      <c r="S166" s="160">
        <v>24000</v>
      </c>
      <c r="T166" s="160"/>
      <c r="U166" s="94">
        <v>1</v>
      </c>
      <c r="V166" s="117">
        <f t="shared" si="7"/>
        <v>0</v>
      </c>
    </row>
    <row r="167" spans="1:22" x14ac:dyDescent="0.25">
      <c r="A167" s="158">
        <f t="shared" si="10"/>
        <v>155</v>
      </c>
      <c r="B167" s="158">
        <f t="shared" si="10"/>
        <v>155</v>
      </c>
      <c r="C167" s="77" t="s">
        <v>568</v>
      </c>
      <c r="D167" s="159" t="s">
        <v>1003</v>
      </c>
      <c r="E167" s="160">
        <f t="shared" si="9"/>
        <v>1234956.9000000001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>
        <v>1210956.9000000001</v>
      </c>
      <c r="S167" s="160">
        <v>24000</v>
      </c>
      <c r="T167" s="160"/>
      <c r="U167" s="94">
        <v>1</v>
      </c>
      <c r="V167" s="117">
        <f t="shared" si="7"/>
        <v>0</v>
      </c>
    </row>
    <row r="168" spans="1:22" x14ac:dyDescent="0.25">
      <c r="A168" s="158">
        <f t="shared" si="10"/>
        <v>156</v>
      </c>
      <c r="B168" s="158">
        <f t="shared" si="10"/>
        <v>156</v>
      </c>
      <c r="C168" s="77" t="s">
        <v>568</v>
      </c>
      <c r="D168" s="159" t="s">
        <v>848</v>
      </c>
      <c r="E168" s="160">
        <f t="shared" si="9"/>
        <v>536165.37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>
        <v>488165.37</v>
      </c>
      <c r="S168" s="160">
        <v>48000</v>
      </c>
      <c r="T168" s="160"/>
      <c r="U168" s="94">
        <v>1</v>
      </c>
      <c r="V168" s="117">
        <f t="shared" si="7"/>
        <v>0</v>
      </c>
    </row>
    <row r="169" spans="1:22" x14ac:dyDescent="0.25">
      <c r="A169" s="158">
        <f t="shared" si="10"/>
        <v>157</v>
      </c>
      <c r="B169" s="158">
        <f t="shared" si="10"/>
        <v>157</v>
      </c>
      <c r="C169" s="77" t="s">
        <v>568</v>
      </c>
      <c r="D169" s="159" t="s">
        <v>849</v>
      </c>
      <c r="E169" s="160">
        <f t="shared" si="9"/>
        <v>810630.17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>
        <v>762630.17</v>
      </c>
      <c r="S169" s="160">
        <v>48000</v>
      </c>
      <c r="T169" s="160"/>
      <c r="U169" s="94">
        <v>1</v>
      </c>
      <c r="V169" s="117">
        <f t="shared" si="7"/>
        <v>0</v>
      </c>
    </row>
    <row r="170" spans="1:22" x14ac:dyDescent="0.25">
      <c r="A170" s="158">
        <f t="shared" si="10"/>
        <v>158</v>
      </c>
      <c r="B170" s="158">
        <f t="shared" si="10"/>
        <v>158</v>
      </c>
      <c r="C170" s="77" t="s">
        <v>568</v>
      </c>
      <c r="D170" s="159" t="s">
        <v>1004</v>
      </c>
      <c r="E170" s="160">
        <f t="shared" si="9"/>
        <v>841259.35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>
        <v>831259.35</v>
      </c>
      <c r="S170" s="160">
        <v>10000</v>
      </c>
      <c r="T170" s="160"/>
      <c r="U170" s="94">
        <v>1</v>
      </c>
      <c r="V170" s="117">
        <f t="shared" si="7"/>
        <v>0</v>
      </c>
    </row>
    <row r="171" spans="1:22" x14ac:dyDescent="0.25">
      <c r="A171" s="158">
        <f t="shared" si="10"/>
        <v>159</v>
      </c>
      <c r="B171" s="158">
        <f t="shared" si="10"/>
        <v>159</v>
      </c>
      <c r="C171" s="77" t="s">
        <v>568</v>
      </c>
      <c r="D171" s="159" t="s">
        <v>1005</v>
      </c>
      <c r="E171" s="160">
        <f t="shared" si="9"/>
        <v>486381.39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>
        <v>476381.39</v>
      </c>
      <c r="S171" s="160">
        <v>10000</v>
      </c>
      <c r="T171" s="160"/>
      <c r="U171" s="94">
        <v>1</v>
      </c>
      <c r="V171" s="117">
        <f t="shared" si="7"/>
        <v>0</v>
      </c>
    </row>
    <row r="172" spans="1:22" x14ac:dyDescent="0.25">
      <c r="A172" s="158">
        <f t="shared" si="10"/>
        <v>160</v>
      </c>
      <c r="B172" s="158">
        <f t="shared" si="10"/>
        <v>160</v>
      </c>
      <c r="C172" s="77" t="s">
        <v>568</v>
      </c>
      <c r="D172" s="159" t="s">
        <v>835</v>
      </c>
      <c r="E172" s="160">
        <f t="shared" si="9"/>
        <v>287836.49</v>
      </c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>
        <v>263836.49</v>
      </c>
      <c r="S172" s="160">
        <v>24000</v>
      </c>
      <c r="T172" s="160"/>
      <c r="U172" s="94">
        <v>1</v>
      </c>
      <c r="V172" s="117">
        <f t="shared" si="7"/>
        <v>0</v>
      </c>
    </row>
    <row r="173" spans="1:22" x14ac:dyDescent="0.25">
      <c r="A173" s="158">
        <f t="shared" si="10"/>
        <v>161</v>
      </c>
      <c r="B173" s="158">
        <f t="shared" si="10"/>
        <v>161</v>
      </c>
      <c r="C173" s="77" t="s">
        <v>568</v>
      </c>
      <c r="D173" s="159" t="s">
        <v>836</v>
      </c>
      <c r="E173" s="160">
        <f t="shared" si="9"/>
        <v>407307.97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>
        <v>399307.97</v>
      </c>
      <c r="S173" s="160">
        <v>8000</v>
      </c>
      <c r="T173" s="160"/>
      <c r="U173" s="94">
        <v>1</v>
      </c>
      <c r="V173" s="117">
        <f t="shared" si="7"/>
        <v>0</v>
      </c>
    </row>
    <row r="174" spans="1:22" x14ac:dyDescent="0.25">
      <c r="A174" s="158">
        <f t="shared" si="10"/>
        <v>162</v>
      </c>
      <c r="B174" s="158">
        <f t="shared" si="10"/>
        <v>162</v>
      </c>
      <c r="C174" s="77" t="s">
        <v>568</v>
      </c>
      <c r="D174" s="159" t="s">
        <v>837</v>
      </c>
      <c r="E174" s="160">
        <f t="shared" si="9"/>
        <v>349636.26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>
        <v>341636.26</v>
      </c>
      <c r="S174" s="160">
        <v>8000</v>
      </c>
      <c r="T174" s="160"/>
      <c r="U174" s="94">
        <v>1</v>
      </c>
      <c r="V174" s="117">
        <f t="shared" si="7"/>
        <v>0</v>
      </c>
    </row>
    <row r="175" spans="1:22" x14ac:dyDescent="0.25">
      <c r="A175" s="158">
        <f t="shared" si="10"/>
        <v>163</v>
      </c>
      <c r="B175" s="158">
        <f t="shared" si="10"/>
        <v>163</v>
      </c>
      <c r="C175" s="77" t="s">
        <v>568</v>
      </c>
      <c r="D175" s="153" t="s">
        <v>1169</v>
      </c>
      <c r="E175" s="160">
        <f t="shared" ref="E175:E190" si="11">SUM(F175:T175)</f>
        <v>127875.57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>
        <v>103875.57</v>
      </c>
      <c r="S175" s="160">
        <v>24000</v>
      </c>
      <c r="T175" s="160"/>
      <c r="U175" s="105">
        <v>1</v>
      </c>
      <c r="V175" s="117">
        <f>+E175-R175-S175</f>
        <v>0</v>
      </c>
    </row>
    <row r="176" spans="1:22" x14ac:dyDescent="0.25">
      <c r="A176" s="158">
        <f t="shared" si="10"/>
        <v>164</v>
      </c>
      <c r="B176" s="158">
        <f t="shared" si="10"/>
        <v>164</v>
      </c>
      <c r="C176" s="77" t="s">
        <v>568</v>
      </c>
      <c r="D176" s="153" t="s">
        <v>1170</v>
      </c>
      <c r="E176" s="160">
        <f t="shared" si="11"/>
        <v>149898.04999999999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>
        <v>125898.04999999999</v>
      </c>
      <c r="S176" s="160">
        <v>24000</v>
      </c>
      <c r="T176" s="160"/>
      <c r="U176" s="105">
        <v>1</v>
      </c>
      <c r="V176" s="117">
        <f>+E176-R176-S176</f>
        <v>0</v>
      </c>
    </row>
    <row r="177" spans="1:22" x14ac:dyDescent="0.25">
      <c r="A177" s="158">
        <f t="shared" si="10"/>
        <v>165</v>
      </c>
      <c r="B177" s="158">
        <f t="shared" si="10"/>
        <v>165</v>
      </c>
      <c r="C177" s="77" t="s">
        <v>568</v>
      </c>
      <c r="D177" s="153" t="s">
        <v>1171</v>
      </c>
      <c r="E177" s="160">
        <f t="shared" si="11"/>
        <v>137096.17000000001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>
        <v>113096.17000000001</v>
      </c>
      <c r="S177" s="160">
        <v>24000</v>
      </c>
      <c r="T177" s="160"/>
      <c r="U177" s="105">
        <v>1</v>
      </c>
      <c r="V177" s="117">
        <f>+E177-R177-S177</f>
        <v>0</v>
      </c>
    </row>
    <row r="178" spans="1:22" x14ac:dyDescent="0.25">
      <c r="A178" s="158">
        <f t="shared" si="10"/>
        <v>166</v>
      </c>
      <c r="B178" s="158">
        <f t="shared" si="10"/>
        <v>166</v>
      </c>
      <c r="C178" s="77" t="s">
        <v>568</v>
      </c>
      <c r="D178" s="153" t="s">
        <v>1138</v>
      </c>
      <c r="E178" s="160">
        <f t="shared" si="11"/>
        <v>117982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>
        <v>93982</v>
      </c>
      <c r="S178" s="160">
        <v>24000</v>
      </c>
      <c r="T178" s="160"/>
    </row>
    <row r="179" spans="1:22" x14ac:dyDescent="0.25">
      <c r="A179" s="158">
        <f t="shared" si="10"/>
        <v>167</v>
      </c>
      <c r="B179" s="158">
        <f t="shared" si="10"/>
        <v>167</v>
      </c>
      <c r="C179" s="77" t="s">
        <v>568</v>
      </c>
      <c r="D179" s="153" t="s">
        <v>1139</v>
      </c>
      <c r="E179" s="160">
        <f t="shared" si="11"/>
        <v>109894.5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>
        <v>85894.5</v>
      </c>
      <c r="S179" s="160">
        <v>24000</v>
      </c>
      <c r="T179" s="160"/>
    </row>
    <row r="180" spans="1:22" x14ac:dyDescent="0.25">
      <c r="A180" s="158">
        <f t="shared" si="10"/>
        <v>168</v>
      </c>
      <c r="B180" s="158">
        <f t="shared" si="10"/>
        <v>168</v>
      </c>
      <c r="C180" s="77" t="s">
        <v>72</v>
      </c>
      <c r="D180" s="153" t="s">
        <v>1172</v>
      </c>
      <c r="E180" s="160">
        <f t="shared" si="11"/>
        <v>51713.97</v>
      </c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>
        <v>27713.97</v>
      </c>
      <c r="S180" s="160">
        <v>24000</v>
      </c>
      <c r="T180" s="160"/>
    </row>
    <row r="181" spans="1:22" x14ac:dyDescent="0.25">
      <c r="A181" s="158">
        <f t="shared" si="10"/>
        <v>169</v>
      </c>
      <c r="B181" s="158">
        <f t="shared" si="10"/>
        <v>169</v>
      </c>
      <c r="C181" s="77" t="s">
        <v>72</v>
      </c>
      <c r="D181" s="153" t="s">
        <v>1173</v>
      </c>
      <c r="E181" s="160">
        <f t="shared" si="11"/>
        <v>27618.76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>
        <v>27618.76</v>
      </c>
      <c r="S181" s="160"/>
      <c r="T181" s="160"/>
    </row>
    <row r="182" spans="1:22" x14ac:dyDescent="0.25">
      <c r="A182" s="158">
        <f t="shared" si="10"/>
        <v>170</v>
      </c>
      <c r="B182" s="158">
        <f t="shared" si="10"/>
        <v>170</v>
      </c>
      <c r="C182" s="77" t="s">
        <v>72</v>
      </c>
      <c r="D182" s="153" t="s">
        <v>1174</v>
      </c>
      <c r="E182" s="160">
        <f t="shared" si="11"/>
        <v>54759.17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>
        <v>30759.17</v>
      </c>
      <c r="S182" s="160">
        <v>24000</v>
      </c>
      <c r="T182" s="160"/>
    </row>
    <row r="183" spans="1:22" x14ac:dyDescent="0.25">
      <c r="A183" s="158">
        <f t="shared" si="10"/>
        <v>171</v>
      </c>
      <c r="B183" s="158">
        <f t="shared" si="10"/>
        <v>171</v>
      </c>
      <c r="C183" s="77" t="s">
        <v>72</v>
      </c>
      <c r="D183" s="153" t="s">
        <v>1175</v>
      </c>
      <c r="E183" s="160">
        <f t="shared" si="11"/>
        <v>54727.43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>
        <v>30727.43</v>
      </c>
      <c r="S183" s="160">
        <v>24000</v>
      </c>
      <c r="T183" s="160"/>
    </row>
    <row r="184" spans="1:22" x14ac:dyDescent="0.25">
      <c r="A184" s="158">
        <f t="shared" si="10"/>
        <v>172</v>
      </c>
      <c r="B184" s="158">
        <f t="shared" si="10"/>
        <v>172</v>
      </c>
      <c r="C184" s="77" t="s">
        <v>568</v>
      </c>
      <c r="D184" s="153" t="s">
        <v>1176</v>
      </c>
      <c r="E184" s="160">
        <f t="shared" si="11"/>
        <v>136538.59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>
        <v>112538.59</v>
      </c>
      <c r="S184" s="160">
        <v>24000</v>
      </c>
      <c r="T184" s="160"/>
      <c r="U184" s="105">
        <v>1</v>
      </c>
      <c r="V184" s="117">
        <f t="shared" ref="V184:V205" si="12">+E184-R184-S184</f>
        <v>0</v>
      </c>
    </row>
    <row r="185" spans="1:22" x14ac:dyDescent="0.25">
      <c r="A185" s="158">
        <f t="shared" si="10"/>
        <v>173</v>
      </c>
      <c r="B185" s="158">
        <f t="shared" si="10"/>
        <v>173</v>
      </c>
      <c r="C185" s="77" t="s">
        <v>568</v>
      </c>
      <c r="D185" s="153" t="s">
        <v>1177</v>
      </c>
      <c r="E185" s="160">
        <f t="shared" si="11"/>
        <v>113183.56</v>
      </c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>
        <v>89183.56</v>
      </c>
      <c r="S185" s="160">
        <v>24000</v>
      </c>
      <c r="T185" s="160"/>
      <c r="U185" s="105">
        <v>1</v>
      </c>
      <c r="V185" s="117">
        <f t="shared" si="12"/>
        <v>0</v>
      </c>
    </row>
    <row r="186" spans="1:22" x14ac:dyDescent="0.25">
      <c r="A186" s="158">
        <f t="shared" si="10"/>
        <v>174</v>
      </c>
      <c r="B186" s="158">
        <f t="shared" si="10"/>
        <v>174</v>
      </c>
      <c r="C186" s="77" t="s">
        <v>568</v>
      </c>
      <c r="D186" s="153" t="s">
        <v>1178</v>
      </c>
      <c r="E186" s="160">
        <f t="shared" si="11"/>
        <v>93857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>
        <v>69857</v>
      </c>
      <c r="S186" s="160">
        <v>24000</v>
      </c>
      <c r="T186" s="160"/>
      <c r="U186" s="105">
        <v>1</v>
      </c>
      <c r="V186" s="117">
        <f t="shared" si="12"/>
        <v>0</v>
      </c>
    </row>
    <row r="187" spans="1:22" x14ac:dyDescent="0.25">
      <c r="A187" s="158">
        <f t="shared" si="10"/>
        <v>175</v>
      </c>
      <c r="B187" s="158">
        <f t="shared" si="10"/>
        <v>175</v>
      </c>
      <c r="C187" s="77" t="s">
        <v>568</v>
      </c>
      <c r="D187" s="153" t="s">
        <v>1179</v>
      </c>
      <c r="E187" s="160">
        <f t="shared" si="11"/>
        <v>120164.31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>
        <v>96164.31</v>
      </c>
      <c r="S187" s="160">
        <v>24000</v>
      </c>
      <c r="T187" s="160"/>
      <c r="U187" s="105">
        <v>1</v>
      </c>
      <c r="V187" s="117">
        <f t="shared" si="12"/>
        <v>0</v>
      </c>
    </row>
    <row r="188" spans="1:22" x14ac:dyDescent="0.25">
      <c r="A188" s="158">
        <f t="shared" si="10"/>
        <v>176</v>
      </c>
      <c r="B188" s="158">
        <f t="shared" si="10"/>
        <v>176</v>
      </c>
      <c r="C188" s="77" t="s">
        <v>568</v>
      </c>
      <c r="D188" s="153" t="s">
        <v>1180</v>
      </c>
      <c r="E188" s="160">
        <f t="shared" si="11"/>
        <v>97271.89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>
        <v>73271.89</v>
      </c>
      <c r="S188" s="160">
        <v>24000</v>
      </c>
      <c r="T188" s="160"/>
      <c r="U188" s="105">
        <v>1</v>
      </c>
      <c r="V188" s="117">
        <f t="shared" si="12"/>
        <v>0</v>
      </c>
    </row>
    <row r="189" spans="1:22" x14ac:dyDescent="0.25">
      <c r="A189" s="158">
        <f t="shared" si="10"/>
        <v>177</v>
      </c>
      <c r="B189" s="158">
        <f t="shared" si="10"/>
        <v>177</v>
      </c>
      <c r="C189" s="77" t="s">
        <v>568</v>
      </c>
      <c r="D189" s="153" t="s">
        <v>1181</v>
      </c>
      <c r="E189" s="160">
        <f t="shared" si="11"/>
        <v>143204.79999999999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>
        <v>119204.79999999999</v>
      </c>
      <c r="S189" s="160">
        <v>24000</v>
      </c>
      <c r="T189" s="160"/>
      <c r="U189" s="105">
        <v>1</v>
      </c>
      <c r="V189" s="117">
        <f t="shared" si="12"/>
        <v>0</v>
      </c>
    </row>
    <row r="190" spans="1:22" x14ac:dyDescent="0.25">
      <c r="A190" s="158">
        <f t="shared" si="10"/>
        <v>178</v>
      </c>
      <c r="B190" s="158">
        <f t="shared" si="10"/>
        <v>178</v>
      </c>
      <c r="C190" s="77" t="s">
        <v>568</v>
      </c>
      <c r="D190" s="153" t="s">
        <v>1182</v>
      </c>
      <c r="E190" s="160">
        <f t="shared" si="11"/>
        <v>52602.23</v>
      </c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>
        <v>52602.23</v>
      </c>
      <c r="S190" s="160"/>
      <c r="T190" s="160"/>
      <c r="U190" s="105">
        <v>1</v>
      </c>
      <c r="V190" s="117">
        <f t="shared" si="12"/>
        <v>0</v>
      </c>
    </row>
    <row r="191" spans="1:22" x14ac:dyDescent="0.25">
      <c r="A191" s="158">
        <f t="shared" si="10"/>
        <v>179</v>
      </c>
      <c r="B191" s="158">
        <f t="shared" si="10"/>
        <v>179</v>
      </c>
      <c r="C191" s="77" t="s">
        <v>568</v>
      </c>
      <c r="D191" s="159" t="s">
        <v>838</v>
      </c>
      <c r="E191" s="160">
        <f t="shared" si="9"/>
        <v>759551.38000000012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>
        <v>735551.38000000012</v>
      </c>
      <c r="S191" s="160">
        <v>24000</v>
      </c>
      <c r="T191" s="160"/>
      <c r="U191" s="94">
        <v>1</v>
      </c>
      <c r="V191" s="117">
        <f t="shared" si="12"/>
        <v>0</v>
      </c>
    </row>
    <row r="192" spans="1:22" x14ac:dyDescent="0.25">
      <c r="A192" s="158">
        <f t="shared" si="10"/>
        <v>180</v>
      </c>
      <c r="B192" s="158">
        <f t="shared" si="10"/>
        <v>180</v>
      </c>
      <c r="C192" s="77" t="s">
        <v>568</v>
      </c>
      <c r="D192" s="153" t="s">
        <v>1183</v>
      </c>
      <c r="E192" s="160">
        <f>SUM(F192:T192)</f>
        <v>158663.30000000002</v>
      </c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>
        <v>134663.30000000002</v>
      </c>
      <c r="S192" s="160">
        <v>24000</v>
      </c>
      <c r="T192" s="160"/>
      <c r="U192" s="105">
        <v>1</v>
      </c>
      <c r="V192" s="117">
        <f>+E192-R192-S192</f>
        <v>0</v>
      </c>
    </row>
    <row r="193" spans="1:22" x14ac:dyDescent="0.25">
      <c r="A193" s="158">
        <f t="shared" si="10"/>
        <v>181</v>
      </c>
      <c r="B193" s="158">
        <f t="shared" si="10"/>
        <v>181</v>
      </c>
      <c r="C193" s="77" t="s">
        <v>568</v>
      </c>
      <c r="D193" s="153" t="s">
        <v>1184</v>
      </c>
      <c r="E193" s="160">
        <f>SUM(F193:T193)</f>
        <v>90391.22</v>
      </c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>
        <v>90391.22</v>
      </c>
      <c r="S193" s="160"/>
      <c r="T193" s="160"/>
      <c r="U193" s="108">
        <v>1</v>
      </c>
      <c r="V193" s="117">
        <f>+E193-R193-S193</f>
        <v>0</v>
      </c>
    </row>
    <row r="194" spans="1:22" x14ac:dyDescent="0.25">
      <c r="A194" s="158">
        <f t="shared" si="10"/>
        <v>182</v>
      </c>
      <c r="B194" s="158">
        <f t="shared" si="10"/>
        <v>182</v>
      </c>
      <c r="C194" s="77" t="s">
        <v>568</v>
      </c>
      <c r="D194" s="159" t="s">
        <v>839</v>
      </c>
      <c r="E194" s="160">
        <f t="shared" si="9"/>
        <v>165401.01999999999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>
        <v>157401.01999999999</v>
      </c>
      <c r="S194" s="160">
        <v>8000</v>
      </c>
      <c r="T194" s="160"/>
      <c r="U194" s="94">
        <v>1</v>
      </c>
      <c r="V194" s="117">
        <f t="shared" si="12"/>
        <v>0</v>
      </c>
    </row>
    <row r="195" spans="1:22" x14ac:dyDescent="0.25">
      <c r="A195" s="158">
        <f t="shared" si="10"/>
        <v>183</v>
      </c>
      <c r="B195" s="158">
        <f t="shared" si="10"/>
        <v>183</v>
      </c>
      <c r="C195" s="77" t="s">
        <v>568</v>
      </c>
      <c r="D195" s="159" t="s">
        <v>840</v>
      </c>
      <c r="E195" s="160">
        <f t="shared" si="9"/>
        <v>208906.47999999998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>
        <v>200906.47999999998</v>
      </c>
      <c r="S195" s="160">
        <v>8000</v>
      </c>
      <c r="T195" s="160"/>
      <c r="U195" s="94">
        <v>1</v>
      </c>
      <c r="V195" s="117">
        <f t="shared" si="12"/>
        <v>0</v>
      </c>
    </row>
    <row r="196" spans="1:22" x14ac:dyDescent="0.25">
      <c r="A196" s="158">
        <f t="shared" si="10"/>
        <v>184</v>
      </c>
      <c r="B196" s="158">
        <f t="shared" si="10"/>
        <v>184</v>
      </c>
      <c r="C196" s="77" t="s">
        <v>568</v>
      </c>
      <c r="D196" s="159" t="s">
        <v>841</v>
      </c>
      <c r="E196" s="160">
        <f t="shared" si="9"/>
        <v>208225.19</v>
      </c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>
        <v>200225.19</v>
      </c>
      <c r="S196" s="160">
        <v>8000</v>
      </c>
      <c r="T196" s="160"/>
      <c r="U196" s="94">
        <v>1</v>
      </c>
      <c r="V196" s="117">
        <f t="shared" si="12"/>
        <v>0</v>
      </c>
    </row>
    <row r="197" spans="1:22" x14ac:dyDescent="0.25">
      <c r="A197" s="158">
        <f t="shared" si="10"/>
        <v>185</v>
      </c>
      <c r="B197" s="158">
        <f t="shared" si="10"/>
        <v>185</v>
      </c>
      <c r="C197" s="77" t="s">
        <v>568</v>
      </c>
      <c r="D197" s="159" t="s">
        <v>842</v>
      </c>
      <c r="E197" s="160">
        <f t="shared" si="9"/>
        <v>291527.46999999997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>
        <v>283527.46999999997</v>
      </c>
      <c r="S197" s="160">
        <v>8000</v>
      </c>
      <c r="T197" s="160"/>
      <c r="U197" s="94">
        <v>1</v>
      </c>
      <c r="V197" s="117">
        <f t="shared" si="12"/>
        <v>0</v>
      </c>
    </row>
    <row r="198" spans="1:22" x14ac:dyDescent="0.25">
      <c r="A198" s="158">
        <f t="shared" si="10"/>
        <v>186</v>
      </c>
      <c r="B198" s="158">
        <f t="shared" si="10"/>
        <v>186</v>
      </c>
      <c r="C198" s="77" t="s">
        <v>568</v>
      </c>
      <c r="D198" s="159" t="s">
        <v>844</v>
      </c>
      <c r="E198" s="160">
        <f t="shared" si="9"/>
        <v>234212.08000000002</v>
      </c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>
        <v>226212.08000000002</v>
      </c>
      <c r="S198" s="160">
        <v>8000</v>
      </c>
      <c r="T198" s="160"/>
      <c r="U198" s="94">
        <v>1</v>
      </c>
      <c r="V198" s="117">
        <f t="shared" si="12"/>
        <v>0</v>
      </c>
    </row>
    <row r="199" spans="1:22" x14ac:dyDescent="0.25">
      <c r="A199" s="158">
        <f t="shared" si="10"/>
        <v>187</v>
      </c>
      <c r="B199" s="158">
        <f t="shared" si="10"/>
        <v>187</v>
      </c>
      <c r="C199" s="77" t="s">
        <v>568</v>
      </c>
      <c r="D199" s="159" t="s">
        <v>846</v>
      </c>
      <c r="E199" s="160">
        <f t="shared" si="9"/>
        <v>406095.02</v>
      </c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>
        <v>398095.02</v>
      </c>
      <c r="S199" s="160">
        <v>8000</v>
      </c>
      <c r="T199" s="160"/>
      <c r="U199" s="94">
        <v>1</v>
      </c>
      <c r="V199" s="117">
        <f t="shared" si="12"/>
        <v>0</v>
      </c>
    </row>
    <row r="200" spans="1:22" x14ac:dyDescent="0.25">
      <c r="A200" s="158">
        <f t="shared" si="10"/>
        <v>188</v>
      </c>
      <c r="B200" s="158">
        <f t="shared" si="10"/>
        <v>188</v>
      </c>
      <c r="C200" s="77" t="s">
        <v>568</v>
      </c>
      <c r="D200" s="159" t="s">
        <v>847</v>
      </c>
      <c r="E200" s="160">
        <f t="shared" si="9"/>
        <v>1383147.26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>
        <v>1359147.26</v>
      </c>
      <c r="S200" s="160">
        <v>24000</v>
      </c>
      <c r="T200" s="160"/>
      <c r="U200" s="94">
        <v>1</v>
      </c>
      <c r="V200" s="117">
        <f t="shared" si="12"/>
        <v>0</v>
      </c>
    </row>
    <row r="201" spans="1:22" x14ac:dyDescent="0.25">
      <c r="A201" s="158">
        <f t="shared" si="10"/>
        <v>189</v>
      </c>
      <c r="B201" s="158">
        <f t="shared" si="10"/>
        <v>189</v>
      </c>
      <c r="C201" s="77" t="s">
        <v>568</v>
      </c>
      <c r="D201" s="159" t="s">
        <v>1154</v>
      </c>
      <c r="E201" s="160">
        <f>SUM(F201:T201)</f>
        <v>82537.200845238855</v>
      </c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>
        <v>58537.200845238855</v>
      </c>
      <c r="S201" s="160">
        <v>24000</v>
      </c>
      <c r="T201" s="160"/>
      <c r="U201" s="105">
        <v>1</v>
      </c>
      <c r="V201" s="117">
        <f>+E201-R201-S201</f>
        <v>0</v>
      </c>
    </row>
    <row r="202" spans="1:22" x14ac:dyDescent="0.25">
      <c r="A202" s="158">
        <f t="shared" si="10"/>
        <v>190</v>
      </c>
      <c r="B202" s="158">
        <f t="shared" si="10"/>
        <v>190</v>
      </c>
      <c r="C202" s="77" t="s">
        <v>568</v>
      </c>
      <c r="D202" s="159" t="s">
        <v>850</v>
      </c>
      <c r="E202" s="160">
        <f t="shared" si="9"/>
        <v>145201.22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>
        <v>121201.22</v>
      </c>
      <c r="S202" s="160">
        <v>24000</v>
      </c>
      <c r="T202" s="160"/>
      <c r="U202" s="94">
        <v>1</v>
      </c>
      <c r="V202" s="117">
        <f t="shared" si="12"/>
        <v>0</v>
      </c>
    </row>
    <row r="203" spans="1:22" x14ac:dyDescent="0.25">
      <c r="A203" s="158">
        <f t="shared" si="10"/>
        <v>191</v>
      </c>
      <c r="B203" s="158">
        <f t="shared" si="10"/>
        <v>191</v>
      </c>
      <c r="C203" s="77" t="s">
        <v>568</v>
      </c>
      <c r="D203" s="153" t="s">
        <v>1140</v>
      </c>
      <c r="E203" s="160">
        <f>SUM(F203:T203)</f>
        <v>435346.44</v>
      </c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>
        <v>411346.44</v>
      </c>
      <c r="S203" s="160">
        <v>24000</v>
      </c>
      <c r="T203" s="160"/>
    </row>
    <row r="204" spans="1:22" x14ac:dyDescent="0.25">
      <c r="A204" s="158">
        <f t="shared" si="10"/>
        <v>192</v>
      </c>
      <c r="B204" s="158">
        <f t="shared" si="10"/>
        <v>192</v>
      </c>
      <c r="C204" s="77" t="s">
        <v>568</v>
      </c>
      <c r="D204" s="153" t="s">
        <v>1185</v>
      </c>
      <c r="E204" s="160">
        <f>SUM(F204:T204)</f>
        <v>112223.26582337829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>
        <v>88223.265823378286</v>
      </c>
      <c r="S204" s="160">
        <v>24000</v>
      </c>
      <c r="T204" s="160"/>
    </row>
    <row r="205" spans="1:22" x14ac:dyDescent="0.25">
      <c r="A205" s="158">
        <f t="shared" si="10"/>
        <v>193</v>
      </c>
      <c r="B205" s="158">
        <f t="shared" si="10"/>
        <v>193</v>
      </c>
      <c r="C205" s="77" t="s">
        <v>1117</v>
      </c>
      <c r="D205" s="159" t="s">
        <v>854</v>
      </c>
      <c r="E205" s="160">
        <f t="shared" si="9"/>
        <v>1336365.3899999999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>
        <v>1304365.3899999999</v>
      </c>
      <c r="S205" s="160">
        <v>32000</v>
      </c>
      <c r="T205" s="160"/>
      <c r="U205" s="94">
        <v>1</v>
      </c>
      <c r="V205" s="117">
        <f t="shared" si="12"/>
        <v>0</v>
      </c>
    </row>
    <row r="206" spans="1:22" x14ac:dyDescent="0.25">
      <c r="A206" s="158">
        <f t="shared" ref="A206:B269" si="13">+A205+1</f>
        <v>194</v>
      </c>
      <c r="B206" s="158">
        <f t="shared" si="13"/>
        <v>194</v>
      </c>
      <c r="C206" s="77" t="s">
        <v>1117</v>
      </c>
      <c r="D206" s="159" t="s">
        <v>1008</v>
      </c>
      <c r="E206" s="160">
        <f>SUM(F206:T206)</f>
        <v>1977855.4499999997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>
        <v>1953855.4499999997</v>
      </c>
      <c r="S206" s="160">
        <v>24000</v>
      </c>
      <c r="T206" s="160"/>
      <c r="U206" s="94">
        <v>1</v>
      </c>
      <c r="V206" s="117">
        <f>+E206-R206-S206</f>
        <v>0</v>
      </c>
    </row>
    <row r="207" spans="1:22" x14ac:dyDescent="0.25">
      <c r="A207" s="158">
        <f t="shared" si="13"/>
        <v>195</v>
      </c>
      <c r="B207" s="158">
        <f t="shared" si="13"/>
        <v>195</v>
      </c>
      <c r="C207" s="77" t="s">
        <v>45</v>
      </c>
      <c r="D207" s="153" t="s">
        <v>1141</v>
      </c>
      <c r="E207" s="160">
        <f>SUM(F207:T207)</f>
        <v>401324.47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>
        <v>377324.47</v>
      </c>
      <c r="S207" s="160">
        <v>24000</v>
      </c>
      <c r="T207" s="160"/>
    </row>
    <row r="208" spans="1:22" x14ac:dyDescent="0.25">
      <c r="A208" s="158">
        <f t="shared" si="13"/>
        <v>196</v>
      </c>
      <c r="B208" s="158">
        <f t="shared" si="13"/>
        <v>196</v>
      </c>
      <c r="C208" s="77" t="s">
        <v>87</v>
      </c>
      <c r="D208" s="159" t="s">
        <v>762</v>
      </c>
      <c r="E208" s="160">
        <f>SUM(F208:T208)</f>
        <v>270010.12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>
        <v>260010.12</v>
      </c>
      <c r="S208" s="160">
        <v>10000</v>
      </c>
      <c r="T208" s="160"/>
      <c r="U208" s="94">
        <v>1</v>
      </c>
      <c r="V208" s="117">
        <f t="shared" ref="V208:V271" si="14">+E208-R208-S208</f>
        <v>0</v>
      </c>
    </row>
    <row r="209" spans="1:22" x14ac:dyDescent="0.25">
      <c r="A209" s="158">
        <f t="shared" si="13"/>
        <v>197</v>
      </c>
      <c r="B209" s="158">
        <f t="shared" si="13"/>
        <v>197</v>
      </c>
      <c r="C209" s="77" t="s">
        <v>87</v>
      </c>
      <c r="D209" s="159" t="s">
        <v>1102</v>
      </c>
      <c r="E209" s="160">
        <f t="shared" ref="E209:E212" si="15">SUM(F209:T209)</f>
        <v>161111.72</v>
      </c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>
        <v>151111.72</v>
      </c>
      <c r="S209" s="160">
        <v>10000</v>
      </c>
      <c r="T209" s="160"/>
      <c r="U209" s="94">
        <v>1</v>
      </c>
      <c r="V209" s="117">
        <f t="shared" si="14"/>
        <v>0</v>
      </c>
    </row>
    <row r="210" spans="1:22" x14ac:dyDescent="0.25">
      <c r="A210" s="158">
        <f t="shared" si="13"/>
        <v>198</v>
      </c>
      <c r="B210" s="158">
        <f t="shared" si="13"/>
        <v>198</v>
      </c>
      <c r="C210" s="77" t="s">
        <v>87</v>
      </c>
      <c r="D210" s="159" t="s">
        <v>1104</v>
      </c>
      <c r="E210" s="160">
        <f t="shared" si="15"/>
        <v>159616.04999999999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>
        <v>149616.04999999999</v>
      </c>
      <c r="S210" s="160">
        <v>10000</v>
      </c>
      <c r="T210" s="160"/>
      <c r="U210" s="94">
        <v>1</v>
      </c>
      <c r="V210" s="117">
        <f t="shared" si="14"/>
        <v>0</v>
      </c>
    </row>
    <row r="211" spans="1:22" x14ac:dyDescent="0.25">
      <c r="A211" s="158">
        <f t="shared" si="13"/>
        <v>199</v>
      </c>
      <c r="B211" s="158">
        <f t="shared" si="13"/>
        <v>199</v>
      </c>
      <c r="C211" s="77" t="s">
        <v>87</v>
      </c>
      <c r="D211" s="159" t="s">
        <v>1105</v>
      </c>
      <c r="E211" s="160">
        <f t="shared" si="15"/>
        <v>163637.26999999999</v>
      </c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>
        <v>153637.26999999999</v>
      </c>
      <c r="S211" s="160">
        <v>10000</v>
      </c>
      <c r="T211" s="160"/>
      <c r="U211" s="94">
        <v>1</v>
      </c>
      <c r="V211" s="117">
        <f t="shared" si="14"/>
        <v>0</v>
      </c>
    </row>
    <row r="212" spans="1:22" x14ac:dyDescent="0.25">
      <c r="A212" s="158">
        <f t="shared" si="13"/>
        <v>200</v>
      </c>
      <c r="B212" s="158">
        <f t="shared" si="13"/>
        <v>200</v>
      </c>
      <c r="C212" s="77" t="s">
        <v>87</v>
      </c>
      <c r="D212" s="159" t="s">
        <v>763</v>
      </c>
      <c r="E212" s="160">
        <f t="shared" si="15"/>
        <v>244655.29</v>
      </c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>
        <v>234655.29</v>
      </c>
      <c r="S212" s="160">
        <v>10000</v>
      </c>
      <c r="T212" s="160"/>
      <c r="U212" s="94">
        <v>1</v>
      </c>
      <c r="V212" s="117">
        <f t="shared" si="14"/>
        <v>0</v>
      </c>
    </row>
    <row r="213" spans="1:22" x14ac:dyDescent="0.25">
      <c r="A213" s="158">
        <f t="shared" si="13"/>
        <v>201</v>
      </c>
      <c r="B213" s="158">
        <f t="shared" si="13"/>
        <v>201</v>
      </c>
      <c r="C213" s="77" t="s">
        <v>87</v>
      </c>
      <c r="D213" s="159" t="s">
        <v>764</v>
      </c>
      <c r="E213" s="160">
        <f t="shared" ref="E213:E276" si="16">SUM(F213:T213)</f>
        <v>202894.83</v>
      </c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>
        <v>192894.83</v>
      </c>
      <c r="S213" s="160">
        <v>10000</v>
      </c>
      <c r="T213" s="160"/>
      <c r="U213" s="94">
        <v>1</v>
      </c>
      <c r="V213" s="117">
        <f t="shared" si="14"/>
        <v>0</v>
      </c>
    </row>
    <row r="214" spans="1:22" x14ac:dyDescent="0.25">
      <c r="A214" s="158">
        <f t="shared" si="13"/>
        <v>202</v>
      </c>
      <c r="B214" s="158">
        <f t="shared" si="13"/>
        <v>202</v>
      </c>
      <c r="C214" s="77" t="s">
        <v>87</v>
      </c>
      <c r="D214" s="159" t="s">
        <v>765</v>
      </c>
      <c r="E214" s="160">
        <f t="shared" si="16"/>
        <v>139588.24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>
        <v>131588.24</v>
      </c>
      <c r="S214" s="160">
        <v>8000</v>
      </c>
      <c r="T214" s="160"/>
      <c r="U214" s="94">
        <v>1</v>
      </c>
      <c r="V214" s="117">
        <f t="shared" si="14"/>
        <v>0</v>
      </c>
    </row>
    <row r="215" spans="1:22" x14ac:dyDescent="0.25">
      <c r="A215" s="158">
        <f t="shared" si="13"/>
        <v>203</v>
      </c>
      <c r="B215" s="158">
        <f t="shared" si="13"/>
        <v>203</v>
      </c>
      <c r="C215" s="77" t="s">
        <v>87</v>
      </c>
      <c r="D215" s="159" t="s">
        <v>766</v>
      </c>
      <c r="E215" s="160">
        <f t="shared" si="16"/>
        <v>134430.18</v>
      </c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>
        <v>126430.18</v>
      </c>
      <c r="S215" s="160">
        <v>8000</v>
      </c>
      <c r="T215" s="160"/>
      <c r="U215" s="94">
        <v>1</v>
      </c>
      <c r="V215" s="117">
        <f t="shared" si="14"/>
        <v>0</v>
      </c>
    </row>
    <row r="216" spans="1:22" x14ac:dyDescent="0.25">
      <c r="A216" s="158">
        <f t="shared" si="13"/>
        <v>204</v>
      </c>
      <c r="B216" s="158">
        <f t="shared" si="13"/>
        <v>204</v>
      </c>
      <c r="C216" s="77" t="s">
        <v>87</v>
      </c>
      <c r="D216" s="159" t="s">
        <v>767</v>
      </c>
      <c r="E216" s="160">
        <f t="shared" si="16"/>
        <v>113169.23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>
        <v>105169.23</v>
      </c>
      <c r="S216" s="160">
        <v>8000</v>
      </c>
      <c r="T216" s="160"/>
      <c r="U216" s="94">
        <v>1</v>
      </c>
      <c r="V216" s="117">
        <f t="shared" si="14"/>
        <v>0</v>
      </c>
    </row>
    <row r="217" spans="1:22" x14ac:dyDescent="0.25">
      <c r="A217" s="158">
        <f t="shared" si="13"/>
        <v>205</v>
      </c>
      <c r="B217" s="158">
        <f t="shared" si="13"/>
        <v>205</v>
      </c>
      <c r="C217" s="77" t="s">
        <v>87</v>
      </c>
      <c r="D217" s="159" t="s">
        <v>768</v>
      </c>
      <c r="E217" s="160">
        <f t="shared" si="16"/>
        <v>375830.81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>
        <v>351830.81</v>
      </c>
      <c r="S217" s="160">
        <v>24000</v>
      </c>
      <c r="T217" s="160"/>
      <c r="U217" s="94">
        <v>1</v>
      </c>
      <c r="V217" s="117">
        <f t="shared" si="14"/>
        <v>0</v>
      </c>
    </row>
    <row r="218" spans="1:22" x14ac:dyDescent="0.25">
      <c r="A218" s="158">
        <f t="shared" si="13"/>
        <v>206</v>
      </c>
      <c r="B218" s="158">
        <f t="shared" si="13"/>
        <v>206</v>
      </c>
      <c r="C218" s="77" t="s">
        <v>87</v>
      </c>
      <c r="D218" s="159" t="s">
        <v>769</v>
      </c>
      <c r="E218" s="160">
        <f t="shared" si="16"/>
        <v>252162.69</v>
      </c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>
        <v>228162.69</v>
      </c>
      <c r="S218" s="160">
        <v>24000</v>
      </c>
      <c r="T218" s="160"/>
      <c r="U218" s="94">
        <v>1</v>
      </c>
      <c r="V218" s="117">
        <f t="shared" si="14"/>
        <v>0</v>
      </c>
    </row>
    <row r="219" spans="1:22" x14ac:dyDescent="0.25">
      <c r="A219" s="158">
        <f t="shared" si="13"/>
        <v>207</v>
      </c>
      <c r="B219" s="158">
        <f t="shared" si="13"/>
        <v>207</v>
      </c>
      <c r="C219" s="77" t="s">
        <v>87</v>
      </c>
      <c r="D219" s="159" t="s">
        <v>770</v>
      </c>
      <c r="E219" s="160">
        <f t="shared" si="16"/>
        <v>201169.38</v>
      </c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>
        <v>177169.38</v>
      </c>
      <c r="S219" s="160">
        <v>24000</v>
      </c>
      <c r="T219" s="160"/>
      <c r="U219" s="94">
        <v>1</v>
      </c>
      <c r="V219" s="117">
        <f t="shared" si="14"/>
        <v>0</v>
      </c>
    </row>
    <row r="220" spans="1:22" x14ac:dyDescent="0.25">
      <c r="A220" s="158">
        <f t="shared" si="13"/>
        <v>208</v>
      </c>
      <c r="B220" s="158">
        <f t="shared" si="13"/>
        <v>208</v>
      </c>
      <c r="C220" s="77" t="s">
        <v>87</v>
      </c>
      <c r="D220" s="159" t="s">
        <v>771</v>
      </c>
      <c r="E220" s="160">
        <f t="shared" si="16"/>
        <v>352845.43</v>
      </c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>
        <v>328845.43</v>
      </c>
      <c r="S220" s="160">
        <v>24000</v>
      </c>
      <c r="T220" s="160"/>
      <c r="U220" s="94">
        <v>1</v>
      </c>
      <c r="V220" s="117">
        <f t="shared" si="14"/>
        <v>0</v>
      </c>
    </row>
    <row r="221" spans="1:22" x14ac:dyDescent="0.25">
      <c r="A221" s="158">
        <f t="shared" si="13"/>
        <v>209</v>
      </c>
      <c r="B221" s="158">
        <f t="shared" si="13"/>
        <v>209</v>
      </c>
      <c r="C221" s="77" t="s">
        <v>87</v>
      </c>
      <c r="D221" s="159" t="s">
        <v>772</v>
      </c>
      <c r="E221" s="160">
        <f t="shared" si="16"/>
        <v>252532.38999999998</v>
      </c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>
        <v>228532.38999999998</v>
      </c>
      <c r="S221" s="160">
        <v>24000</v>
      </c>
      <c r="T221" s="160"/>
      <c r="U221" s="94">
        <v>1</v>
      </c>
      <c r="V221" s="117">
        <f t="shared" si="14"/>
        <v>0</v>
      </c>
    </row>
    <row r="222" spans="1:22" x14ac:dyDescent="0.25">
      <c r="A222" s="158">
        <f t="shared" si="13"/>
        <v>210</v>
      </c>
      <c r="B222" s="158">
        <f t="shared" si="13"/>
        <v>210</v>
      </c>
      <c r="C222" s="77" t="s">
        <v>87</v>
      </c>
      <c r="D222" s="159" t="s">
        <v>773</v>
      </c>
      <c r="E222" s="160">
        <f t="shared" si="16"/>
        <v>380273.64</v>
      </c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>
        <v>356273.64</v>
      </c>
      <c r="S222" s="160">
        <v>24000</v>
      </c>
      <c r="T222" s="160"/>
      <c r="U222" s="94">
        <v>1</v>
      </c>
      <c r="V222" s="117">
        <f t="shared" si="14"/>
        <v>0</v>
      </c>
    </row>
    <row r="223" spans="1:22" x14ac:dyDescent="0.25">
      <c r="A223" s="158">
        <f t="shared" si="13"/>
        <v>211</v>
      </c>
      <c r="B223" s="158">
        <f t="shared" si="13"/>
        <v>211</v>
      </c>
      <c r="C223" s="77" t="s">
        <v>87</v>
      </c>
      <c r="D223" s="159" t="s">
        <v>774</v>
      </c>
      <c r="E223" s="160">
        <f t="shared" si="16"/>
        <v>148651.82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>
        <v>124651.82</v>
      </c>
      <c r="S223" s="160">
        <v>24000</v>
      </c>
      <c r="T223" s="160"/>
      <c r="U223" s="94">
        <v>1</v>
      </c>
      <c r="V223" s="117">
        <f t="shared" si="14"/>
        <v>0</v>
      </c>
    </row>
    <row r="224" spans="1:22" x14ac:dyDescent="0.25">
      <c r="A224" s="158">
        <f t="shared" si="13"/>
        <v>212</v>
      </c>
      <c r="B224" s="158">
        <f t="shared" si="13"/>
        <v>212</v>
      </c>
      <c r="C224" s="77" t="s">
        <v>87</v>
      </c>
      <c r="D224" s="159" t="s">
        <v>775</v>
      </c>
      <c r="E224" s="160">
        <f t="shared" si="16"/>
        <v>356869.12000000005</v>
      </c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>
        <v>332869.12000000005</v>
      </c>
      <c r="S224" s="160">
        <v>24000</v>
      </c>
      <c r="T224" s="160"/>
      <c r="U224" s="94">
        <v>1</v>
      </c>
      <c r="V224" s="117">
        <f t="shared" si="14"/>
        <v>0</v>
      </c>
    </row>
    <row r="225" spans="1:22" x14ac:dyDescent="0.25">
      <c r="A225" s="158">
        <f t="shared" si="13"/>
        <v>213</v>
      </c>
      <c r="B225" s="158">
        <f t="shared" si="13"/>
        <v>213</v>
      </c>
      <c r="C225" s="77" t="s">
        <v>87</v>
      </c>
      <c r="D225" s="159" t="s">
        <v>776</v>
      </c>
      <c r="E225" s="160">
        <f t="shared" si="16"/>
        <v>390055.05</v>
      </c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>
        <v>366055.05</v>
      </c>
      <c r="S225" s="160">
        <v>24000</v>
      </c>
      <c r="T225" s="160"/>
      <c r="U225" s="94">
        <v>1</v>
      </c>
      <c r="V225" s="117">
        <f t="shared" si="14"/>
        <v>0</v>
      </c>
    </row>
    <row r="226" spans="1:22" x14ac:dyDescent="0.25">
      <c r="A226" s="158">
        <f t="shared" si="13"/>
        <v>214</v>
      </c>
      <c r="B226" s="158">
        <f t="shared" si="13"/>
        <v>214</v>
      </c>
      <c r="C226" s="77" t="s">
        <v>87</v>
      </c>
      <c r="D226" s="159" t="s">
        <v>777</v>
      </c>
      <c r="E226" s="160">
        <f t="shared" si="16"/>
        <v>480430.27000000008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>
        <v>456430.27000000008</v>
      </c>
      <c r="S226" s="160">
        <v>24000</v>
      </c>
      <c r="T226" s="160"/>
      <c r="U226" s="94">
        <v>1</v>
      </c>
      <c r="V226" s="117">
        <f t="shared" si="14"/>
        <v>0</v>
      </c>
    </row>
    <row r="227" spans="1:22" x14ac:dyDescent="0.25">
      <c r="A227" s="158">
        <f t="shared" si="13"/>
        <v>215</v>
      </c>
      <c r="B227" s="158">
        <f t="shared" si="13"/>
        <v>215</v>
      </c>
      <c r="C227" s="77" t="s">
        <v>87</v>
      </c>
      <c r="D227" s="159" t="s">
        <v>778</v>
      </c>
      <c r="E227" s="160">
        <f t="shared" si="16"/>
        <v>377148.54</v>
      </c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>
        <v>353148.54</v>
      </c>
      <c r="S227" s="160">
        <v>24000</v>
      </c>
      <c r="T227" s="160"/>
      <c r="U227" s="94">
        <v>1</v>
      </c>
      <c r="V227" s="117">
        <f t="shared" si="14"/>
        <v>0</v>
      </c>
    </row>
    <row r="228" spans="1:22" x14ac:dyDescent="0.25">
      <c r="A228" s="158">
        <f t="shared" si="13"/>
        <v>216</v>
      </c>
      <c r="B228" s="158">
        <f t="shared" si="13"/>
        <v>216</v>
      </c>
      <c r="C228" s="77" t="s">
        <v>87</v>
      </c>
      <c r="D228" s="159" t="s">
        <v>779</v>
      </c>
      <c r="E228" s="160">
        <f t="shared" si="16"/>
        <v>259197.48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>
        <v>235197.48</v>
      </c>
      <c r="S228" s="160">
        <v>24000</v>
      </c>
      <c r="T228" s="160"/>
      <c r="U228" s="94">
        <v>1</v>
      </c>
      <c r="V228" s="117">
        <f t="shared" si="14"/>
        <v>0</v>
      </c>
    </row>
    <row r="229" spans="1:22" x14ac:dyDescent="0.25">
      <c r="A229" s="158">
        <f t="shared" si="13"/>
        <v>217</v>
      </c>
      <c r="B229" s="158">
        <f t="shared" si="13"/>
        <v>217</v>
      </c>
      <c r="C229" s="77" t="s">
        <v>87</v>
      </c>
      <c r="D229" s="159" t="s">
        <v>780</v>
      </c>
      <c r="E229" s="160">
        <f t="shared" si="16"/>
        <v>253253.27000000002</v>
      </c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>
        <v>229253.27000000002</v>
      </c>
      <c r="S229" s="160">
        <v>24000</v>
      </c>
      <c r="T229" s="160"/>
      <c r="U229" s="94">
        <v>1</v>
      </c>
      <c r="V229" s="117">
        <f t="shared" si="14"/>
        <v>0</v>
      </c>
    </row>
    <row r="230" spans="1:22" x14ac:dyDescent="0.25">
      <c r="A230" s="158">
        <f t="shared" si="13"/>
        <v>218</v>
      </c>
      <c r="B230" s="158">
        <f t="shared" si="13"/>
        <v>218</v>
      </c>
      <c r="C230" s="77" t="s">
        <v>87</v>
      </c>
      <c r="D230" s="159" t="s">
        <v>781</v>
      </c>
      <c r="E230" s="160">
        <f t="shared" si="16"/>
        <v>888060.27999999991</v>
      </c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>
        <v>864060.27999999991</v>
      </c>
      <c r="S230" s="160">
        <v>24000</v>
      </c>
      <c r="T230" s="160"/>
      <c r="U230" s="94">
        <v>1</v>
      </c>
      <c r="V230" s="117">
        <f t="shared" si="14"/>
        <v>0</v>
      </c>
    </row>
    <row r="231" spans="1:22" x14ac:dyDescent="0.25">
      <c r="A231" s="158">
        <f t="shared" si="13"/>
        <v>219</v>
      </c>
      <c r="B231" s="158">
        <f t="shared" si="13"/>
        <v>219</v>
      </c>
      <c r="C231" s="77" t="s">
        <v>87</v>
      </c>
      <c r="D231" s="159" t="s">
        <v>782</v>
      </c>
      <c r="E231" s="160">
        <f t="shared" si="16"/>
        <v>365040.37</v>
      </c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>
        <v>341040.37</v>
      </c>
      <c r="S231" s="160">
        <v>24000</v>
      </c>
      <c r="T231" s="160"/>
      <c r="U231" s="94">
        <v>1</v>
      </c>
      <c r="V231" s="117">
        <f t="shared" si="14"/>
        <v>0</v>
      </c>
    </row>
    <row r="232" spans="1:22" x14ac:dyDescent="0.25">
      <c r="A232" s="158">
        <f t="shared" si="13"/>
        <v>220</v>
      </c>
      <c r="B232" s="158">
        <f t="shared" si="13"/>
        <v>220</v>
      </c>
      <c r="C232" s="77" t="s">
        <v>87</v>
      </c>
      <c r="D232" s="159" t="s">
        <v>783</v>
      </c>
      <c r="E232" s="160">
        <f t="shared" si="16"/>
        <v>237999.66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>
        <v>227999.66</v>
      </c>
      <c r="S232" s="160">
        <v>10000</v>
      </c>
      <c r="T232" s="160"/>
      <c r="U232" s="94">
        <v>1</v>
      </c>
      <c r="V232" s="117">
        <f t="shared" si="14"/>
        <v>0</v>
      </c>
    </row>
    <row r="233" spans="1:22" x14ac:dyDescent="0.25">
      <c r="A233" s="158">
        <f t="shared" si="13"/>
        <v>221</v>
      </c>
      <c r="B233" s="158">
        <f t="shared" si="13"/>
        <v>221</v>
      </c>
      <c r="C233" s="77" t="s">
        <v>87</v>
      </c>
      <c r="D233" s="159" t="s">
        <v>784</v>
      </c>
      <c r="E233" s="160">
        <f t="shared" si="16"/>
        <v>219802.34000000003</v>
      </c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>
        <v>209802.34000000003</v>
      </c>
      <c r="S233" s="160">
        <v>10000</v>
      </c>
      <c r="T233" s="160"/>
      <c r="U233" s="94">
        <v>1</v>
      </c>
      <c r="V233" s="117">
        <f t="shared" si="14"/>
        <v>0</v>
      </c>
    </row>
    <row r="234" spans="1:22" x14ac:dyDescent="0.25">
      <c r="A234" s="158">
        <f t="shared" si="13"/>
        <v>222</v>
      </c>
      <c r="B234" s="158">
        <f t="shared" si="13"/>
        <v>222</v>
      </c>
      <c r="C234" s="77" t="s">
        <v>87</v>
      </c>
      <c r="D234" s="159" t="s">
        <v>785</v>
      </c>
      <c r="E234" s="160">
        <f t="shared" si="16"/>
        <v>492619.01999999996</v>
      </c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>
        <v>468619.01999999996</v>
      </c>
      <c r="S234" s="160">
        <v>24000</v>
      </c>
      <c r="T234" s="160"/>
      <c r="U234" s="94">
        <v>1</v>
      </c>
      <c r="V234" s="117">
        <f t="shared" si="14"/>
        <v>0</v>
      </c>
    </row>
    <row r="235" spans="1:22" x14ac:dyDescent="0.25">
      <c r="A235" s="158">
        <f t="shared" si="13"/>
        <v>223</v>
      </c>
      <c r="B235" s="158">
        <f t="shared" si="13"/>
        <v>223</v>
      </c>
      <c r="C235" s="77" t="s">
        <v>87</v>
      </c>
      <c r="D235" s="159" t="s">
        <v>786</v>
      </c>
      <c r="E235" s="160">
        <f t="shared" si="16"/>
        <v>913803.31999999983</v>
      </c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>
        <v>889803.31999999983</v>
      </c>
      <c r="S235" s="160">
        <v>24000</v>
      </c>
      <c r="T235" s="160"/>
      <c r="U235" s="94">
        <v>1</v>
      </c>
      <c r="V235" s="117">
        <f t="shared" si="14"/>
        <v>0</v>
      </c>
    </row>
    <row r="236" spans="1:22" x14ac:dyDescent="0.25">
      <c r="A236" s="158">
        <f t="shared" si="13"/>
        <v>224</v>
      </c>
      <c r="B236" s="158">
        <f t="shared" si="13"/>
        <v>224</v>
      </c>
      <c r="C236" s="77" t="s">
        <v>87</v>
      </c>
      <c r="D236" s="159" t="s">
        <v>787</v>
      </c>
      <c r="E236" s="160">
        <f t="shared" si="16"/>
        <v>447467.5</v>
      </c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>
        <v>423467.5</v>
      </c>
      <c r="S236" s="160">
        <v>24000</v>
      </c>
      <c r="T236" s="160"/>
      <c r="U236" s="94">
        <v>1</v>
      </c>
      <c r="V236" s="117">
        <f t="shared" si="14"/>
        <v>0</v>
      </c>
    </row>
    <row r="237" spans="1:22" x14ac:dyDescent="0.25">
      <c r="A237" s="158">
        <f t="shared" si="13"/>
        <v>225</v>
      </c>
      <c r="B237" s="158">
        <f t="shared" si="13"/>
        <v>225</v>
      </c>
      <c r="C237" s="77" t="s">
        <v>87</v>
      </c>
      <c r="D237" s="159" t="s">
        <v>788</v>
      </c>
      <c r="E237" s="160">
        <f t="shared" si="16"/>
        <v>330031.41000000003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>
        <v>306031.41000000003</v>
      </c>
      <c r="S237" s="160">
        <v>24000</v>
      </c>
      <c r="T237" s="160"/>
      <c r="U237" s="94">
        <v>1</v>
      </c>
      <c r="V237" s="117">
        <f t="shared" si="14"/>
        <v>0</v>
      </c>
    </row>
    <row r="238" spans="1:22" x14ac:dyDescent="0.25">
      <c r="A238" s="158">
        <f t="shared" si="13"/>
        <v>226</v>
      </c>
      <c r="B238" s="158">
        <f t="shared" si="13"/>
        <v>226</v>
      </c>
      <c r="C238" s="77" t="s">
        <v>87</v>
      </c>
      <c r="D238" s="159" t="s">
        <v>789</v>
      </c>
      <c r="E238" s="160">
        <f t="shared" si="16"/>
        <v>489810.22000000009</v>
      </c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>
        <v>479810.22000000009</v>
      </c>
      <c r="S238" s="160">
        <v>10000</v>
      </c>
      <c r="T238" s="160"/>
      <c r="U238" s="94">
        <v>1</v>
      </c>
      <c r="V238" s="117">
        <f t="shared" si="14"/>
        <v>0</v>
      </c>
    </row>
    <row r="239" spans="1:22" x14ac:dyDescent="0.25">
      <c r="A239" s="158">
        <f t="shared" si="13"/>
        <v>227</v>
      </c>
      <c r="B239" s="158">
        <f t="shared" si="13"/>
        <v>227</v>
      </c>
      <c r="C239" s="77" t="s">
        <v>87</v>
      </c>
      <c r="D239" s="159" t="s">
        <v>790</v>
      </c>
      <c r="E239" s="160">
        <f t="shared" si="16"/>
        <v>265087.77</v>
      </c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>
        <v>255087.77000000002</v>
      </c>
      <c r="S239" s="160">
        <v>10000</v>
      </c>
      <c r="T239" s="160"/>
      <c r="U239" s="94">
        <v>1</v>
      </c>
      <c r="V239" s="117">
        <f t="shared" si="14"/>
        <v>0</v>
      </c>
    </row>
    <row r="240" spans="1:22" x14ac:dyDescent="0.25">
      <c r="A240" s="158">
        <f t="shared" si="13"/>
        <v>228</v>
      </c>
      <c r="B240" s="158">
        <f t="shared" si="13"/>
        <v>228</v>
      </c>
      <c r="C240" s="77" t="s">
        <v>87</v>
      </c>
      <c r="D240" s="159" t="s">
        <v>791</v>
      </c>
      <c r="E240" s="160">
        <f t="shared" si="16"/>
        <v>151227.33000000002</v>
      </c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>
        <v>143227.33000000002</v>
      </c>
      <c r="S240" s="160">
        <v>8000</v>
      </c>
      <c r="T240" s="160"/>
      <c r="U240" s="94">
        <v>1</v>
      </c>
      <c r="V240" s="117">
        <f t="shared" si="14"/>
        <v>0</v>
      </c>
    </row>
    <row r="241" spans="1:22" x14ac:dyDescent="0.25">
      <c r="A241" s="158">
        <f t="shared" si="13"/>
        <v>229</v>
      </c>
      <c r="B241" s="158">
        <f t="shared" si="13"/>
        <v>229</v>
      </c>
      <c r="C241" s="77" t="s">
        <v>87</v>
      </c>
      <c r="D241" s="159" t="s">
        <v>792</v>
      </c>
      <c r="E241" s="160">
        <f t="shared" si="16"/>
        <v>347385.10000000003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>
        <v>335385.10000000003</v>
      </c>
      <c r="S241" s="160">
        <v>12000</v>
      </c>
      <c r="T241" s="160"/>
      <c r="U241" s="94">
        <v>1</v>
      </c>
      <c r="V241" s="117">
        <f t="shared" si="14"/>
        <v>0</v>
      </c>
    </row>
    <row r="242" spans="1:22" x14ac:dyDescent="0.25">
      <c r="A242" s="158">
        <f t="shared" si="13"/>
        <v>230</v>
      </c>
      <c r="B242" s="158">
        <f t="shared" si="13"/>
        <v>230</v>
      </c>
      <c r="C242" s="77" t="s">
        <v>220</v>
      </c>
      <c r="D242" s="159" t="s">
        <v>793</v>
      </c>
      <c r="E242" s="160">
        <f t="shared" si="16"/>
        <v>228991.22</v>
      </c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>
        <v>218991.22</v>
      </c>
      <c r="S242" s="160">
        <v>10000</v>
      </c>
      <c r="T242" s="160"/>
      <c r="U242" s="94">
        <v>1</v>
      </c>
      <c r="V242" s="117">
        <f t="shared" si="14"/>
        <v>0</v>
      </c>
    </row>
    <row r="243" spans="1:22" x14ac:dyDescent="0.25">
      <c r="A243" s="158">
        <f t="shared" si="13"/>
        <v>231</v>
      </c>
      <c r="B243" s="158">
        <f t="shared" si="13"/>
        <v>231</v>
      </c>
      <c r="C243" s="77" t="s">
        <v>220</v>
      </c>
      <c r="D243" s="159" t="s">
        <v>794</v>
      </c>
      <c r="E243" s="160">
        <f t="shared" si="16"/>
        <v>243246.87000000002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>
        <v>233246.87000000002</v>
      </c>
      <c r="S243" s="160">
        <v>10000</v>
      </c>
      <c r="T243" s="160"/>
      <c r="U243" s="94">
        <v>1</v>
      </c>
      <c r="V243" s="117">
        <f t="shared" si="14"/>
        <v>0</v>
      </c>
    </row>
    <row r="244" spans="1:22" x14ac:dyDescent="0.25">
      <c r="A244" s="158">
        <f t="shared" si="13"/>
        <v>232</v>
      </c>
      <c r="B244" s="158">
        <f t="shared" si="13"/>
        <v>232</v>
      </c>
      <c r="C244" s="77" t="s">
        <v>220</v>
      </c>
      <c r="D244" s="159" t="s">
        <v>795</v>
      </c>
      <c r="E244" s="160">
        <f t="shared" si="16"/>
        <v>247222.07</v>
      </c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>
        <v>223222.07</v>
      </c>
      <c r="S244" s="160">
        <v>24000</v>
      </c>
      <c r="T244" s="160"/>
      <c r="U244" s="94">
        <v>1</v>
      </c>
      <c r="V244" s="117">
        <f t="shared" si="14"/>
        <v>0</v>
      </c>
    </row>
    <row r="245" spans="1:22" x14ac:dyDescent="0.25">
      <c r="A245" s="158">
        <f t="shared" si="13"/>
        <v>233</v>
      </c>
      <c r="B245" s="158">
        <f t="shared" si="13"/>
        <v>233</v>
      </c>
      <c r="C245" s="77" t="s">
        <v>220</v>
      </c>
      <c r="D245" s="159" t="s">
        <v>796</v>
      </c>
      <c r="E245" s="160">
        <f t="shared" si="16"/>
        <v>249477.59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>
        <v>225477.59</v>
      </c>
      <c r="S245" s="160">
        <v>24000</v>
      </c>
      <c r="T245" s="160"/>
      <c r="U245" s="94">
        <v>1</v>
      </c>
      <c r="V245" s="117">
        <f t="shared" si="14"/>
        <v>0</v>
      </c>
    </row>
    <row r="246" spans="1:22" x14ac:dyDescent="0.25">
      <c r="A246" s="158">
        <f t="shared" si="13"/>
        <v>234</v>
      </c>
      <c r="B246" s="158">
        <f t="shared" si="13"/>
        <v>234</v>
      </c>
      <c r="C246" s="77" t="s">
        <v>220</v>
      </c>
      <c r="D246" s="159" t="s">
        <v>797</v>
      </c>
      <c r="E246" s="160">
        <f t="shared" si="16"/>
        <v>249497.74000000005</v>
      </c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>
        <v>225497.74000000005</v>
      </c>
      <c r="S246" s="160">
        <v>24000</v>
      </c>
      <c r="T246" s="160"/>
      <c r="U246" s="94">
        <v>1</v>
      </c>
      <c r="V246" s="117">
        <f t="shared" si="14"/>
        <v>0</v>
      </c>
    </row>
    <row r="247" spans="1:22" x14ac:dyDescent="0.25">
      <c r="A247" s="158">
        <f t="shared" si="13"/>
        <v>235</v>
      </c>
      <c r="B247" s="158">
        <f t="shared" si="13"/>
        <v>235</v>
      </c>
      <c r="C247" s="77" t="s">
        <v>220</v>
      </c>
      <c r="D247" s="153" t="s">
        <v>1187</v>
      </c>
      <c r="E247" s="160">
        <f t="shared" si="16"/>
        <v>24000</v>
      </c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>
        <v>24000</v>
      </c>
      <c r="T247" s="160"/>
      <c r="V247" s="117">
        <f t="shared" si="14"/>
        <v>0</v>
      </c>
    </row>
    <row r="248" spans="1:22" x14ac:dyDescent="0.25">
      <c r="A248" s="158">
        <f t="shared" si="13"/>
        <v>236</v>
      </c>
      <c r="B248" s="158">
        <f t="shared" si="13"/>
        <v>236</v>
      </c>
      <c r="C248" s="77" t="s">
        <v>88</v>
      </c>
      <c r="D248" s="159" t="s">
        <v>798</v>
      </c>
      <c r="E248" s="160">
        <f t="shared" si="16"/>
        <v>361702.52</v>
      </c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>
        <v>351702.52</v>
      </c>
      <c r="S248" s="160">
        <v>10000</v>
      </c>
      <c r="T248" s="160"/>
      <c r="U248" s="94">
        <v>1</v>
      </c>
      <c r="V248" s="117">
        <f t="shared" si="14"/>
        <v>0</v>
      </c>
    </row>
    <row r="249" spans="1:22" x14ac:dyDescent="0.25">
      <c r="A249" s="158">
        <f t="shared" si="13"/>
        <v>237</v>
      </c>
      <c r="B249" s="158">
        <f t="shared" si="13"/>
        <v>237</v>
      </c>
      <c r="C249" s="77" t="s">
        <v>88</v>
      </c>
      <c r="D249" s="159" t="s">
        <v>799</v>
      </c>
      <c r="E249" s="160">
        <f t="shared" si="16"/>
        <v>267536.37</v>
      </c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>
        <v>257536.37</v>
      </c>
      <c r="S249" s="160">
        <v>10000</v>
      </c>
      <c r="T249" s="160"/>
      <c r="U249" s="94">
        <v>1</v>
      </c>
      <c r="V249" s="117">
        <f t="shared" si="14"/>
        <v>0</v>
      </c>
    </row>
    <row r="250" spans="1:22" x14ac:dyDescent="0.25">
      <c r="A250" s="158">
        <f t="shared" si="13"/>
        <v>238</v>
      </c>
      <c r="B250" s="158">
        <f t="shared" si="13"/>
        <v>238</v>
      </c>
      <c r="C250" s="77" t="s">
        <v>88</v>
      </c>
      <c r="D250" s="159" t="s">
        <v>800</v>
      </c>
      <c r="E250" s="160">
        <f t="shared" si="16"/>
        <v>106870.23</v>
      </c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>
        <v>98870.23</v>
      </c>
      <c r="S250" s="160">
        <v>8000</v>
      </c>
      <c r="T250" s="160"/>
      <c r="U250" s="94">
        <v>1</v>
      </c>
      <c r="V250" s="117">
        <f t="shared" si="14"/>
        <v>0</v>
      </c>
    </row>
    <row r="251" spans="1:22" x14ac:dyDescent="0.25">
      <c r="A251" s="158">
        <f t="shared" si="13"/>
        <v>239</v>
      </c>
      <c r="B251" s="158">
        <f t="shared" si="13"/>
        <v>239</v>
      </c>
      <c r="C251" s="77" t="s">
        <v>89</v>
      </c>
      <c r="D251" s="159" t="s">
        <v>801</v>
      </c>
      <c r="E251" s="160">
        <f t="shared" si="16"/>
        <v>159665.22</v>
      </c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>
        <v>135665.22</v>
      </c>
      <c r="S251" s="160">
        <v>24000</v>
      </c>
      <c r="T251" s="160"/>
      <c r="U251" s="94">
        <v>1</v>
      </c>
      <c r="V251" s="117">
        <f t="shared" si="14"/>
        <v>0</v>
      </c>
    </row>
    <row r="252" spans="1:22" x14ac:dyDescent="0.25">
      <c r="A252" s="158">
        <f t="shared" si="13"/>
        <v>240</v>
      </c>
      <c r="B252" s="158">
        <f t="shared" si="13"/>
        <v>240</v>
      </c>
      <c r="C252" s="77" t="s">
        <v>89</v>
      </c>
      <c r="D252" s="159" t="s">
        <v>1077</v>
      </c>
      <c r="E252" s="160">
        <f t="shared" si="16"/>
        <v>295192.57</v>
      </c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>
        <v>285192.57</v>
      </c>
      <c r="S252" s="160">
        <v>10000</v>
      </c>
      <c r="T252" s="160"/>
      <c r="U252" s="94">
        <v>1</v>
      </c>
      <c r="V252" s="117">
        <f t="shared" si="14"/>
        <v>0</v>
      </c>
    </row>
    <row r="253" spans="1:22" x14ac:dyDescent="0.25">
      <c r="A253" s="158">
        <f t="shared" si="13"/>
        <v>241</v>
      </c>
      <c r="B253" s="158">
        <f t="shared" si="13"/>
        <v>241</v>
      </c>
      <c r="C253" s="77" t="s">
        <v>89</v>
      </c>
      <c r="D253" s="159" t="s">
        <v>1078</v>
      </c>
      <c r="E253" s="160">
        <f t="shared" si="16"/>
        <v>490976.17999999993</v>
      </c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>
        <v>478976.17999999993</v>
      </c>
      <c r="S253" s="160">
        <v>12000</v>
      </c>
      <c r="T253" s="160"/>
      <c r="U253" s="94">
        <v>1</v>
      </c>
      <c r="V253" s="117">
        <f t="shared" si="14"/>
        <v>0</v>
      </c>
    </row>
    <row r="254" spans="1:22" x14ac:dyDescent="0.25">
      <c r="A254" s="158">
        <f t="shared" si="13"/>
        <v>242</v>
      </c>
      <c r="B254" s="158">
        <f t="shared" si="13"/>
        <v>242</v>
      </c>
      <c r="C254" s="77" t="s">
        <v>89</v>
      </c>
      <c r="D254" s="159" t="s">
        <v>1079</v>
      </c>
      <c r="E254" s="160">
        <f t="shared" si="16"/>
        <v>525619.65</v>
      </c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>
        <v>513619.65</v>
      </c>
      <c r="S254" s="160">
        <v>12000</v>
      </c>
      <c r="T254" s="160"/>
      <c r="U254" s="105">
        <v>1</v>
      </c>
      <c r="V254" s="117">
        <f t="shared" si="14"/>
        <v>0</v>
      </c>
    </row>
    <row r="255" spans="1:22" x14ac:dyDescent="0.25">
      <c r="A255" s="158">
        <f t="shared" si="13"/>
        <v>243</v>
      </c>
      <c r="B255" s="158">
        <f t="shared" si="13"/>
        <v>243</v>
      </c>
      <c r="C255" s="77" t="s">
        <v>89</v>
      </c>
      <c r="D255" s="159" t="s">
        <v>1080</v>
      </c>
      <c r="E255" s="160">
        <f t="shared" si="16"/>
        <v>935051.49</v>
      </c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>
        <v>923051.49</v>
      </c>
      <c r="S255" s="160">
        <v>12000</v>
      </c>
      <c r="T255" s="160"/>
      <c r="U255" s="105">
        <v>1</v>
      </c>
      <c r="V255" s="117">
        <f t="shared" si="14"/>
        <v>0</v>
      </c>
    </row>
    <row r="256" spans="1:22" x14ac:dyDescent="0.25">
      <c r="A256" s="158">
        <f t="shared" si="13"/>
        <v>244</v>
      </c>
      <c r="B256" s="158">
        <f t="shared" si="13"/>
        <v>244</v>
      </c>
      <c r="C256" s="77" t="s">
        <v>89</v>
      </c>
      <c r="D256" s="159" t="s">
        <v>802</v>
      </c>
      <c r="E256" s="160">
        <f t="shared" si="16"/>
        <v>136292.94</v>
      </c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>
        <v>112292.94</v>
      </c>
      <c r="S256" s="160">
        <v>24000</v>
      </c>
      <c r="T256" s="160"/>
      <c r="U256" s="94">
        <v>1</v>
      </c>
      <c r="V256" s="117">
        <f t="shared" si="14"/>
        <v>0</v>
      </c>
    </row>
    <row r="257" spans="1:22" x14ac:dyDescent="0.25">
      <c r="A257" s="158">
        <f t="shared" si="13"/>
        <v>245</v>
      </c>
      <c r="B257" s="158">
        <f t="shared" si="13"/>
        <v>245</v>
      </c>
      <c r="C257" s="77" t="s">
        <v>89</v>
      </c>
      <c r="D257" s="159" t="s">
        <v>803</v>
      </c>
      <c r="E257" s="160">
        <f t="shared" si="16"/>
        <v>134720.23000000001</v>
      </c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>
        <v>110720.23000000001</v>
      </c>
      <c r="S257" s="160">
        <v>24000</v>
      </c>
      <c r="T257" s="160"/>
      <c r="U257" s="94">
        <v>1</v>
      </c>
      <c r="V257" s="117">
        <f t="shared" si="14"/>
        <v>0</v>
      </c>
    </row>
    <row r="258" spans="1:22" x14ac:dyDescent="0.25">
      <c r="A258" s="158">
        <f t="shared" si="13"/>
        <v>246</v>
      </c>
      <c r="B258" s="158">
        <f t="shared" si="13"/>
        <v>246</v>
      </c>
      <c r="C258" s="77" t="s">
        <v>89</v>
      </c>
      <c r="D258" s="153" t="s">
        <v>977</v>
      </c>
      <c r="E258" s="160">
        <f t="shared" si="16"/>
        <v>519241.49000000005</v>
      </c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>
        <v>471241.49000000005</v>
      </c>
      <c r="S258" s="160">
        <v>48000</v>
      </c>
      <c r="T258" s="160"/>
      <c r="V258" s="117">
        <f t="shared" si="14"/>
        <v>0</v>
      </c>
    </row>
    <row r="259" spans="1:22" x14ac:dyDescent="0.25">
      <c r="A259" s="158">
        <f t="shared" si="13"/>
        <v>247</v>
      </c>
      <c r="B259" s="158">
        <f t="shared" si="13"/>
        <v>247</v>
      </c>
      <c r="C259" s="77" t="s">
        <v>89</v>
      </c>
      <c r="D259" s="153" t="s">
        <v>978</v>
      </c>
      <c r="E259" s="160">
        <f t="shared" si="16"/>
        <v>695202.3</v>
      </c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>
        <v>647202.30000000005</v>
      </c>
      <c r="S259" s="160">
        <v>48000</v>
      </c>
      <c r="T259" s="160"/>
      <c r="V259" s="117">
        <f t="shared" si="14"/>
        <v>0</v>
      </c>
    </row>
    <row r="260" spans="1:22" x14ac:dyDescent="0.25">
      <c r="A260" s="158">
        <f t="shared" si="13"/>
        <v>248</v>
      </c>
      <c r="B260" s="158">
        <f t="shared" si="13"/>
        <v>248</v>
      </c>
      <c r="C260" s="77" t="s">
        <v>89</v>
      </c>
      <c r="D260" s="159" t="s">
        <v>804</v>
      </c>
      <c r="E260" s="160">
        <f t="shared" si="16"/>
        <v>363410.07</v>
      </c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>
        <v>339410.07</v>
      </c>
      <c r="S260" s="160">
        <v>24000</v>
      </c>
      <c r="T260" s="160"/>
      <c r="U260" s="94">
        <v>1</v>
      </c>
      <c r="V260" s="117">
        <f t="shared" si="14"/>
        <v>0</v>
      </c>
    </row>
    <row r="261" spans="1:22" x14ac:dyDescent="0.25">
      <c r="A261" s="158">
        <f t="shared" si="13"/>
        <v>249</v>
      </c>
      <c r="B261" s="158">
        <f t="shared" si="13"/>
        <v>249</v>
      </c>
      <c r="C261" s="77" t="s">
        <v>89</v>
      </c>
      <c r="D261" s="159" t="s">
        <v>805</v>
      </c>
      <c r="E261" s="160">
        <f t="shared" si="16"/>
        <v>176664.86</v>
      </c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>
        <v>152664.85999999999</v>
      </c>
      <c r="S261" s="160">
        <v>24000</v>
      </c>
      <c r="T261" s="160"/>
      <c r="U261" s="94">
        <v>1</v>
      </c>
      <c r="V261" s="117">
        <f t="shared" si="14"/>
        <v>0</v>
      </c>
    </row>
    <row r="262" spans="1:22" x14ac:dyDescent="0.25">
      <c r="A262" s="158">
        <f t="shared" si="13"/>
        <v>250</v>
      </c>
      <c r="B262" s="158">
        <f t="shared" si="13"/>
        <v>250</v>
      </c>
      <c r="C262" s="77" t="s">
        <v>89</v>
      </c>
      <c r="D262" s="159" t="s">
        <v>974</v>
      </c>
      <c r="E262" s="160">
        <f t="shared" si="16"/>
        <v>302018.38</v>
      </c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>
        <v>278018.38</v>
      </c>
      <c r="S262" s="160">
        <v>24000</v>
      </c>
      <c r="T262" s="160"/>
      <c r="U262" s="94">
        <v>1</v>
      </c>
      <c r="V262" s="117">
        <f t="shared" si="14"/>
        <v>0</v>
      </c>
    </row>
    <row r="263" spans="1:22" x14ac:dyDescent="0.25">
      <c r="A263" s="158">
        <f t="shared" si="13"/>
        <v>251</v>
      </c>
      <c r="B263" s="158">
        <f t="shared" si="13"/>
        <v>251</v>
      </c>
      <c r="C263" s="77" t="s">
        <v>89</v>
      </c>
      <c r="D263" s="159" t="s">
        <v>975</v>
      </c>
      <c r="E263" s="160">
        <f t="shared" si="16"/>
        <v>143935.49000000002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>
        <v>119935.49000000002</v>
      </c>
      <c r="S263" s="160">
        <v>24000</v>
      </c>
      <c r="T263" s="160"/>
      <c r="U263" s="94">
        <v>1</v>
      </c>
      <c r="V263" s="117">
        <f t="shared" si="14"/>
        <v>0</v>
      </c>
    </row>
    <row r="264" spans="1:22" x14ac:dyDescent="0.25">
      <c r="A264" s="158">
        <f t="shared" si="13"/>
        <v>252</v>
      </c>
      <c r="B264" s="158">
        <f t="shared" si="13"/>
        <v>252</v>
      </c>
      <c r="C264" s="77" t="s">
        <v>89</v>
      </c>
      <c r="D264" s="159" t="s">
        <v>976</v>
      </c>
      <c r="E264" s="160">
        <f t="shared" si="16"/>
        <v>130555.51999999999</v>
      </c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>
        <v>106555.51999999999</v>
      </c>
      <c r="S264" s="160">
        <v>24000</v>
      </c>
      <c r="T264" s="160"/>
      <c r="U264" s="94">
        <v>1</v>
      </c>
      <c r="V264" s="117">
        <f t="shared" si="14"/>
        <v>0</v>
      </c>
    </row>
    <row r="265" spans="1:22" x14ac:dyDescent="0.25">
      <c r="A265" s="158">
        <f t="shared" si="13"/>
        <v>253</v>
      </c>
      <c r="B265" s="158">
        <f t="shared" si="13"/>
        <v>253</v>
      </c>
      <c r="C265" s="77" t="s">
        <v>89</v>
      </c>
      <c r="D265" s="159" t="s">
        <v>979</v>
      </c>
      <c r="E265" s="160">
        <f t="shared" si="16"/>
        <v>303189.93</v>
      </c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>
        <v>279189.93</v>
      </c>
      <c r="S265" s="160">
        <v>24000</v>
      </c>
      <c r="T265" s="160"/>
      <c r="U265" s="94">
        <v>1</v>
      </c>
      <c r="V265" s="117">
        <f t="shared" si="14"/>
        <v>0</v>
      </c>
    </row>
    <row r="266" spans="1:22" x14ac:dyDescent="0.25">
      <c r="A266" s="158">
        <f t="shared" si="13"/>
        <v>254</v>
      </c>
      <c r="B266" s="158">
        <f t="shared" si="13"/>
        <v>254</v>
      </c>
      <c r="C266" s="77" t="s">
        <v>89</v>
      </c>
      <c r="D266" s="159" t="s">
        <v>980</v>
      </c>
      <c r="E266" s="160">
        <f t="shared" si="16"/>
        <v>171877.99</v>
      </c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>
        <v>147877.99</v>
      </c>
      <c r="S266" s="160">
        <v>24000</v>
      </c>
      <c r="T266" s="160"/>
      <c r="U266" s="94">
        <v>1</v>
      </c>
      <c r="V266" s="117">
        <f t="shared" si="14"/>
        <v>0</v>
      </c>
    </row>
    <row r="267" spans="1:22" x14ac:dyDescent="0.25">
      <c r="A267" s="158">
        <f t="shared" si="13"/>
        <v>255</v>
      </c>
      <c r="B267" s="158">
        <f t="shared" si="13"/>
        <v>255</v>
      </c>
      <c r="C267" s="77" t="s">
        <v>89</v>
      </c>
      <c r="D267" s="159" t="s">
        <v>807</v>
      </c>
      <c r="E267" s="160">
        <f t="shared" si="16"/>
        <v>272770.56</v>
      </c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>
        <v>224770.56</v>
      </c>
      <c r="S267" s="160">
        <v>48000</v>
      </c>
      <c r="T267" s="160"/>
      <c r="U267" s="94">
        <v>1</v>
      </c>
      <c r="V267" s="117">
        <f t="shared" si="14"/>
        <v>0</v>
      </c>
    </row>
    <row r="268" spans="1:22" x14ac:dyDescent="0.25">
      <c r="A268" s="158">
        <f t="shared" si="13"/>
        <v>256</v>
      </c>
      <c r="B268" s="158">
        <f t="shared" si="13"/>
        <v>256</v>
      </c>
      <c r="C268" s="77" t="s">
        <v>89</v>
      </c>
      <c r="D268" s="159" t="s">
        <v>981</v>
      </c>
      <c r="E268" s="160">
        <f t="shared" si="16"/>
        <v>403501.25</v>
      </c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>
        <v>379501.25</v>
      </c>
      <c r="S268" s="160">
        <v>24000</v>
      </c>
      <c r="T268" s="160"/>
      <c r="U268" s="94">
        <v>1</v>
      </c>
      <c r="V268" s="117">
        <f t="shared" si="14"/>
        <v>0</v>
      </c>
    </row>
    <row r="269" spans="1:22" x14ac:dyDescent="0.25">
      <c r="A269" s="158">
        <f t="shared" si="13"/>
        <v>257</v>
      </c>
      <c r="B269" s="158">
        <f t="shared" si="13"/>
        <v>257</v>
      </c>
      <c r="C269" s="77" t="s">
        <v>89</v>
      </c>
      <c r="D269" s="159" t="s">
        <v>982</v>
      </c>
      <c r="E269" s="160">
        <f t="shared" si="16"/>
        <v>261102.09</v>
      </c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>
        <v>237102.09</v>
      </c>
      <c r="S269" s="160">
        <v>24000</v>
      </c>
      <c r="T269" s="160"/>
      <c r="U269" s="94">
        <v>1</v>
      </c>
      <c r="V269" s="117">
        <f t="shared" si="14"/>
        <v>0</v>
      </c>
    </row>
    <row r="270" spans="1:22" x14ac:dyDescent="0.25">
      <c r="A270" s="158">
        <f t="shared" ref="A270:B333" si="17">+A269+1</f>
        <v>258</v>
      </c>
      <c r="B270" s="158">
        <f t="shared" si="17"/>
        <v>258</v>
      </c>
      <c r="C270" s="77" t="s">
        <v>89</v>
      </c>
      <c r="D270" s="159" t="s">
        <v>806</v>
      </c>
      <c r="E270" s="160">
        <f t="shared" si="16"/>
        <v>757264.42999999993</v>
      </c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>
        <v>733264.42999999993</v>
      </c>
      <c r="S270" s="160">
        <v>24000</v>
      </c>
      <c r="T270" s="160"/>
      <c r="U270" s="94">
        <v>1</v>
      </c>
      <c r="V270" s="117">
        <f t="shared" si="14"/>
        <v>0</v>
      </c>
    </row>
    <row r="271" spans="1:22" x14ac:dyDescent="0.25">
      <c r="A271" s="158">
        <f t="shared" si="17"/>
        <v>259</v>
      </c>
      <c r="B271" s="158">
        <f t="shared" si="17"/>
        <v>259</v>
      </c>
      <c r="C271" s="77" t="s">
        <v>89</v>
      </c>
      <c r="D271" s="159" t="s">
        <v>808</v>
      </c>
      <c r="E271" s="160">
        <f t="shared" si="16"/>
        <v>247238.84</v>
      </c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>
        <v>223238.84</v>
      </c>
      <c r="S271" s="160">
        <v>24000</v>
      </c>
      <c r="T271" s="160"/>
      <c r="U271" s="94">
        <v>1</v>
      </c>
      <c r="V271" s="117">
        <f t="shared" si="14"/>
        <v>0</v>
      </c>
    </row>
    <row r="272" spans="1:22" x14ac:dyDescent="0.25">
      <c r="A272" s="158">
        <f t="shared" si="17"/>
        <v>260</v>
      </c>
      <c r="B272" s="158">
        <f t="shared" si="17"/>
        <v>260</v>
      </c>
      <c r="C272" s="77" t="s">
        <v>89</v>
      </c>
      <c r="D272" s="159" t="s">
        <v>809</v>
      </c>
      <c r="E272" s="160">
        <f t="shared" si="16"/>
        <v>142668.31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>
        <v>118668.31</v>
      </c>
      <c r="S272" s="160">
        <v>24000</v>
      </c>
      <c r="T272" s="160"/>
      <c r="U272" s="94">
        <v>1</v>
      </c>
      <c r="V272" s="117">
        <f t="shared" ref="V272:V294" si="18">+E272-R272-S272</f>
        <v>0</v>
      </c>
    </row>
    <row r="273" spans="1:22" x14ac:dyDescent="0.25">
      <c r="A273" s="158">
        <f t="shared" si="17"/>
        <v>261</v>
      </c>
      <c r="B273" s="158">
        <f t="shared" si="17"/>
        <v>261</v>
      </c>
      <c r="C273" s="77" t="s">
        <v>89</v>
      </c>
      <c r="D273" s="159" t="s">
        <v>810</v>
      </c>
      <c r="E273" s="160">
        <f t="shared" si="16"/>
        <v>644876.55000000005</v>
      </c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>
        <v>620876.55000000005</v>
      </c>
      <c r="S273" s="160">
        <v>24000</v>
      </c>
      <c r="T273" s="160"/>
      <c r="U273" s="94">
        <v>1</v>
      </c>
      <c r="V273" s="117">
        <f t="shared" si="18"/>
        <v>0</v>
      </c>
    </row>
    <row r="274" spans="1:22" x14ac:dyDescent="0.25">
      <c r="A274" s="158">
        <f t="shared" si="17"/>
        <v>262</v>
      </c>
      <c r="B274" s="158">
        <f t="shared" si="17"/>
        <v>262</v>
      </c>
      <c r="C274" s="77" t="s">
        <v>1081</v>
      </c>
      <c r="D274" s="159" t="s">
        <v>1188</v>
      </c>
      <c r="E274" s="160">
        <f t="shared" si="16"/>
        <v>165696.95999999999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>
        <v>141696.95999999999</v>
      </c>
      <c r="S274" s="160">
        <v>24000</v>
      </c>
      <c r="T274" s="160"/>
      <c r="U274" s="105">
        <v>1</v>
      </c>
      <c r="V274" s="117">
        <f t="shared" si="18"/>
        <v>0</v>
      </c>
    </row>
    <row r="275" spans="1:22" x14ac:dyDescent="0.25">
      <c r="A275" s="158">
        <f t="shared" si="17"/>
        <v>263</v>
      </c>
      <c r="B275" s="158">
        <f t="shared" si="17"/>
        <v>263</v>
      </c>
      <c r="C275" s="77" t="s">
        <v>234</v>
      </c>
      <c r="D275" s="159" t="s">
        <v>811</v>
      </c>
      <c r="E275" s="160">
        <f t="shared" si="16"/>
        <v>268177.34059008001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>
        <v>244177.34059008001</v>
      </c>
      <c r="S275" s="160">
        <v>24000</v>
      </c>
      <c r="T275" s="160"/>
      <c r="U275" s="94">
        <v>1</v>
      </c>
      <c r="V275" s="117">
        <f t="shared" si="18"/>
        <v>0</v>
      </c>
    </row>
    <row r="276" spans="1:22" x14ac:dyDescent="0.25">
      <c r="A276" s="158">
        <f t="shared" si="17"/>
        <v>264</v>
      </c>
      <c r="B276" s="158">
        <f t="shared" si="17"/>
        <v>264</v>
      </c>
      <c r="C276" s="77" t="s">
        <v>234</v>
      </c>
      <c r="D276" s="159" t="s">
        <v>812</v>
      </c>
      <c r="E276" s="160">
        <f t="shared" si="16"/>
        <v>226580.60883839999</v>
      </c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>
        <v>202580.60883839999</v>
      </c>
      <c r="S276" s="160">
        <v>24000</v>
      </c>
      <c r="T276" s="160"/>
      <c r="U276" s="94">
        <v>1</v>
      </c>
      <c r="V276" s="117">
        <f t="shared" si="18"/>
        <v>0</v>
      </c>
    </row>
    <row r="277" spans="1:22" x14ac:dyDescent="0.25">
      <c r="A277" s="158">
        <f t="shared" si="17"/>
        <v>265</v>
      </c>
      <c r="B277" s="158">
        <f t="shared" si="17"/>
        <v>265</v>
      </c>
      <c r="C277" s="77" t="s">
        <v>234</v>
      </c>
      <c r="D277" s="159" t="s">
        <v>813</v>
      </c>
      <c r="E277" s="160">
        <f t="shared" ref="E277:E302" si="19">SUM(F277:T277)</f>
        <v>221565.7494528</v>
      </c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>
        <v>197565.7494528</v>
      </c>
      <c r="S277" s="160">
        <v>24000</v>
      </c>
      <c r="T277" s="160"/>
      <c r="U277" s="94">
        <v>1</v>
      </c>
      <c r="V277" s="117">
        <f t="shared" si="18"/>
        <v>0</v>
      </c>
    </row>
    <row r="278" spans="1:22" x14ac:dyDescent="0.25">
      <c r="A278" s="158">
        <f t="shared" si="17"/>
        <v>266</v>
      </c>
      <c r="B278" s="158">
        <f t="shared" si="17"/>
        <v>266</v>
      </c>
      <c r="C278" s="77" t="s">
        <v>234</v>
      </c>
      <c r="D278" s="159" t="s">
        <v>814</v>
      </c>
      <c r="E278" s="160">
        <f t="shared" si="19"/>
        <v>287712.29393664002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>
        <v>263712.29393664002</v>
      </c>
      <c r="S278" s="160">
        <v>24000</v>
      </c>
      <c r="T278" s="160"/>
      <c r="U278" s="94">
        <v>1</v>
      </c>
      <c r="V278" s="117">
        <f t="shared" si="18"/>
        <v>0</v>
      </c>
    </row>
    <row r="279" spans="1:22" x14ac:dyDescent="0.25">
      <c r="A279" s="158">
        <f t="shared" si="17"/>
        <v>267</v>
      </c>
      <c r="B279" s="158">
        <f t="shared" si="17"/>
        <v>267</v>
      </c>
      <c r="C279" s="77" t="s">
        <v>234</v>
      </c>
      <c r="D279" s="159" t="s">
        <v>815</v>
      </c>
      <c r="E279" s="160">
        <f t="shared" si="19"/>
        <v>277763.57585664</v>
      </c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>
        <v>253763.57585664</v>
      </c>
      <c r="S279" s="160">
        <v>24000</v>
      </c>
      <c r="T279" s="160"/>
      <c r="U279" s="94">
        <v>1</v>
      </c>
      <c r="V279" s="117">
        <f t="shared" si="18"/>
        <v>0</v>
      </c>
    </row>
    <row r="280" spans="1:22" x14ac:dyDescent="0.25">
      <c r="A280" s="158">
        <f t="shared" si="17"/>
        <v>268</v>
      </c>
      <c r="B280" s="158">
        <f t="shared" si="17"/>
        <v>268</v>
      </c>
      <c r="C280" s="77" t="s">
        <v>234</v>
      </c>
      <c r="D280" s="159" t="s">
        <v>816</v>
      </c>
      <c r="E280" s="160">
        <f t="shared" si="19"/>
        <v>218024.09335680003</v>
      </c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>
        <v>194024.09335680003</v>
      </c>
      <c r="S280" s="160">
        <v>24000</v>
      </c>
      <c r="T280" s="160"/>
      <c r="U280" s="94">
        <v>1</v>
      </c>
      <c r="V280" s="117">
        <f t="shared" si="18"/>
        <v>0</v>
      </c>
    </row>
    <row r="281" spans="1:22" x14ac:dyDescent="0.25">
      <c r="A281" s="158">
        <f t="shared" si="17"/>
        <v>269</v>
      </c>
      <c r="B281" s="158">
        <f t="shared" si="17"/>
        <v>269</v>
      </c>
      <c r="C281" s="77" t="s">
        <v>234</v>
      </c>
      <c r="D281" s="159" t="s">
        <v>817</v>
      </c>
      <c r="E281" s="160">
        <f t="shared" si="19"/>
        <v>394760.17777919996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>
        <v>370760.17777919996</v>
      </c>
      <c r="S281" s="160">
        <v>24000</v>
      </c>
      <c r="T281" s="160"/>
      <c r="U281" s="94">
        <v>1</v>
      </c>
      <c r="V281" s="117">
        <f t="shared" si="18"/>
        <v>0</v>
      </c>
    </row>
    <row r="282" spans="1:22" x14ac:dyDescent="0.25">
      <c r="A282" s="158">
        <f t="shared" si="17"/>
        <v>270</v>
      </c>
      <c r="B282" s="158">
        <f t="shared" si="17"/>
        <v>270</v>
      </c>
      <c r="C282" s="77" t="s">
        <v>234</v>
      </c>
      <c r="D282" s="159" t="s">
        <v>818</v>
      </c>
      <c r="E282" s="160">
        <f t="shared" si="19"/>
        <v>208540.08387089521</v>
      </c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>
        <v>184540.08387089521</v>
      </c>
      <c r="S282" s="160">
        <v>24000</v>
      </c>
      <c r="T282" s="160"/>
      <c r="U282" s="94">
        <v>1</v>
      </c>
      <c r="V282" s="117">
        <f t="shared" si="18"/>
        <v>0</v>
      </c>
    </row>
    <row r="283" spans="1:22" x14ac:dyDescent="0.25">
      <c r="A283" s="158">
        <f t="shared" si="17"/>
        <v>271</v>
      </c>
      <c r="B283" s="158">
        <f t="shared" si="17"/>
        <v>271</v>
      </c>
      <c r="C283" s="77" t="s">
        <v>234</v>
      </c>
      <c r="D283" s="159" t="s">
        <v>819</v>
      </c>
      <c r="E283" s="160">
        <f t="shared" si="19"/>
        <v>41034.599999999991</v>
      </c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>
        <v>41034.599999999991</v>
      </c>
      <c r="S283" s="160"/>
      <c r="T283" s="160"/>
      <c r="U283" s="94">
        <v>1</v>
      </c>
      <c r="V283" s="117">
        <f t="shared" si="18"/>
        <v>0</v>
      </c>
    </row>
    <row r="284" spans="1:22" x14ac:dyDescent="0.25">
      <c r="A284" s="158">
        <f t="shared" si="17"/>
        <v>272</v>
      </c>
      <c r="B284" s="158">
        <f t="shared" si="17"/>
        <v>272</v>
      </c>
      <c r="C284" s="77" t="s">
        <v>234</v>
      </c>
      <c r="D284" s="159" t="s">
        <v>820</v>
      </c>
      <c r="E284" s="160">
        <f t="shared" si="19"/>
        <v>541814.91922176001</v>
      </c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>
        <v>517814.91922176001</v>
      </c>
      <c r="S284" s="160">
        <v>24000</v>
      </c>
      <c r="T284" s="160"/>
      <c r="U284" s="94">
        <v>1</v>
      </c>
      <c r="V284" s="117">
        <f t="shared" si="18"/>
        <v>0</v>
      </c>
    </row>
    <row r="285" spans="1:22" x14ac:dyDescent="0.25">
      <c r="A285" s="158">
        <f t="shared" si="17"/>
        <v>273</v>
      </c>
      <c r="B285" s="158">
        <f t="shared" si="17"/>
        <v>273</v>
      </c>
      <c r="C285" s="77" t="s">
        <v>234</v>
      </c>
      <c r="D285" s="159" t="s">
        <v>983</v>
      </c>
      <c r="E285" s="160">
        <f t="shared" si="19"/>
        <v>268357.36501248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>
        <v>244357.36501248</v>
      </c>
      <c r="S285" s="160">
        <v>24000</v>
      </c>
      <c r="T285" s="160"/>
      <c r="U285" s="94">
        <v>1</v>
      </c>
      <c r="V285" s="117">
        <f t="shared" si="18"/>
        <v>0</v>
      </c>
    </row>
    <row r="286" spans="1:22" x14ac:dyDescent="0.25">
      <c r="A286" s="158">
        <f t="shared" si="17"/>
        <v>274</v>
      </c>
      <c r="B286" s="158">
        <f t="shared" si="17"/>
        <v>274</v>
      </c>
      <c r="C286" s="77" t="s">
        <v>234</v>
      </c>
      <c r="D286" s="159" t="s">
        <v>984</v>
      </c>
      <c r="E286" s="160">
        <f t="shared" si="19"/>
        <v>287280.23532288003</v>
      </c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>
        <v>263280.23532288003</v>
      </c>
      <c r="S286" s="160">
        <v>24000</v>
      </c>
      <c r="T286" s="160"/>
      <c r="U286" s="94">
        <v>1</v>
      </c>
      <c r="V286" s="117">
        <f t="shared" si="18"/>
        <v>0</v>
      </c>
    </row>
    <row r="287" spans="1:22" x14ac:dyDescent="0.25">
      <c r="A287" s="158">
        <f t="shared" si="17"/>
        <v>275</v>
      </c>
      <c r="B287" s="158">
        <f t="shared" si="17"/>
        <v>275</v>
      </c>
      <c r="C287" s="77" t="s">
        <v>234</v>
      </c>
      <c r="D287" s="159" t="s">
        <v>985</v>
      </c>
      <c r="E287" s="160">
        <f t="shared" si="19"/>
        <v>281461.13080186542</v>
      </c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>
        <v>257461.13080186542</v>
      </c>
      <c r="S287" s="160">
        <v>24000</v>
      </c>
      <c r="T287" s="160"/>
      <c r="U287" s="94">
        <v>1</v>
      </c>
      <c r="V287" s="117">
        <f t="shared" si="18"/>
        <v>0</v>
      </c>
    </row>
    <row r="288" spans="1:22" x14ac:dyDescent="0.25">
      <c r="A288" s="158">
        <f t="shared" si="17"/>
        <v>276</v>
      </c>
      <c r="B288" s="158">
        <f t="shared" si="17"/>
        <v>276</v>
      </c>
      <c r="C288" s="77" t="s">
        <v>234</v>
      </c>
      <c r="D288" s="159" t="s">
        <v>986</v>
      </c>
      <c r="E288" s="160">
        <f t="shared" si="19"/>
        <v>287831.67855359998</v>
      </c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>
        <v>263831.67855359998</v>
      </c>
      <c r="S288" s="160">
        <v>24000</v>
      </c>
      <c r="T288" s="160"/>
      <c r="U288" s="94">
        <v>1</v>
      </c>
      <c r="V288" s="117">
        <f t="shared" si="18"/>
        <v>0</v>
      </c>
    </row>
    <row r="289" spans="1:22" x14ac:dyDescent="0.25">
      <c r="A289" s="158">
        <f t="shared" si="17"/>
        <v>277</v>
      </c>
      <c r="B289" s="158">
        <f t="shared" si="17"/>
        <v>277</v>
      </c>
      <c r="C289" s="77" t="s">
        <v>234</v>
      </c>
      <c r="D289" s="159" t="s">
        <v>987</v>
      </c>
      <c r="E289" s="160">
        <f t="shared" si="19"/>
        <v>322815.71727245557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>
        <v>298815.71727245557</v>
      </c>
      <c r="S289" s="160">
        <v>24000</v>
      </c>
      <c r="T289" s="160"/>
      <c r="U289" s="94">
        <v>1</v>
      </c>
      <c r="V289" s="117">
        <f t="shared" si="18"/>
        <v>0</v>
      </c>
    </row>
    <row r="290" spans="1:22" x14ac:dyDescent="0.25">
      <c r="A290" s="158">
        <f t="shared" si="17"/>
        <v>278</v>
      </c>
      <c r="B290" s="158">
        <f t="shared" si="17"/>
        <v>278</v>
      </c>
      <c r="C290" s="77" t="s">
        <v>234</v>
      </c>
      <c r="D290" s="159" t="s">
        <v>988</v>
      </c>
      <c r="E290" s="160">
        <f t="shared" si="19"/>
        <v>241502.54621568002</v>
      </c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>
        <v>217502.54621568002</v>
      </c>
      <c r="S290" s="160">
        <v>24000</v>
      </c>
      <c r="T290" s="160"/>
      <c r="U290" s="94">
        <v>1</v>
      </c>
      <c r="V290" s="117">
        <f t="shared" si="18"/>
        <v>0</v>
      </c>
    </row>
    <row r="291" spans="1:22" x14ac:dyDescent="0.25">
      <c r="A291" s="158">
        <f t="shared" si="17"/>
        <v>279</v>
      </c>
      <c r="B291" s="158">
        <f t="shared" si="17"/>
        <v>279</v>
      </c>
      <c r="C291" s="77" t="s">
        <v>234</v>
      </c>
      <c r="D291" s="159" t="s">
        <v>989</v>
      </c>
      <c r="E291" s="160">
        <f t="shared" si="19"/>
        <v>898204.23633291502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>
        <v>874204.23633291502</v>
      </c>
      <c r="S291" s="160">
        <v>24000</v>
      </c>
      <c r="T291" s="160"/>
      <c r="U291" s="94">
        <v>1</v>
      </c>
      <c r="V291" s="117">
        <f t="shared" si="18"/>
        <v>0</v>
      </c>
    </row>
    <row r="292" spans="1:22" x14ac:dyDescent="0.25">
      <c r="A292" s="158">
        <f t="shared" si="17"/>
        <v>280</v>
      </c>
      <c r="B292" s="158">
        <f t="shared" si="17"/>
        <v>280</v>
      </c>
      <c r="C292" s="77" t="s">
        <v>234</v>
      </c>
      <c r="D292" s="159" t="s">
        <v>990</v>
      </c>
      <c r="E292" s="160">
        <f t="shared" si="19"/>
        <v>913643.51444501453</v>
      </c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>
        <v>889643.51444501453</v>
      </c>
      <c r="S292" s="160">
        <v>24000</v>
      </c>
      <c r="T292" s="160"/>
      <c r="U292" s="94">
        <v>1</v>
      </c>
      <c r="V292" s="117">
        <f t="shared" si="18"/>
        <v>0</v>
      </c>
    </row>
    <row r="293" spans="1:22" x14ac:dyDescent="0.25">
      <c r="A293" s="158">
        <f t="shared" si="17"/>
        <v>281</v>
      </c>
      <c r="B293" s="158">
        <f t="shared" si="17"/>
        <v>281</v>
      </c>
      <c r="C293" s="77" t="s">
        <v>1130</v>
      </c>
      <c r="D293" s="159" t="s">
        <v>991</v>
      </c>
      <c r="E293" s="160">
        <f t="shared" si="19"/>
        <v>139829.15</v>
      </c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>
        <v>115829.15</v>
      </c>
      <c r="S293" s="160">
        <v>24000</v>
      </c>
      <c r="T293" s="160"/>
      <c r="U293" s="94">
        <v>1</v>
      </c>
      <c r="V293" s="117">
        <f t="shared" si="18"/>
        <v>0</v>
      </c>
    </row>
    <row r="294" spans="1:22" x14ac:dyDescent="0.25">
      <c r="A294" s="158">
        <f t="shared" si="17"/>
        <v>282</v>
      </c>
      <c r="B294" s="158">
        <f t="shared" si="17"/>
        <v>282</v>
      </c>
      <c r="C294" s="77" t="s">
        <v>95</v>
      </c>
      <c r="D294" s="159" t="s">
        <v>821</v>
      </c>
      <c r="E294" s="160">
        <f t="shared" si="19"/>
        <v>325345.75</v>
      </c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>
        <v>301345.75</v>
      </c>
      <c r="S294" s="160">
        <v>24000</v>
      </c>
      <c r="T294" s="160"/>
      <c r="U294" s="94">
        <v>1</v>
      </c>
      <c r="V294" s="117">
        <f t="shared" si="18"/>
        <v>0</v>
      </c>
    </row>
    <row r="295" spans="1:22" x14ac:dyDescent="0.25">
      <c r="A295" s="158">
        <f t="shared" si="17"/>
        <v>283</v>
      </c>
      <c r="B295" s="158">
        <f t="shared" si="17"/>
        <v>283</v>
      </c>
      <c r="C295" s="77" t="s">
        <v>1143</v>
      </c>
      <c r="D295" s="159" t="s">
        <v>1190</v>
      </c>
      <c r="E295" s="160">
        <f t="shared" si="19"/>
        <v>193273.23000000004</v>
      </c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>
        <v>193273.23000000004</v>
      </c>
      <c r="S295" s="160"/>
      <c r="T295" s="160"/>
    </row>
    <row r="296" spans="1:22" x14ac:dyDescent="0.25">
      <c r="A296" s="158">
        <f t="shared" si="17"/>
        <v>284</v>
      </c>
      <c r="B296" s="158">
        <f t="shared" si="17"/>
        <v>284</v>
      </c>
      <c r="C296" s="77" t="s">
        <v>1143</v>
      </c>
      <c r="D296" s="159" t="s">
        <v>1191</v>
      </c>
      <c r="E296" s="160">
        <f t="shared" si="19"/>
        <v>220690.63999999998</v>
      </c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>
        <v>220690.63999999998</v>
      </c>
      <c r="S296" s="160"/>
      <c r="T296" s="160"/>
    </row>
    <row r="297" spans="1:22" x14ac:dyDescent="0.25">
      <c r="A297" s="158">
        <f t="shared" si="17"/>
        <v>285</v>
      </c>
      <c r="B297" s="158">
        <f t="shared" si="17"/>
        <v>285</v>
      </c>
      <c r="C297" s="77" t="s">
        <v>1145</v>
      </c>
      <c r="D297" s="159" t="s">
        <v>1192</v>
      </c>
      <c r="E297" s="160">
        <f t="shared" si="19"/>
        <v>71066.701252655272</v>
      </c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>
        <v>47066.701252655272</v>
      </c>
      <c r="S297" s="160">
        <v>24000</v>
      </c>
      <c r="T297" s="160"/>
    </row>
    <row r="298" spans="1:22" x14ac:dyDescent="0.25">
      <c r="A298" s="158">
        <f t="shared" si="17"/>
        <v>286</v>
      </c>
      <c r="B298" s="158">
        <f t="shared" si="17"/>
        <v>286</v>
      </c>
      <c r="C298" s="77" t="s">
        <v>47</v>
      </c>
      <c r="D298" s="159" t="s">
        <v>1009</v>
      </c>
      <c r="E298" s="160">
        <f t="shared" si="19"/>
        <v>122177.85</v>
      </c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>
        <v>98177.85</v>
      </c>
      <c r="S298" s="160">
        <v>24000</v>
      </c>
      <c r="T298" s="160"/>
      <c r="U298" s="94">
        <v>1</v>
      </c>
      <c r="V298" s="117">
        <f>+E298-R298-S298</f>
        <v>0</v>
      </c>
    </row>
    <row r="299" spans="1:22" x14ac:dyDescent="0.25">
      <c r="A299" s="158">
        <f t="shared" si="17"/>
        <v>287</v>
      </c>
      <c r="B299" s="158">
        <f t="shared" si="17"/>
        <v>287</v>
      </c>
      <c r="C299" s="77" t="s">
        <v>47</v>
      </c>
      <c r="D299" s="159" t="s">
        <v>1010</v>
      </c>
      <c r="E299" s="160">
        <f t="shared" si="19"/>
        <v>1068939.3299999998</v>
      </c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>
        <v>1044939.3299999998</v>
      </c>
      <c r="S299" s="160">
        <v>24000</v>
      </c>
      <c r="T299" s="160"/>
      <c r="U299" s="94">
        <v>1</v>
      </c>
      <c r="V299" s="117">
        <f>+E299-R299-S299</f>
        <v>0</v>
      </c>
    </row>
    <row r="300" spans="1:22" x14ac:dyDescent="0.25">
      <c r="A300" s="158">
        <f t="shared" si="17"/>
        <v>288</v>
      </c>
      <c r="B300" s="158">
        <f t="shared" si="17"/>
        <v>288</v>
      </c>
      <c r="C300" s="77" t="s">
        <v>47</v>
      </c>
      <c r="D300" s="159" t="s">
        <v>1011</v>
      </c>
      <c r="E300" s="160">
        <f t="shared" si="19"/>
        <v>1564470.2899999998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>
        <v>1540470.2899999998</v>
      </c>
      <c r="S300" s="160">
        <v>24000</v>
      </c>
      <c r="T300" s="160"/>
      <c r="U300" s="94">
        <v>1</v>
      </c>
      <c r="V300" s="117">
        <f>+E300-R300-S300</f>
        <v>0</v>
      </c>
    </row>
    <row r="301" spans="1:22" x14ac:dyDescent="0.25">
      <c r="A301" s="158">
        <f t="shared" si="17"/>
        <v>289</v>
      </c>
      <c r="B301" s="158">
        <f t="shared" si="17"/>
        <v>289</v>
      </c>
      <c r="C301" s="77" t="s">
        <v>47</v>
      </c>
      <c r="D301" s="159" t="s">
        <v>736</v>
      </c>
      <c r="E301" s="160">
        <f t="shared" si="19"/>
        <v>1865203.4000000004</v>
      </c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>
        <v>1841203.4000000004</v>
      </c>
      <c r="S301" s="160">
        <v>24000</v>
      </c>
      <c r="T301" s="160"/>
      <c r="U301" s="94">
        <v>1</v>
      </c>
      <c r="V301" s="117">
        <f>+E301-R301-S301</f>
        <v>0</v>
      </c>
    </row>
    <row r="302" spans="1:22" x14ac:dyDescent="0.25">
      <c r="A302" s="158">
        <f t="shared" si="17"/>
        <v>290</v>
      </c>
      <c r="B302" s="158">
        <f t="shared" si="17"/>
        <v>290</v>
      </c>
      <c r="C302" s="77" t="s">
        <v>47</v>
      </c>
      <c r="D302" s="159" t="s">
        <v>1012</v>
      </c>
      <c r="E302" s="160">
        <f t="shared" si="19"/>
        <v>1393697.61</v>
      </c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>
        <v>1369697.61</v>
      </c>
      <c r="S302" s="160">
        <v>24000</v>
      </c>
      <c r="T302" s="160"/>
      <c r="U302" s="94">
        <v>1</v>
      </c>
      <c r="V302" s="117">
        <f>+E302-R302-S302</f>
        <v>0</v>
      </c>
    </row>
    <row r="303" spans="1:22" x14ac:dyDescent="0.25">
      <c r="A303" s="158">
        <f t="shared" si="17"/>
        <v>291</v>
      </c>
      <c r="B303" s="158">
        <f t="shared" si="17"/>
        <v>291</v>
      </c>
      <c r="C303" s="77" t="s">
        <v>47</v>
      </c>
      <c r="D303" s="159" t="s">
        <v>855</v>
      </c>
      <c r="E303" s="160">
        <f t="shared" si="9"/>
        <v>806648.31</v>
      </c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>
        <v>782648.31</v>
      </c>
      <c r="S303" s="160">
        <v>24000</v>
      </c>
      <c r="T303" s="160"/>
      <c r="U303" s="94">
        <v>1</v>
      </c>
      <c r="V303" s="117">
        <f t="shared" ref="V303:V364" si="20">+E303-R303-S303</f>
        <v>0</v>
      </c>
    </row>
    <row r="304" spans="1:22" x14ac:dyDescent="0.25">
      <c r="A304" s="158">
        <f t="shared" si="17"/>
        <v>292</v>
      </c>
      <c r="B304" s="158">
        <f t="shared" si="17"/>
        <v>292</v>
      </c>
      <c r="C304" s="77" t="s">
        <v>47</v>
      </c>
      <c r="D304" s="159" t="s">
        <v>856</v>
      </c>
      <c r="E304" s="160">
        <f t="shared" si="9"/>
        <v>1049040.8400000003</v>
      </c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>
        <v>1025040.8400000003</v>
      </c>
      <c r="S304" s="160">
        <v>24000</v>
      </c>
      <c r="T304" s="160"/>
      <c r="U304" s="94">
        <v>1</v>
      </c>
      <c r="V304" s="117">
        <f t="shared" si="20"/>
        <v>0</v>
      </c>
    </row>
    <row r="305" spans="1:22" x14ac:dyDescent="0.25">
      <c r="A305" s="158">
        <f t="shared" si="17"/>
        <v>293</v>
      </c>
      <c r="B305" s="158">
        <f t="shared" si="17"/>
        <v>293</v>
      </c>
      <c r="C305" s="77" t="s">
        <v>47</v>
      </c>
      <c r="D305" s="159" t="s">
        <v>857</v>
      </c>
      <c r="E305" s="160">
        <f t="shared" si="9"/>
        <v>1047879.7699999999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>
        <v>1023879.7699999999</v>
      </c>
      <c r="S305" s="160">
        <v>24000</v>
      </c>
      <c r="T305" s="160"/>
      <c r="U305" s="94">
        <v>1</v>
      </c>
      <c r="V305" s="117">
        <f t="shared" si="20"/>
        <v>0</v>
      </c>
    </row>
    <row r="306" spans="1:22" x14ac:dyDescent="0.25">
      <c r="A306" s="158">
        <f t="shared" si="17"/>
        <v>294</v>
      </c>
      <c r="B306" s="158">
        <f t="shared" si="17"/>
        <v>294</v>
      </c>
      <c r="C306" s="77" t="s">
        <v>47</v>
      </c>
      <c r="D306" s="159" t="s">
        <v>858</v>
      </c>
      <c r="E306" s="160">
        <f t="shared" si="9"/>
        <v>1048133.78</v>
      </c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>
        <v>1024133.78</v>
      </c>
      <c r="S306" s="160">
        <v>24000</v>
      </c>
      <c r="T306" s="160"/>
      <c r="U306" s="94">
        <v>1</v>
      </c>
      <c r="V306" s="117">
        <f t="shared" si="20"/>
        <v>0</v>
      </c>
    </row>
    <row r="307" spans="1:22" x14ac:dyDescent="0.25">
      <c r="A307" s="158">
        <f t="shared" si="17"/>
        <v>295</v>
      </c>
      <c r="B307" s="158">
        <f t="shared" si="17"/>
        <v>295</v>
      </c>
      <c r="C307" s="77" t="s">
        <v>47</v>
      </c>
      <c r="D307" s="159" t="s">
        <v>859</v>
      </c>
      <c r="E307" s="160">
        <f t="shared" si="9"/>
        <v>1048629.6599999999</v>
      </c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>
        <v>1024629.6599999999</v>
      </c>
      <c r="S307" s="160">
        <v>24000</v>
      </c>
      <c r="T307" s="160"/>
      <c r="U307" s="94">
        <v>1</v>
      </c>
      <c r="V307" s="117">
        <f t="shared" si="20"/>
        <v>0</v>
      </c>
    </row>
    <row r="308" spans="1:22" x14ac:dyDescent="0.25">
      <c r="A308" s="158">
        <f t="shared" si="17"/>
        <v>296</v>
      </c>
      <c r="B308" s="158">
        <f t="shared" si="17"/>
        <v>296</v>
      </c>
      <c r="C308" s="77" t="s">
        <v>1144</v>
      </c>
      <c r="D308" s="159" t="s">
        <v>1193</v>
      </c>
      <c r="E308" s="160">
        <f>SUM(F308:T308)</f>
        <v>179293.58000000002</v>
      </c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>
        <v>126266.58</v>
      </c>
      <c r="S308" s="160">
        <v>53027</v>
      </c>
      <c r="T308" s="160"/>
    </row>
    <row r="309" spans="1:22" x14ac:dyDescent="0.25">
      <c r="A309" s="158">
        <f t="shared" si="17"/>
        <v>297</v>
      </c>
      <c r="B309" s="158">
        <f t="shared" si="17"/>
        <v>297</v>
      </c>
      <c r="C309" s="77" t="s">
        <v>50</v>
      </c>
      <c r="D309" s="159" t="s">
        <v>860</v>
      </c>
      <c r="E309" s="160">
        <f t="shared" si="9"/>
        <v>403663.92</v>
      </c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>
        <v>379663.92</v>
      </c>
      <c r="S309" s="160">
        <v>24000</v>
      </c>
      <c r="T309" s="160"/>
      <c r="U309" s="94">
        <v>1</v>
      </c>
      <c r="V309" s="117">
        <f t="shared" si="20"/>
        <v>0</v>
      </c>
    </row>
    <row r="310" spans="1:22" x14ac:dyDescent="0.25">
      <c r="A310" s="158">
        <f t="shared" si="17"/>
        <v>298</v>
      </c>
      <c r="B310" s="158">
        <f t="shared" si="17"/>
        <v>298</v>
      </c>
      <c r="C310" s="77" t="s">
        <v>50</v>
      </c>
      <c r="D310" s="159" t="s">
        <v>861</v>
      </c>
      <c r="E310" s="160">
        <f t="shared" si="9"/>
        <v>826844.93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>
        <v>802844.93</v>
      </c>
      <c r="S310" s="160">
        <v>24000</v>
      </c>
      <c r="T310" s="160"/>
      <c r="U310" s="94">
        <v>1</v>
      </c>
      <c r="V310" s="117">
        <f t="shared" si="20"/>
        <v>0</v>
      </c>
    </row>
    <row r="311" spans="1:22" x14ac:dyDescent="0.25">
      <c r="A311" s="158">
        <f t="shared" si="17"/>
        <v>299</v>
      </c>
      <c r="B311" s="158">
        <f t="shared" si="17"/>
        <v>299</v>
      </c>
      <c r="C311" s="77" t="s">
        <v>50</v>
      </c>
      <c r="D311" s="159" t="s">
        <v>862</v>
      </c>
      <c r="E311" s="160">
        <f t="shared" si="9"/>
        <v>1817294.191355854</v>
      </c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>
        <v>1793294.191355854</v>
      </c>
      <c r="S311" s="160">
        <v>24000</v>
      </c>
      <c r="T311" s="160"/>
      <c r="U311" s="94">
        <v>1</v>
      </c>
      <c r="V311" s="117">
        <f t="shared" si="20"/>
        <v>0</v>
      </c>
    </row>
    <row r="312" spans="1:22" x14ac:dyDescent="0.25">
      <c r="A312" s="158">
        <f t="shared" si="17"/>
        <v>300</v>
      </c>
      <c r="B312" s="158">
        <f t="shared" si="17"/>
        <v>300</v>
      </c>
      <c r="C312" s="77" t="s">
        <v>50</v>
      </c>
      <c r="D312" s="159" t="s">
        <v>863</v>
      </c>
      <c r="E312" s="160">
        <f t="shared" si="9"/>
        <v>1811193.5735314607</v>
      </c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>
        <v>1787193.5735314607</v>
      </c>
      <c r="S312" s="160">
        <v>24000</v>
      </c>
      <c r="T312" s="160"/>
      <c r="U312" s="94">
        <v>1</v>
      </c>
      <c r="V312" s="117">
        <f t="shared" si="20"/>
        <v>0</v>
      </c>
    </row>
    <row r="313" spans="1:22" x14ac:dyDescent="0.25">
      <c r="A313" s="158">
        <f t="shared" si="17"/>
        <v>301</v>
      </c>
      <c r="B313" s="158">
        <f t="shared" si="17"/>
        <v>301</v>
      </c>
      <c r="C313" s="77" t="s">
        <v>50</v>
      </c>
      <c r="D313" s="159" t="s">
        <v>864</v>
      </c>
      <c r="E313" s="160">
        <f t="shared" si="9"/>
        <v>504784.84</v>
      </c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>
        <v>480784.84</v>
      </c>
      <c r="S313" s="160">
        <v>24000</v>
      </c>
      <c r="T313" s="160"/>
      <c r="U313" s="94">
        <v>1</v>
      </c>
      <c r="V313" s="117">
        <f t="shared" si="20"/>
        <v>0</v>
      </c>
    </row>
    <row r="314" spans="1:22" x14ac:dyDescent="0.25">
      <c r="A314" s="158">
        <f t="shared" si="17"/>
        <v>302</v>
      </c>
      <c r="B314" s="158">
        <f t="shared" si="17"/>
        <v>302</v>
      </c>
      <c r="C314" s="77" t="s">
        <v>50</v>
      </c>
      <c r="D314" s="159" t="s">
        <v>865</v>
      </c>
      <c r="E314" s="160">
        <f t="shared" si="9"/>
        <v>181262.38999999998</v>
      </c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>
        <v>157262.38999999998</v>
      </c>
      <c r="S314" s="160">
        <v>24000</v>
      </c>
      <c r="T314" s="160"/>
      <c r="U314" s="94">
        <v>1</v>
      </c>
      <c r="V314" s="117">
        <f t="shared" si="20"/>
        <v>0</v>
      </c>
    </row>
    <row r="315" spans="1:22" x14ac:dyDescent="0.25">
      <c r="A315" s="158">
        <f t="shared" si="17"/>
        <v>303</v>
      </c>
      <c r="B315" s="158">
        <f t="shared" si="17"/>
        <v>303</v>
      </c>
      <c r="C315" s="77" t="s">
        <v>50</v>
      </c>
      <c r="D315" s="159" t="s">
        <v>866</v>
      </c>
      <c r="E315" s="160">
        <f t="shared" si="9"/>
        <v>429328.74</v>
      </c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>
        <v>405328.74</v>
      </c>
      <c r="S315" s="160">
        <v>24000</v>
      </c>
      <c r="T315" s="160"/>
      <c r="U315" s="94">
        <v>1</v>
      </c>
      <c r="V315" s="117">
        <f t="shared" si="20"/>
        <v>0</v>
      </c>
    </row>
    <row r="316" spans="1:22" x14ac:dyDescent="0.25">
      <c r="A316" s="158">
        <f t="shared" si="17"/>
        <v>304</v>
      </c>
      <c r="B316" s="158">
        <f t="shared" si="17"/>
        <v>304</v>
      </c>
      <c r="C316" s="77" t="s">
        <v>50</v>
      </c>
      <c r="D316" s="159" t="s">
        <v>867</v>
      </c>
      <c r="E316" s="160">
        <f t="shared" si="9"/>
        <v>773009.77523200004</v>
      </c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>
        <v>725009.77523200004</v>
      </c>
      <c r="S316" s="160">
        <v>48000</v>
      </c>
      <c r="T316" s="160"/>
      <c r="U316" s="94">
        <v>1</v>
      </c>
      <c r="V316" s="117">
        <f t="shared" si="20"/>
        <v>0</v>
      </c>
    </row>
    <row r="317" spans="1:22" x14ac:dyDescent="0.25">
      <c r="A317" s="158">
        <f t="shared" si="17"/>
        <v>305</v>
      </c>
      <c r="B317" s="158">
        <f t="shared" si="17"/>
        <v>305</v>
      </c>
      <c r="C317" s="77" t="s">
        <v>50</v>
      </c>
      <c r="D317" s="159" t="s">
        <v>868</v>
      </c>
      <c r="E317" s="160">
        <f t="shared" si="9"/>
        <v>364412.2</v>
      </c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>
        <v>340412.2</v>
      </c>
      <c r="S317" s="160">
        <v>24000</v>
      </c>
      <c r="T317" s="160"/>
      <c r="U317" s="94">
        <v>1</v>
      </c>
      <c r="V317" s="117">
        <f t="shared" si="20"/>
        <v>0</v>
      </c>
    </row>
    <row r="318" spans="1:22" x14ac:dyDescent="0.25">
      <c r="A318" s="158">
        <f t="shared" si="17"/>
        <v>306</v>
      </c>
      <c r="B318" s="158">
        <f t="shared" si="17"/>
        <v>306</v>
      </c>
      <c r="C318" s="77" t="s">
        <v>50</v>
      </c>
      <c r="D318" s="159" t="s">
        <v>869</v>
      </c>
      <c r="E318" s="160">
        <f t="shared" si="9"/>
        <v>370434.04000000004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>
        <v>346434.04000000004</v>
      </c>
      <c r="S318" s="160">
        <v>24000</v>
      </c>
      <c r="T318" s="160"/>
      <c r="U318" s="94">
        <v>1</v>
      </c>
      <c r="V318" s="117">
        <f t="shared" si="20"/>
        <v>0</v>
      </c>
    </row>
    <row r="319" spans="1:22" x14ac:dyDescent="0.25">
      <c r="A319" s="158">
        <f t="shared" si="17"/>
        <v>307</v>
      </c>
      <c r="B319" s="158">
        <f t="shared" si="17"/>
        <v>307</v>
      </c>
      <c r="C319" s="77" t="s">
        <v>50</v>
      </c>
      <c r="D319" s="159" t="s">
        <v>870</v>
      </c>
      <c r="E319" s="160">
        <f t="shared" si="9"/>
        <v>188929.96000000002</v>
      </c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>
        <v>164929.96000000002</v>
      </c>
      <c r="S319" s="160">
        <v>24000</v>
      </c>
      <c r="T319" s="160"/>
      <c r="U319" s="94">
        <v>1</v>
      </c>
      <c r="V319" s="117">
        <f t="shared" si="20"/>
        <v>0</v>
      </c>
    </row>
    <row r="320" spans="1:22" x14ac:dyDescent="0.25">
      <c r="A320" s="158">
        <f t="shared" si="17"/>
        <v>308</v>
      </c>
      <c r="B320" s="158">
        <f t="shared" si="17"/>
        <v>308</v>
      </c>
      <c r="C320" s="77" t="s">
        <v>50</v>
      </c>
      <c r="D320" s="159" t="s">
        <v>871</v>
      </c>
      <c r="E320" s="160">
        <f t="shared" si="9"/>
        <v>189106.75999999998</v>
      </c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>
        <v>165106.75999999998</v>
      </c>
      <c r="S320" s="160">
        <v>24000</v>
      </c>
      <c r="T320" s="160"/>
      <c r="U320" s="94">
        <v>1</v>
      </c>
      <c r="V320" s="117">
        <f t="shared" si="20"/>
        <v>0</v>
      </c>
    </row>
    <row r="321" spans="1:22" x14ac:dyDescent="0.25">
      <c r="A321" s="158">
        <f t="shared" si="17"/>
        <v>309</v>
      </c>
      <c r="B321" s="158">
        <f t="shared" si="17"/>
        <v>309</v>
      </c>
      <c r="C321" s="77" t="s">
        <v>50</v>
      </c>
      <c r="D321" s="159" t="s">
        <v>872</v>
      </c>
      <c r="E321" s="160">
        <f t="shared" si="9"/>
        <v>471293.04</v>
      </c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>
        <v>447293.04</v>
      </c>
      <c r="S321" s="160">
        <v>24000</v>
      </c>
      <c r="T321" s="160"/>
      <c r="U321" s="94">
        <v>1</v>
      </c>
      <c r="V321" s="117">
        <f t="shared" si="20"/>
        <v>0</v>
      </c>
    </row>
    <row r="322" spans="1:22" x14ac:dyDescent="0.25">
      <c r="A322" s="158">
        <f t="shared" si="17"/>
        <v>310</v>
      </c>
      <c r="B322" s="158">
        <f t="shared" si="17"/>
        <v>310</v>
      </c>
      <c r="C322" s="77" t="s">
        <v>50</v>
      </c>
      <c r="D322" s="159" t="s">
        <v>873</v>
      </c>
      <c r="E322" s="160">
        <f t="shared" si="9"/>
        <v>420969.74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>
        <v>396969.74</v>
      </c>
      <c r="S322" s="160">
        <v>24000</v>
      </c>
      <c r="T322" s="160"/>
      <c r="U322" s="94">
        <v>1</v>
      </c>
      <c r="V322" s="117">
        <f t="shared" si="20"/>
        <v>0</v>
      </c>
    </row>
    <row r="323" spans="1:22" x14ac:dyDescent="0.25">
      <c r="A323" s="158">
        <f t="shared" si="17"/>
        <v>311</v>
      </c>
      <c r="B323" s="158">
        <f t="shared" si="17"/>
        <v>311</v>
      </c>
      <c r="C323" s="77" t="s">
        <v>50</v>
      </c>
      <c r="D323" s="159" t="s">
        <v>874</v>
      </c>
      <c r="E323" s="160">
        <f t="shared" si="9"/>
        <v>422368.42000000004</v>
      </c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>
        <v>398368.42000000004</v>
      </c>
      <c r="S323" s="160">
        <v>24000</v>
      </c>
      <c r="T323" s="160"/>
      <c r="U323" s="94">
        <v>1</v>
      </c>
      <c r="V323" s="117">
        <f t="shared" si="20"/>
        <v>0</v>
      </c>
    </row>
    <row r="324" spans="1:22" x14ac:dyDescent="0.25">
      <c r="A324" s="158">
        <f t="shared" si="17"/>
        <v>312</v>
      </c>
      <c r="B324" s="158">
        <f t="shared" si="17"/>
        <v>312</v>
      </c>
      <c r="C324" s="77" t="s">
        <v>50</v>
      </c>
      <c r="D324" s="159" t="s">
        <v>875</v>
      </c>
      <c r="E324" s="160">
        <f t="shared" si="9"/>
        <v>421146.89999999997</v>
      </c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>
        <v>397146.89999999997</v>
      </c>
      <c r="S324" s="160">
        <v>24000</v>
      </c>
      <c r="T324" s="160"/>
      <c r="U324" s="94">
        <v>1</v>
      </c>
      <c r="V324" s="117">
        <f t="shared" si="20"/>
        <v>0</v>
      </c>
    </row>
    <row r="325" spans="1:22" x14ac:dyDescent="0.25">
      <c r="A325" s="158">
        <f t="shared" si="17"/>
        <v>313</v>
      </c>
      <c r="B325" s="158">
        <f t="shared" si="17"/>
        <v>313</v>
      </c>
      <c r="C325" s="77" t="s">
        <v>50</v>
      </c>
      <c r="D325" s="159" t="s">
        <v>876</v>
      </c>
      <c r="E325" s="160">
        <f t="shared" si="9"/>
        <v>420842.81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>
        <v>396842.81</v>
      </c>
      <c r="S325" s="160">
        <v>24000</v>
      </c>
      <c r="T325" s="160"/>
      <c r="U325" s="94">
        <v>1</v>
      </c>
      <c r="V325" s="117">
        <f t="shared" si="20"/>
        <v>0</v>
      </c>
    </row>
    <row r="326" spans="1:22" x14ac:dyDescent="0.25">
      <c r="A326" s="158">
        <f t="shared" si="17"/>
        <v>314</v>
      </c>
      <c r="B326" s="158">
        <f t="shared" si="17"/>
        <v>314</v>
      </c>
      <c r="C326" s="77" t="s">
        <v>50</v>
      </c>
      <c r="D326" s="159" t="s">
        <v>877</v>
      </c>
      <c r="E326" s="160">
        <f t="shared" si="9"/>
        <v>474068.29999999993</v>
      </c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>
        <v>450068.29999999993</v>
      </c>
      <c r="S326" s="160">
        <v>24000</v>
      </c>
      <c r="T326" s="160"/>
      <c r="U326" s="94">
        <v>1</v>
      </c>
      <c r="V326" s="117">
        <f t="shared" si="20"/>
        <v>0</v>
      </c>
    </row>
    <row r="327" spans="1:22" x14ac:dyDescent="0.25">
      <c r="A327" s="158">
        <f t="shared" si="17"/>
        <v>315</v>
      </c>
      <c r="B327" s="158">
        <f t="shared" si="17"/>
        <v>315</v>
      </c>
      <c r="C327" s="77" t="s">
        <v>50</v>
      </c>
      <c r="D327" s="159" t="s">
        <v>878</v>
      </c>
      <c r="E327" s="160">
        <f t="shared" si="9"/>
        <v>187169.13</v>
      </c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>
        <v>163169.13</v>
      </c>
      <c r="S327" s="160">
        <v>24000</v>
      </c>
      <c r="T327" s="160"/>
      <c r="U327" s="94">
        <v>1</v>
      </c>
      <c r="V327" s="117">
        <f t="shared" si="20"/>
        <v>0</v>
      </c>
    </row>
    <row r="328" spans="1:22" x14ac:dyDescent="0.25">
      <c r="A328" s="158">
        <f t="shared" si="17"/>
        <v>316</v>
      </c>
      <c r="B328" s="158">
        <f t="shared" si="17"/>
        <v>316</v>
      </c>
      <c r="C328" s="77" t="s">
        <v>50</v>
      </c>
      <c r="D328" s="159" t="s">
        <v>879</v>
      </c>
      <c r="E328" s="160">
        <f t="shared" si="9"/>
        <v>422492.39</v>
      </c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>
        <v>398492.39</v>
      </c>
      <c r="S328" s="160">
        <v>24000</v>
      </c>
      <c r="T328" s="160"/>
      <c r="U328" s="94">
        <v>1</v>
      </c>
      <c r="V328" s="117">
        <f t="shared" si="20"/>
        <v>0</v>
      </c>
    </row>
    <row r="329" spans="1:22" x14ac:dyDescent="0.25">
      <c r="A329" s="158">
        <f t="shared" si="17"/>
        <v>317</v>
      </c>
      <c r="B329" s="158">
        <f t="shared" si="17"/>
        <v>317</v>
      </c>
      <c r="C329" s="77" t="s">
        <v>50</v>
      </c>
      <c r="D329" s="159" t="s">
        <v>880</v>
      </c>
      <c r="E329" s="160">
        <f t="shared" si="9"/>
        <v>409879.29560779349</v>
      </c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>
        <v>399879.29560779349</v>
      </c>
      <c r="S329" s="160">
        <v>10000</v>
      </c>
      <c r="T329" s="160"/>
      <c r="U329" s="94">
        <v>1</v>
      </c>
      <c r="V329" s="117">
        <f t="shared" si="20"/>
        <v>0</v>
      </c>
    </row>
    <row r="330" spans="1:22" x14ac:dyDescent="0.25">
      <c r="A330" s="158">
        <f t="shared" si="17"/>
        <v>318</v>
      </c>
      <c r="B330" s="158">
        <f t="shared" si="17"/>
        <v>318</v>
      </c>
      <c r="C330" s="77" t="s">
        <v>50</v>
      </c>
      <c r="D330" s="159" t="s">
        <v>881</v>
      </c>
      <c r="E330" s="160">
        <f t="shared" si="9"/>
        <v>408815.86045963498</v>
      </c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>
        <v>398815.86045963498</v>
      </c>
      <c r="S330" s="160">
        <v>10000</v>
      </c>
      <c r="T330" s="160"/>
      <c r="U330" s="94">
        <v>1</v>
      </c>
      <c r="V330" s="117">
        <f t="shared" si="20"/>
        <v>0</v>
      </c>
    </row>
    <row r="331" spans="1:22" x14ac:dyDescent="0.25">
      <c r="A331" s="158">
        <f t="shared" si="17"/>
        <v>319</v>
      </c>
      <c r="B331" s="158">
        <f t="shared" si="17"/>
        <v>319</v>
      </c>
      <c r="C331" s="77" t="s">
        <v>50</v>
      </c>
      <c r="D331" s="159" t="s">
        <v>882</v>
      </c>
      <c r="E331" s="160">
        <f t="shared" si="9"/>
        <v>2172802.8698562942</v>
      </c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>
        <v>2160802.8698562942</v>
      </c>
      <c r="S331" s="160">
        <v>12000</v>
      </c>
      <c r="T331" s="160"/>
      <c r="U331" s="94">
        <v>1</v>
      </c>
      <c r="V331" s="117">
        <f t="shared" si="20"/>
        <v>0</v>
      </c>
    </row>
    <row r="332" spans="1:22" x14ac:dyDescent="0.25">
      <c r="A332" s="158">
        <f t="shared" si="17"/>
        <v>320</v>
      </c>
      <c r="B332" s="158">
        <f t="shared" si="17"/>
        <v>320</v>
      </c>
      <c r="C332" s="77" t="s">
        <v>50</v>
      </c>
      <c r="D332" s="159" t="s">
        <v>1013</v>
      </c>
      <c r="E332" s="160">
        <f t="shared" ref="E332:E357" si="21">SUM(F332:T332)</f>
        <v>934622.45</v>
      </c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>
        <v>910622.45</v>
      </c>
      <c r="S332" s="160">
        <v>24000</v>
      </c>
      <c r="T332" s="160"/>
      <c r="U332" s="94">
        <v>1</v>
      </c>
      <c r="V332" s="117">
        <f>+E332-R332-S332</f>
        <v>0</v>
      </c>
    </row>
    <row r="333" spans="1:22" x14ac:dyDescent="0.25">
      <c r="A333" s="158">
        <f t="shared" si="17"/>
        <v>321</v>
      </c>
      <c r="B333" s="158">
        <f t="shared" si="17"/>
        <v>321</v>
      </c>
      <c r="C333" s="77" t="s">
        <v>50</v>
      </c>
      <c r="D333" s="159" t="s">
        <v>1014</v>
      </c>
      <c r="E333" s="160">
        <f t="shared" si="21"/>
        <v>911565.37420800002</v>
      </c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>
        <v>887565.37420800002</v>
      </c>
      <c r="S333" s="160">
        <v>24000</v>
      </c>
      <c r="T333" s="160"/>
      <c r="U333" s="94">
        <v>1</v>
      </c>
      <c r="V333" s="117">
        <f>+E333-R333-S333</f>
        <v>0</v>
      </c>
    </row>
    <row r="334" spans="1:22" x14ac:dyDescent="0.25">
      <c r="A334" s="158">
        <f t="shared" ref="A334:B397" si="22">+A333+1</f>
        <v>322</v>
      </c>
      <c r="B334" s="158">
        <f t="shared" si="22"/>
        <v>322</v>
      </c>
      <c r="C334" s="77" t="s">
        <v>50</v>
      </c>
      <c r="D334" s="159" t="s">
        <v>1015</v>
      </c>
      <c r="E334" s="160">
        <f t="shared" si="21"/>
        <v>496809.09589427832</v>
      </c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>
        <v>472809.09589427832</v>
      </c>
      <c r="S334" s="160">
        <v>24000</v>
      </c>
      <c r="T334" s="160"/>
      <c r="U334" s="94">
        <v>1</v>
      </c>
      <c r="V334" s="117">
        <f>+E334-R334-S334</f>
        <v>0</v>
      </c>
    </row>
    <row r="335" spans="1:22" x14ac:dyDescent="0.25">
      <c r="A335" s="158">
        <f t="shared" si="22"/>
        <v>323</v>
      </c>
      <c r="B335" s="158">
        <f t="shared" si="22"/>
        <v>323</v>
      </c>
      <c r="C335" s="77" t="s">
        <v>50</v>
      </c>
      <c r="D335" s="153" t="s">
        <v>1135</v>
      </c>
      <c r="E335" s="160">
        <f t="shared" si="21"/>
        <v>16983.28</v>
      </c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>
        <v>16983.28</v>
      </c>
      <c r="S335" s="160"/>
      <c r="T335" s="160"/>
      <c r="V335" s="117">
        <f t="shared" ref="V335:V341" si="23">+E335-R335-S335</f>
        <v>0</v>
      </c>
    </row>
    <row r="336" spans="1:22" x14ac:dyDescent="0.25">
      <c r="A336" s="158">
        <f t="shared" si="22"/>
        <v>324</v>
      </c>
      <c r="B336" s="158">
        <f t="shared" si="22"/>
        <v>324</v>
      </c>
      <c r="C336" s="77" t="s">
        <v>50</v>
      </c>
      <c r="D336" s="159" t="s">
        <v>1016</v>
      </c>
      <c r="E336" s="160">
        <f t="shared" si="21"/>
        <v>160776.678912</v>
      </c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>
        <v>136776.678912</v>
      </c>
      <c r="S336" s="160">
        <v>24000</v>
      </c>
      <c r="T336" s="160"/>
      <c r="U336" s="94">
        <v>1</v>
      </c>
      <c r="V336" s="117">
        <f t="shared" si="23"/>
        <v>0</v>
      </c>
    </row>
    <row r="337" spans="1:22" x14ac:dyDescent="0.25">
      <c r="A337" s="158">
        <f t="shared" si="22"/>
        <v>325</v>
      </c>
      <c r="B337" s="158">
        <f t="shared" si="22"/>
        <v>325</v>
      </c>
      <c r="C337" s="77" t="s">
        <v>50</v>
      </c>
      <c r="D337" s="159" t="s">
        <v>1017</v>
      </c>
      <c r="E337" s="160">
        <f t="shared" si="21"/>
        <v>1773207.5725510609</v>
      </c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>
        <v>1749207.5725510609</v>
      </c>
      <c r="S337" s="160">
        <v>24000</v>
      </c>
      <c r="T337" s="160"/>
      <c r="U337" s="94">
        <v>1</v>
      </c>
      <c r="V337" s="117">
        <f t="shared" si="23"/>
        <v>0</v>
      </c>
    </row>
    <row r="338" spans="1:22" x14ac:dyDescent="0.25">
      <c r="A338" s="158">
        <f t="shared" si="22"/>
        <v>326</v>
      </c>
      <c r="B338" s="158">
        <f t="shared" si="22"/>
        <v>326</v>
      </c>
      <c r="C338" s="77" t="s">
        <v>50</v>
      </c>
      <c r="D338" s="159" t="s">
        <v>1018</v>
      </c>
      <c r="E338" s="160">
        <f t="shared" si="21"/>
        <v>864133.50417568884</v>
      </c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>
        <v>840133.50417568884</v>
      </c>
      <c r="S338" s="160">
        <v>24000</v>
      </c>
      <c r="T338" s="160"/>
      <c r="U338" s="94">
        <v>1</v>
      </c>
      <c r="V338" s="117">
        <f t="shared" si="23"/>
        <v>0</v>
      </c>
    </row>
    <row r="339" spans="1:22" x14ac:dyDescent="0.25">
      <c r="A339" s="158">
        <f t="shared" si="22"/>
        <v>327</v>
      </c>
      <c r="B339" s="158">
        <f t="shared" si="22"/>
        <v>327</v>
      </c>
      <c r="C339" s="77" t="s">
        <v>50</v>
      </c>
      <c r="D339" s="159" t="s">
        <v>1019</v>
      </c>
      <c r="E339" s="160">
        <f t="shared" si="21"/>
        <v>1357951.5</v>
      </c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>
        <v>1333951.5</v>
      </c>
      <c r="S339" s="160">
        <v>24000</v>
      </c>
      <c r="T339" s="160"/>
      <c r="U339" s="94">
        <v>1</v>
      </c>
      <c r="V339" s="117">
        <f t="shared" si="23"/>
        <v>0</v>
      </c>
    </row>
    <row r="340" spans="1:22" x14ac:dyDescent="0.25">
      <c r="A340" s="158">
        <f t="shared" si="22"/>
        <v>328</v>
      </c>
      <c r="B340" s="158">
        <f t="shared" si="22"/>
        <v>328</v>
      </c>
      <c r="C340" s="77" t="s">
        <v>50</v>
      </c>
      <c r="D340" s="159" t="s">
        <v>1020</v>
      </c>
      <c r="E340" s="160">
        <f t="shared" si="21"/>
        <v>1007589.79</v>
      </c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>
        <v>983589.79</v>
      </c>
      <c r="S340" s="160">
        <v>24000</v>
      </c>
      <c r="T340" s="160"/>
      <c r="U340" s="94">
        <v>1</v>
      </c>
      <c r="V340" s="117">
        <f t="shared" si="23"/>
        <v>0</v>
      </c>
    </row>
    <row r="341" spans="1:22" x14ac:dyDescent="0.25">
      <c r="A341" s="158">
        <f t="shared" si="22"/>
        <v>329</v>
      </c>
      <c r="B341" s="158">
        <f t="shared" si="22"/>
        <v>329</v>
      </c>
      <c r="C341" s="77" t="s">
        <v>50</v>
      </c>
      <c r="D341" s="159" t="s">
        <v>1021</v>
      </c>
      <c r="E341" s="160">
        <f t="shared" si="21"/>
        <v>935653.96</v>
      </c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>
        <v>911653.96</v>
      </c>
      <c r="S341" s="160">
        <v>24000</v>
      </c>
      <c r="T341" s="160"/>
      <c r="U341" s="94">
        <v>1</v>
      </c>
      <c r="V341" s="117">
        <f t="shared" si="23"/>
        <v>0</v>
      </c>
    </row>
    <row r="342" spans="1:22" x14ac:dyDescent="0.25">
      <c r="A342" s="158">
        <f t="shared" si="22"/>
        <v>330</v>
      </c>
      <c r="B342" s="158">
        <f t="shared" si="22"/>
        <v>330</v>
      </c>
      <c r="C342" s="77" t="s">
        <v>50</v>
      </c>
      <c r="D342" s="153" t="s">
        <v>1194</v>
      </c>
      <c r="E342" s="160">
        <f t="shared" si="21"/>
        <v>190555.65</v>
      </c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>
        <v>166555.65</v>
      </c>
      <c r="S342" s="160">
        <v>24000</v>
      </c>
      <c r="T342" s="160"/>
    </row>
    <row r="343" spans="1:22" x14ac:dyDescent="0.25">
      <c r="A343" s="158">
        <f t="shared" si="22"/>
        <v>331</v>
      </c>
      <c r="B343" s="158">
        <f t="shared" si="22"/>
        <v>331</v>
      </c>
      <c r="C343" s="77" t="s">
        <v>50</v>
      </c>
      <c r="D343" s="153" t="s">
        <v>1195</v>
      </c>
      <c r="E343" s="160">
        <f t="shared" si="21"/>
        <v>140632.47</v>
      </c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>
        <v>116632.47</v>
      </c>
      <c r="S343" s="160">
        <v>24000</v>
      </c>
      <c r="T343" s="160"/>
    </row>
    <row r="344" spans="1:22" x14ac:dyDescent="0.25">
      <c r="A344" s="158">
        <f t="shared" si="22"/>
        <v>332</v>
      </c>
      <c r="B344" s="158">
        <f t="shared" si="22"/>
        <v>332</v>
      </c>
      <c r="C344" s="77" t="s">
        <v>50</v>
      </c>
      <c r="D344" s="153" t="s">
        <v>1196</v>
      </c>
      <c r="E344" s="160">
        <f t="shared" si="21"/>
        <v>46838</v>
      </c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>
        <v>22838</v>
      </c>
      <c r="S344" s="160">
        <v>24000</v>
      </c>
      <c r="T344" s="160"/>
    </row>
    <row r="345" spans="1:22" x14ac:dyDescent="0.25">
      <c r="A345" s="158">
        <f t="shared" si="22"/>
        <v>333</v>
      </c>
      <c r="B345" s="158">
        <f t="shared" si="22"/>
        <v>333</v>
      </c>
      <c r="C345" s="77" t="s">
        <v>102</v>
      </c>
      <c r="D345" s="159" t="s">
        <v>1022</v>
      </c>
      <c r="E345" s="160">
        <f t="shared" si="21"/>
        <v>442120.36</v>
      </c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>
        <v>418120.36</v>
      </c>
      <c r="S345" s="160">
        <v>24000</v>
      </c>
      <c r="T345" s="160"/>
      <c r="U345" s="94">
        <v>1</v>
      </c>
      <c r="V345" s="117">
        <f>+E345-R345-S345</f>
        <v>0</v>
      </c>
    </row>
    <row r="346" spans="1:22" x14ac:dyDescent="0.25">
      <c r="A346" s="158">
        <f t="shared" si="22"/>
        <v>334</v>
      </c>
      <c r="B346" s="158">
        <f t="shared" si="22"/>
        <v>334</v>
      </c>
      <c r="C346" s="77" t="s">
        <v>1142</v>
      </c>
      <c r="D346" s="153" t="s">
        <v>1197</v>
      </c>
      <c r="E346" s="160">
        <f t="shared" si="21"/>
        <v>153059.96000000002</v>
      </c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>
        <v>124669.96</v>
      </c>
      <c r="S346" s="160">
        <v>28390</v>
      </c>
      <c r="T346" s="160"/>
    </row>
    <row r="347" spans="1:22" x14ac:dyDescent="0.25">
      <c r="A347" s="158">
        <f t="shared" si="22"/>
        <v>335</v>
      </c>
      <c r="B347" s="158">
        <f t="shared" si="22"/>
        <v>335</v>
      </c>
      <c r="C347" s="77" t="s">
        <v>1142</v>
      </c>
      <c r="D347" s="153" t="s">
        <v>1198</v>
      </c>
      <c r="E347" s="160">
        <f t="shared" si="21"/>
        <v>213448.34</v>
      </c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>
        <v>189448.34</v>
      </c>
      <c r="S347" s="160">
        <v>24000</v>
      </c>
      <c r="T347" s="160"/>
    </row>
    <row r="348" spans="1:22" x14ac:dyDescent="0.25">
      <c r="A348" s="158">
        <f t="shared" si="22"/>
        <v>336</v>
      </c>
      <c r="B348" s="158">
        <f t="shared" si="22"/>
        <v>336</v>
      </c>
      <c r="C348" s="77" t="s">
        <v>1142</v>
      </c>
      <c r="D348" s="153" t="s">
        <v>1199</v>
      </c>
      <c r="E348" s="160">
        <f t="shared" si="21"/>
        <v>153772.23000000001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>
        <v>129772.23000000001</v>
      </c>
      <c r="S348" s="160">
        <v>24000</v>
      </c>
      <c r="T348" s="160"/>
    </row>
    <row r="349" spans="1:22" x14ac:dyDescent="0.25">
      <c r="A349" s="158">
        <f t="shared" si="22"/>
        <v>337</v>
      </c>
      <c r="B349" s="158">
        <f t="shared" si="22"/>
        <v>337</v>
      </c>
      <c r="C349" s="77" t="s">
        <v>1142</v>
      </c>
      <c r="D349" s="153" t="s">
        <v>1200</v>
      </c>
      <c r="E349" s="160">
        <f t="shared" si="21"/>
        <v>104296.5</v>
      </c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>
        <v>80296.5</v>
      </c>
      <c r="S349" s="160">
        <v>24000</v>
      </c>
      <c r="T349" s="160"/>
    </row>
    <row r="350" spans="1:22" x14ac:dyDescent="0.25">
      <c r="A350" s="158">
        <f t="shared" si="22"/>
        <v>338</v>
      </c>
      <c r="B350" s="158">
        <f t="shared" si="22"/>
        <v>338</v>
      </c>
      <c r="C350" s="77" t="s">
        <v>1142</v>
      </c>
      <c r="D350" s="153" t="s">
        <v>1201</v>
      </c>
      <c r="E350" s="160">
        <f t="shared" si="21"/>
        <v>161679.23000000001</v>
      </c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>
        <v>137679.23000000001</v>
      </c>
      <c r="S350" s="160">
        <v>24000</v>
      </c>
      <c r="T350" s="160"/>
    </row>
    <row r="351" spans="1:22" x14ac:dyDescent="0.25">
      <c r="A351" s="158">
        <f t="shared" si="22"/>
        <v>339</v>
      </c>
      <c r="B351" s="158">
        <f t="shared" si="22"/>
        <v>339</v>
      </c>
      <c r="C351" s="77" t="s">
        <v>1142</v>
      </c>
      <c r="D351" s="153" t="s">
        <v>1202</v>
      </c>
      <c r="E351" s="160">
        <f t="shared" si="21"/>
        <v>66155.19</v>
      </c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>
        <v>42155.19</v>
      </c>
      <c r="S351" s="160">
        <v>24000</v>
      </c>
      <c r="T351" s="160"/>
    </row>
    <row r="352" spans="1:22" x14ac:dyDescent="0.25">
      <c r="A352" s="158">
        <f t="shared" si="22"/>
        <v>340</v>
      </c>
      <c r="B352" s="158">
        <f t="shared" si="22"/>
        <v>340</v>
      </c>
      <c r="C352" s="77" t="s">
        <v>103</v>
      </c>
      <c r="D352" s="159" t="s">
        <v>1023</v>
      </c>
      <c r="E352" s="160">
        <f t="shared" si="21"/>
        <v>552937.23</v>
      </c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>
        <v>528937.23</v>
      </c>
      <c r="S352" s="160">
        <v>24000</v>
      </c>
      <c r="T352" s="160"/>
      <c r="U352" s="94">
        <v>1</v>
      </c>
      <c r="V352" s="117">
        <f t="shared" ref="V352:V357" si="24">+E352-R352-S352</f>
        <v>0</v>
      </c>
    </row>
    <row r="353" spans="1:22" x14ac:dyDescent="0.25">
      <c r="A353" s="158">
        <f t="shared" si="22"/>
        <v>341</v>
      </c>
      <c r="B353" s="158">
        <f t="shared" si="22"/>
        <v>341</v>
      </c>
      <c r="C353" s="77" t="s">
        <v>103</v>
      </c>
      <c r="D353" s="159" t="s">
        <v>1024</v>
      </c>
      <c r="E353" s="160">
        <f t="shared" si="21"/>
        <v>553802.07999999996</v>
      </c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>
        <v>529802.07999999996</v>
      </c>
      <c r="S353" s="160">
        <v>24000</v>
      </c>
      <c r="T353" s="160"/>
      <c r="U353" s="94">
        <v>1</v>
      </c>
      <c r="V353" s="117">
        <f t="shared" si="24"/>
        <v>0</v>
      </c>
    </row>
    <row r="354" spans="1:22" x14ac:dyDescent="0.25">
      <c r="A354" s="158">
        <f t="shared" si="22"/>
        <v>342</v>
      </c>
      <c r="B354" s="158">
        <f t="shared" si="22"/>
        <v>342</v>
      </c>
      <c r="C354" s="77" t="s">
        <v>103</v>
      </c>
      <c r="D354" s="159" t="s">
        <v>1025</v>
      </c>
      <c r="E354" s="160">
        <f t="shared" si="21"/>
        <v>576194.22</v>
      </c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>
        <v>552194.22</v>
      </c>
      <c r="S354" s="160">
        <v>24000</v>
      </c>
      <c r="T354" s="160"/>
      <c r="U354" s="94">
        <v>1</v>
      </c>
      <c r="V354" s="117">
        <f t="shared" si="24"/>
        <v>0</v>
      </c>
    </row>
    <row r="355" spans="1:22" x14ac:dyDescent="0.25">
      <c r="A355" s="158">
        <f t="shared" si="22"/>
        <v>343</v>
      </c>
      <c r="B355" s="158">
        <f t="shared" si="22"/>
        <v>343</v>
      </c>
      <c r="C355" s="77" t="s">
        <v>103</v>
      </c>
      <c r="D355" s="159" t="s">
        <v>1026</v>
      </c>
      <c r="E355" s="160">
        <f t="shared" si="21"/>
        <v>466481.40988416004</v>
      </c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>
        <v>442481.40988416004</v>
      </c>
      <c r="S355" s="160">
        <v>24000</v>
      </c>
      <c r="T355" s="160"/>
      <c r="U355" s="94">
        <v>1</v>
      </c>
      <c r="V355" s="117">
        <f t="shared" si="24"/>
        <v>0</v>
      </c>
    </row>
    <row r="356" spans="1:22" x14ac:dyDescent="0.25">
      <c r="A356" s="158">
        <f t="shared" si="22"/>
        <v>344</v>
      </c>
      <c r="B356" s="158">
        <f t="shared" si="22"/>
        <v>344</v>
      </c>
      <c r="C356" s="77" t="s">
        <v>103</v>
      </c>
      <c r="D356" s="159" t="s">
        <v>1027</v>
      </c>
      <c r="E356" s="160">
        <f t="shared" si="21"/>
        <v>568211.22844800004</v>
      </c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>
        <v>544211.22844800004</v>
      </c>
      <c r="S356" s="160">
        <v>24000</v>
      </c>
      <c r="T356" s="160"/>
      <c r="U356" s="94">
        <v>1</v>
      </c>
      <c r="V356" s="117">
        <f t="shared" si="24"/>
        <v>0</v>
      </c>
    </row>
    <row r="357" spans="1:22" x14ac:dyDescent="0.25">
      <c r="A357" s="158">
        <f t="shared" si="22"/>
        <v>345</v>
      </c>
      <c r="B357" s="158">
        <f t="shared" si="22"/>
        <v>345</v>
      </c>
      <c r="C357" s="77" t="s">
        <v>103</v>
      </c>
      <c r="D357" s="159" t="s">
        <v>1028</v>
      </c>
      <c r="E357" s="160">
        <f t="shared" si="21"/>
        <v>568012.34</v>
      </c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>
        <v>544012.34</v>
      </c>
      <c r="S357" s="160">
        <v>24000</v>
      </c>
      <c r="T357" s="160"/>
      <c r="U357" s="94">
        <v>1</v>
      </c>
      <c r="V357" s="117">
        <f t="shared" si="24"/>
        <v>0</v>
      </c>
    </row>
    <row r="358" spans="1:22" x14ac:dyDescent="0.25">
      <c r="A358" s="158">
        <f t="shared" si="22"/>
        <v>346</v>
      </c>
      <c r="B358" s="158">
        <f t="shared" si="22"/>
        <v>346</v>
      </c>
      <c r="C358" s="77" t="s">
        <v>103</v>
      </c>
      <c r="D358" s="159" t="s">
        <v>884</v>
      </c>
      <c r="E358" s="160">
        <f t="shared" si="9"/>
        <v>381208.15876160114</v>
      </c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>
        <v>357208.15876160114</v>
      </c>
      <c r="S358" s="160">
        <v>24000</v>
      </c>
      <c r="T358" s="160"/>
      <c r="U358" s="94">
        <v>1</v>
      </c>
      <c r="V358" s="117">
        <f t="shared" si="20"/>
        <v>0</v>
      </c>
    </row>
    <row r="359" spans="1:22" x14ac:dyDescent="0.25">
      <c r="A359" s="158">
        <f t="shared" si="22"/>
        <v>347</v>
      </c>
      <c r="B359" s="158">
        <f t="shared" si="22"/>
        <v>347</v>
      </c>
      <c r="C359" s="77" t="s">
        <v>103</v>
      </c>
      <c r="D359" s="159" t="s">
        <v>885</v>
      </c>
      <c r="E359" s="160">
        <f t="shared" si="9"/>
        <v>324873.81914350996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>
        <v>300873.81914350996</v>
      </c>
      <c r="S359" s="160">
        <v>24000</v>
      </c>
      <c r="T359" s="160"/>
      <c r="U359" s="94">
        <v>1</v>
      </c>
      <c r="V359" s="117">
        <f t="shared" si="20"/>
        <v>0</v>
      </c>
    </row>
    <row r="360" spans="1:22" x14ac:dyDescent="0.25">
      <c r="A360" s="158">
        <f t="shared" si="22"/>
        <v>348</v>
      </c>
      <c r="B360" s="158">
        <f t="shared" si="22"/>
        <v>348</v>
      </c>
      <c r="C360" s="77" t="s">
        <v>1118</v>
      </c>
      <c r="D360" s="159" t="s">
        <v>883</v>
      </c>
      <c r="E360" s="160">
        <f>SUM(F360:T360)</f>
        <v>1851214.5910470171</v>
      </c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>
        <v>1839214.5910470171</v>
      </c>
      <c r="S360" s="160">
        <v>12000</v>
      </c>
      <c r="T360" s="160"/>
      <c r="U360" s="94">
        <v>1</v>
      </c>
      <c r="V360" s="117">
        <f>+E360-R360-S360</f>
        <v>0</v>
      </c>
    </row>
    <row r="361" spans="1:22" x14ac:dyDescent="0.25">
      <c r="A361" s="158">
        <f t="shared" si="22"/>
        <v>349</v>
      </c>
      <c r="B361" s="158">
        <f t="shared" si="22"/>
        <v>349</v>
      </c>
      <c r="C361" s="77" t="s">
        <v>1118</v>
      </c>
      <c r="D361" s="153" t="s">
        <v>1203</v>
      </c>
      <c r="E361" s="160">
        <f>SUM(F361:T361)</f>
        <v>77313.759999999995</v>
      </c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>
        <v>53313.759999999995</v>
      </c>
      <c r="S361" s="160">
        <v>24000</v>
      </c>
      <c r="T361" s="160"/>
    </row>
    <row r="362" spans="1:22" x14ac:dyDescent="0.25">
      <c r="A362" s="158">
        <f t="shared" si="22"/>
        <v>350</v>
      </c>
      <c r="B362" s="158">
        <f t="shared" si="22"/>
        <v>350</v>
      </c>
      <c r="C362" s="77" t="s">
        <v>1118</v>
      </c>
      <c r="D362" s="153" t="s">
        <v>1204</v>
      </c>
      <c r="E362" s="160">
        <f>SUM(F362:T362)</f>
        <v>85409.67</v>
      </c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>
        <v>61409.67</v>
      </c>
      <c r="S362" s="160">
        <v>24000</v>
      </c>
      <c r="T362" s="160"/>
    </row>
    <row r="363" spans="1:22" x14ac:dyDescent="0.25">
      <c r="A363" s="158">
        <f t="shared" si="22"/>
        <v>351</v>
      </c>
      <c r="B363" s="158">
        <f t="shared" si="22"/>
        <v>351</v>
      </c>
      <c r="C363" s="77" t="s">
        <v>520</v>
      </c>
      <c r="D363" s="159" t="s">
        <v>1029</v>
      </c>
      <c r="E363" s="160">
        <f>SUM(F363:T363)</f>
        <v>143639</v>
      </c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>
        <v>119639</v>
      </c>
      <c r="S363" s="160">
        <v>24000</v>
      </c>
      <c r="T363" s="160"/>
      <c r="U363" s="94">
        <v>1</v>
      </c>
      <c r="V363" s="117">
        <f>+E363-R363-S363</f>
        <v>0</v>
      </c>
    </row>
    <row r="364" spans="1:22" x14ac:dyDescent="0.25">
      <c r="A364" s="158">
        <f t="shared" si="22"/>
        <v>352</v>
      </c>
      <c r="B364" s="158">
        <f t="shared" si="22"/>
        <v>352</v>
      </c>
      <c r="C364" s="77" t="s">
        <v>520</v>
      </c>
      <c r="D364" s="159" t="s">
        <v>886</v>
      </c>
      <c r="E364" s="160">
        <f t="shared" si="9"/>
        <v>188216.97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>
        <v>180216.97</v>
      </c>
      <c r="S364" s="160">
        <v>8000</v>
      </c>
      <c r="T364" s="160"/>
      <c r="U364" s="94">
        <v>1</v>
      </c>
      <c r="V364" s="117">
        <f t="shared" si="20"/>
        <v>0</v>
      </c>
    </row>
    <row r="365" spans="1:22" x14ac:dyDescent="0.25">
      <c r="A365" s="158">
        <f t="shared" si="22"/>
        <v>353</v>
      </c>
      <c r="B365" s="158">
        <f t="shared" si="22"/>
        <v>353</v>
      </c>
      <c r="C365" s="77" t="s">
        <v>520</v>
      </c>
      <c r="D365" s="159" t="s">
        <v>1205</v>
      </c>
      <c r="E365" s="160">
        <f>SUM(F365:T365)</f>
        <v>130976.76</v>
      </c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>
        <v>120976.76</v>
      </c>
      <c r="S365" s="160">
        <v>10000</v>
      </c>
      <c r="T365" s="160"/>
      <c r="U365" s="108">
        <v>1</v>
      </c>
      <c r="V365" s="117">
        <f>+E365-R365-S365</f>
        <v>0</v>
      </c>
    </row>
    <row r="366" spans="1:22" x14ac:dyDescent="0.25">
      <c r="A366" s="158">
        <f t="shared" si="22"/>
        <v>354</v>
      </c>
      <c r="B366" s="158">
        <f t="shared" si="22"/>
        <v>354</v>
      </c>
      <c r="C366" s="77" t="s">
        <v>1123</v>
      </c>
      <c r="D366" s="159" t="s">
        <v>1068</v>
      </c>
      <c r="E366" s="160">
        <f>SUM(F366:T366)</f>
        <v>455299.98</v>
      </c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>
        <v>445299.98</v>
      </c>
      <c r="S366" s="160">
        <v>10000</v>
      </c>
      <c r="T366" s="160"/>
      <c r="U366" s="94">
        <v>1</v>
      </c>
      <c r="V366" s="117">
        <f>+E366-R366-S366</f>
        <v>0</v>
      </c>
    </row>
    <row r="367" spans="1:22" x14ac:dyDescent="0.25">
      <c r="A367" s="158">
        <f t="shared" si="22"/>
        <v>355</v>
      </c>
      <c r="B367" s="158">
        <f t="shared" si="22"/>
        <v>355</v>
      </c>
      <c r="C367" s="77" t="s">
        <v>1123</v>
      </c>
      <c r="D367" s="159" t="s">
        <v>957</v>
      </c>
      <c r="E367" s="160">
        <f t="shared" ref="E367:E387" si="25">SUM(F367:T367)</f>
        <v>1132732.07</v>
      </c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>
        <v>1098732.07</v>
      </c>
      <c r="S367" s="160">
        <v>34000</v>
      </c>
      <c r="T367" s="160"/>
      <c r="U367" s="94">
        <v>1</v>
      </c>
      <c r="V367" s="117">
        <f t="shared" ref="V367:V396" si="26">+E367-R367-S367</f>
        <v>0</v>
      </c>
    </row>
    <row r="368" spans="1:22" x14ac:dyDescent="0.25">
      <c r="A368" s="158">
        <f t="shared" si="22"/>
        <v>356</v>
      </c>
      <c r="B368" s="158">
        <f t="shared" si="22"/>
        <v>356</v>
      </c>
      <c r="C368" s="77" t="s">
        <v>1123</v>
      </c>
      <c r="D368" s="159" t="s">
        <v>958</v>
      </c>
      <c r="E368" s="160">
        <f t="shared" si="25"/>
        <v>1137143.08</v>
      </c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>
        <v>1103143.08</v>
      </c>
      <c r="S368" s="160">
        <v>34000</v>
      </c>
      <c r="T368" s="160"/>
      <c r="U368" s="94">
        <v>1</v>
      </c>
      <c r="V368" s="117">
        <f t="shared" si="26"/>
        <v>0</v>
      </c>
    </row>
    <row r="369" spans="1:22" x14ac:dyDescent="0.25">
      <c r="A369" s="158">
        <f t="shared" si="22"/>
        <v>357</v>
      </c>
      <c r="B369" s="158">
        <f t="shared" si="22"/>
        <v>357</v>
      </c>
      <c r="C369" s="77" t="s">
        <v>1123</v>
      </c>
      <c r="D369" s="159" t="s">
        <v>959</v>
      </c>
      <c r="E369" s="160">
        <f t="shared" si="25"/>
        <v>1133197.49</v>
      </c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>
        <v>1099197.49</v>
      </c>
      <c r="S369" s="160">
        <v>34000</v>
      </c>
      <c r="T369" s="160"/>
      <c r="U369" s="94">
        <v>1</v>
      </c>
      <c r="V369" s="117">
        <f t="shared" si="26"/>
        <v>0</v>
      </c>
    </row>
    <row r="370" spans="1:22" x14ac:dyDescent="0.25">
      <c r="A370" s="158">
        <f t="shared" si="22"/>
        <v>358</v>
      </c>
      <c r="B370" s="158">
        <f t="shared" si="22"/>
        <v>358</v>
      </c>
      <c r="C370" s="77" t="s">
        <v>1123</v>
      </c>
      <c r="D370" s="159" t="s">
        <v>960</v>
      </c>
      <c r="E370" s="160">
        <f t="shared" si="25"/>
        <v>1385746.94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>
        <v>1351746.94</v>
      </c>
      <c r="S370" s="160">
        <v>34000</v>
      </c>
      <c r="T370" s="160"/>
      <c r="U370" s="94">
        <v>1</v>
      </c>
      <c r="V370" s="117">
        <f t="shared" si="26"/>
        <v>0</v>
      </c>
    </row>
    <row r="371" spans="1:22" x14ac:dyDescent="0.25">
      <c r="A371" s="158">
        <f t="shared" si="22"/>
        <v>359</v>
      </c>
      <c r="B371" s="158">
        <f t="shared" si="22"/>
        <v>359</v>
      </c>
      <c r="C371" s="77" t="s">
        <v>1123</v>
      </c>
      <c r="D371" s="159" t="s">
        <v>961</v>
      </c>
      <c r="E371" s="160">
        <f t="shared" si="25"/>
        <v>1143521.6100000001</v>
      </c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>
        <v>1109521.6100000001</v>
      </c>
      <c r="S371" s="160">
        <v>34000</v>
      </c>
      <c r="T371" s="160"/>
      <c r="U371" s="94">
        <v>1</v>
      </c>
      <c r="V371" s="117">
        <f t="shared" si="26"/>
        <v>0</v>
      </c>
    </row>
    <row r="372" spans="1:22" x14ac:dyDescent="0.25">
      <c r="A372" s="158">
        <f t="shared" si="22"/>
        <v>360</v>
      </c>
      <c r="B372" s="158">
        <f t="shared" si="22"/>
        <v>360</v>
      </c>
      <c r="C372" s="77" t="s">
        <v>1123</v>
      </c>
      <c r="D372" s="159" t="s">
        <v>962</v>
      </c>
      <c r="E372" s="160">
        <f t="shared" si="25"/>
        <v>1198330.0999999999</v>
      </c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>
        <v>1164330.0999999999</v>
      </c>
      <c r="S372" s="160">
        <v>34000</v>
      </c>
      <c r="T372" s="160"/>
      <c r="U372" s="94">
        <v>1</v>
      </c>
      <c r="V372" s="117">
        <f t="shared" si="26"/>
        <v>0</v>
      </c>
    </row>
    <row r="373" spans="1:22" x14ac:dyDescent="0.25">
      <c r="A373" s="158">
        <f t="shared" si="22"/>
        <v>361</v>
      </c>
      <c r="B373" s="158">
        <f t="shared" si="22"/>
        <v>361</v>
      </c>
      <c r="C373" s="77" t="s">
        <v>628</v>
      </c>
      <c r="D373" s="159" t="s">
        <v>1207</v>
      </c>
      <c r="E373" s="160">
        <f>SUM(F373:T373)</f>
        <v>343290.73</v>
      </c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>
        <v>309167.73</v>
      </c>
      <c r="S373" s="160">
        <v>34123</v>
      </c>
      <c r="T373" s="160"/>
      <c r="U373" s="105">
        <v>1</v>
      </c>
      <c r="V373" s="117">
        <f>+E373-R373-S373</f>
        <v>0</v>
      </c>
    </row>
    <row r="374" spans="1:22" x14ac:dyDescent="0.25">
      <c r="A374" s="158">
        <f t="shared" si="22"/>
        <v>362</v>
      </c>
      <c r="B374" s="158">
        <f t="shared" si="22"/>
        <v>362</v>
      </c>
      <c r="C374" s="77" t="s">
        <v>628</v>
      </c>
      <c r="D374" s="159" t="s">
        <v>1209</v>
      </c>
      <c r="E374" s="160">
        <f>SUM(F374:T374)</f>
        <v>286990.15000000002</v>
      </c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>
        <v>258542.15000000002</v>
      </c>
      <c r="S374" s="160">
        <v>28448</v>
      </c>
      <c r="T374" s="160"/>
      <c r="U374" s="105">
        <v>1</v>
      </c>
      <c r="V374" s="117">
        <f>+E374-R374-S374</f>
        <v>0</v>
      </c>
    </row>
    <row r="375" spans="1:22" x14ac:dyDescent="0.25">
      <c r="A375" s="158">
        <f t="shared" si="22"/>
        <v>363</v>
      </c>
      <c r="B375" s="158">
        <f t="shared" si="22"/>
        <v>363</v>
      </c>
      <c r="C375" s="77" t="s">
        <v>1082</v>
      </c>
      <c r="D375" s="159" t="s">
        <v>1211</v>
      </c>
      <c r="E375" s="160">
        <f>SUM(F375:T375)</f>
        <v>231559.53999999998</v>
      </c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>
        <v>195999.53999999998</v>
      </c>
      <c r="S375" s="160">
        <v>35560</v>
      </c>
      <c r="T375" s="160"/>
      <c r="U375" s="105">
        <v>1</v>
      </c>
      <c r="V375" s="117">
        <f>+E375-R375-S375</f>
        <v>0</v>
      </c>
    </row>
    <row r="376" spans="1:22" x14ac:dyDescent="0.25">
      <c r="A376" s="158">
        <f t="shared" si="22"/>
        <v>364</v>
      </c>
      <c r="B376" s="158">
        <f t="shared" si="22"/>
        <v>364</v>
      </c>
      <c r="C376" s="77" t="s">
        <v>1146</v>
      </c>
      <c r="D376" s="159" t="s">
        <v>1213</v>
      </c>
      <c r="E376" s="160">
        <f>SUM(F376:T376)</f>
        <v>227216.73</v>
      </c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>
        <v>192510.73</v>
      </c>
      <c r="S376" s="160">
        <v>34706</v>
      </c>
      <c r="T376" s="160"/>
    </row>
    <row r="377" spans="1:22" x14ac:dyDescent="0.25">
      <c r="A377" s="158">
        <f t="shared" si="22"/>
        <v>365</v>
      </c>
      <c r="B377" s="158">
        <f t="shared" si="22"/>
        <v>365</v>
      </c>
      <c r="C377" s="77" t="s">
        <v>1124</v>
      </c>
      <c r="D377" s="159" t="s">
        <v>963</v>
      </c>
      <c r="E377" s="160">
        <f t="shared" si="25"/>
        <v>188310.15</v>
      </c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>
        <v>180310.15</v>
      </c>
      <c r="S377" s="160">
        <v>8000</v>
      </c>
      <c r="T377" s="160"/>
      <c r="U377" s="94">
        <v>1</v>
      </c>
      <c r="V377" s="117">
        <f t="shared" si="26"/>
        <v>0</v>
      </c>
    </row>
    <row r="378" spans="1:22" x14ac:dyDescent="0.25">
      <c r="A378" s="158">
        <f t="shared" si="22"/>
        <v>366</v>
      </c>
      <c r="B378" s="158">
        <f t="shared" si="22"/>
        <v>366</v>
      </c>
      <c r="C378" s="77" t="s">
        <v>629</v>
      </c>
      <c r="D378" s="159" t="s">
        <v>964</v>
      </c>
      <c r="E378" s="160">
        <f t="shared" si="25"/>
        <v>1150935.7799999998</v>
      </c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>
        <v>1126935.7799999998</v>
      </c>
      <c r="S378" s="160">
        <v>24000</v>
      </c>
      <c r="T378" s="160"/>
      <c r="U378" s="94">
        <v>1</v>
      </c>
      <c r="V378" s="117">
        <f t="shared" si="26"/>
        <v>0</v>
      </c>
    </row>
    <row r="379" spans="1:22" x14ac:dyDescent="0.25">
      <c r="A379" s="158">
        <f t="shared" si="22"/>
        <v>367</v>
      </c>
      <c r="B379" s="158">
        <f t="shared" si="22"/>
        <v>367</v>
      </c>
      <c r="C379" s="77" t="s">
        <v>629</v>
      </c>
      <c r="D379" s="159" t="s">
        <v>965</v>
      </c>
      <c r="E379" s="160">
        <f t="shared" si="25"/>
        <v>338593.19</v>
      </c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>
        <v>314593.19</v>
      </c>
      <c r="S379" s="160">
        <v>24000</v>
      </c>
      <c r="T379" s="160"/>
      <c r="U379" s="94">
        <v>1</v>
      </c>
      <c r="V379" s="117">
        <f t="shared" si="26"/>
        <v>0</v>
      </c>
    </row>
    <row r="380" spans="1:22" x14ac:dyDescent="0.25">
      <c r="A380" s="158">
        <f t="shared" si="22"/>
        <v>368</v>
      </c>
      <c r="B380" s="158">
        <f t="shared" si="22"/>
        <v>368</v>
      </c>
      <c r="C380" s="77" t="s">
        <v>1126</v>
      </c>
      <c r="D380" s="159" t="s">
        <v>966</v>
      </c>
      <c r="E380" s="160">
        <f t="shared" si="25"/>
        <v>133997.25</v>
      </c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>
        <v>109997.25</v>
      </c>
      <c r="S380" s="160">
        <v>24000</v>
      </c>
      <c r="T380" s="160"/>
      <c r="U380" s="94">
        <v>1</v>
      </c>
      <c r="V380" s="117">
        <f t="shared" si="26"/>
        <v>0</v>
      </c>
    </row>
    <row r="381" spans="1:22" x14ac:dyDescent="0.25">
      <c r="A381" s="158">
        <f t="shared" si="22"/>
        <v>369</v>
      </c>
      <c r="B381" s="158">
        <f t="shared" si="22"/>
        <v>369</v>
      </c>
      <c r="C381" s="77" t="s">
        <v>1126</v>
      </c>
      <c r="D381" s="159" t="s">
        <v>967</v>
      </c>
      <c r="E381" s="160">
        <f t="shared" si="25"/>
        <v>134321.91999999998</v>
      </c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>
        <v>110321.91999999998</v>
      </c>
      <c r="S381" s="160">
        <v>24000</v>
      </c>
      <c r="T381" s="160"/>
      <c r="U381" s="94">
        <v>1</v>
      </c>
      <c r="V381" s="117">
        <f t="shared" si="26"/>
        <v>0</v>
      </c>
    </row>
    <row r="382" spans="1:22" x14ac:dyDescent="0.25">
      <c r="A382" s="158">
        <f t="shared" si="22"/>
        <v>370</v>
      </c>
      <c r="B382" s="158">
        <f t="shared" si="22"/>
        <v>370</v>
      </c>
      <c r="C382" s="77" t="s">
        <v>1127</v>
      </c>
      <c r="D382" s="159" t="s">
        <v>968</v>
      </c>
      <c r="E382" s="160">
        <f t="shared" si="25"/>
        <v>499228.68</v>
      </c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>
        <v>489228.68</v>
      </c>
      <c r="S382" s="160">
        <v>10000</v>
      </c>
      <c r="T382" s="160"/>
      <c r="U382" s="94">
        <v>1</v>
      </c>
      <c r="V382" s="117">
        <f t="shared" si="26"/>
        <v>0</v>
      </c>
    </row>
    <row r="383" spans="1:22" x14ac:dyDescent="0.25">
      <c r="A383" s="158">
        <f t="shared" si="22"/>
        <v>371</v>
      </c>
      <c r="B383" s="158">
        <f t="shared" si="22"/>
        <v>371</v>
      </c>
      <c r="C383" s="77" t="s">
        <v>1128</v>
      </c>
      <c r="D383" s="159" t="s">
        <v>969</v>
      </c>
      <c r="E383" s="160">
        <f t="shared" si="25"/>
        <v>559606.71</v>
      </c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>
        <v>535606.71</v>
      </c>
      <c r="S383" s="160">
        <v>24000</v>
      </c>
      <c r="T383" s="160"/>
      <c r="U383" s="94">
        <v>1</v>
      </c>
      <c r="V383" s="117">
        <f t="shared" si="26"/>
        <v>0</v>
      </c>
    </row>
    <row r="384" spans="1:22" x14ac:dyDescent="0.25">
      <c r="A384" s="158">
        <f t="shared" si="22"/>
        <v>372</v>
      </c>
      <c r="B384" s="158">
        <f t="shared" si="22"/>
        <v>372</v>
      </c>
      <c r="C384" s="77" t="s">
        <v>1128</v>
      </c>
      <c r="D384" s="159" t="s">
        <v>970</v>
      </c>
      <c r="E384" s="160">
        <f t="shared" si="25"/>
        <v>233973.65</v>
      </c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>
        <v>209973.65</v>
      </c>
      <c r="S384" s="160">
        <v>24000</v>
      </c>
      <c r="T384" s="160"/>
      <c r="U384" s="94">
        <v>1</v>
      </c>
      <c r="V384" s="117">
        <f t="shared" si="26"/>
        <v>0</v>
      </c>
    </row>
    <row r="385" spans="1:22" x14ac:dyDescent="0.25">
      <c r="A385" s="158">
        <f t="shared" si="22"/>
        <v>373</v>
      </c>
      <c r="B385" s="158">
        <f t="shared" si="22"/>
        <v>373</v>
      </c>
      <c r="C385" s="77" t="s">
        <v>1128</v>
      </c>
      <c r="D385" s="159" t="s">
        <v>971</v>
      </c>
      <c r="E385" s="160">
        <f t="shared" si="25"/>
        <v>233740.11000000002</v>
      </c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>
        <v>209740.11000000002</v>
      </c>
      <c r="S385" s="160">
        <v>24000</v>
      </c>
      <c r="T385" s="160"/>
      <c r="U385" s="94">
        <v>1</v>
      </c>
      <c r="V385" s="117">
        <f t="shared" si="26"/>
        <v>0</v>
      </c>
    </row>
    <row r="386" spans="1:22" x14ac:dyDescent="0.25">
      <c r="A386" s="158">
        <f t="shared" si="22"/>
        <v>374</v>
      </c>
      <c r="B386" s="158">
        <f t="shared" si="22"/>
        <v>374</v>
      </c>
      <c r="C386" s="77" t="s">
        <v>1128</v>
      </c>
      <c r="D386" s="159" t="s">
        <v>972</v>
      </c>
      <c r="E386" s="160">
        <f t="shared" si="25"/>
        <v>181002.58000000002</v>
      </c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>
        <v>157002.58000000002</v>
      </c>
      <c r="S386" s="160">
        <v>24000</v>
      </c>
      <c r="T386" s="160"/>
      <c r="U386" s="94">
        <v>1</v>
      </c>
      <c r="V386" s="117">
        <f t="shared" si="26"/>
        <v>0</v>
      </c>
    </row>
    <row r="387" spans="1:22" x14ac:dyDescent="0.25">
      <c r="A387" s="158">
        <f t="shared" si="22"/>
        <v>375</v>
      </c>
      <c r="B387" s="158">
        <f t="shared" si="22"/>
        <v>375</v>
      </c>
      <c r="C387" s="77" t="s">
        <v>1128</v>
      </c>
      <c r="D387" s="159" t="s">
        <v>973</v>
      </c>
      <c r="E387" s="160">
        <f t="shared" si="25"/>
        <v>180630.75</v>
      </c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>
        <v>156630.75</v>
      </c>
      <c r="S387" s="160">
        <v>24000</v>
      </c>
      <c r="T387" s="160"/>
      <c r="U387" s="94">
        <v>1</v>
      </c>
      <c r="V387" s="117">
        <f t="shared" si="26"/>
        <v>0</v>
      </c>
    </row>
    <row r="388" spans="1:22" x14ac:dyDescent="0.25">
      <c r="A388" s="158">
        <f t="shared" si="22"/>
        <v>376</v>
      </c>
      <c r="B388" s="158">
        <f t="shared" si="22"/>
        <v>376</v>
      </c>
      <c r="C388" s="77" t="s">
        <v>629</v>
      </c>
      <c r="D388" s="159" t="s">
        <v>1069</v>
      </c>
      <c r="E388" s="160">
        <f t="shared" ref="E388:E395" si="27">SUM(F388:T388)</f>
        <v>861634.79</v>
      </c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>
        <v>851634.79</v>
      </c>
      <c r="S388" s="160">
        <v>10000</v>
      </c>
      <c r="T388" s="160"/>
      <c r="U388" s="94">
        <v>1</v>
      </c>
      <c r="V388" s="117">
        <f t="shared" si="26"/>
        <v>0</v>
      </c>
    </row>
    <row r="389" spans="1:22" x14ac:dyDescent="0.25">
      <c r="A389" s="158">
        <f t="shared" si="22"/>
        <v>377</v>
      </c>
      <c r="B389" s="158">
        <f t="shared" si="22"/>
        <v>377</v>
      </c>
      <c r="C389" s="77" t="s">
        <v>629</v>
      </c>
      <c r="D389" s="159" t="s">
        <v>1070</v>
      </c>
      <c r="E389" s="160">
        <f t="shared" si="27"/>
        <v>177214.19</v>
      </c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>
        <v>169214.19</v>
      </c>
      <c r="S389" s="160">
        <v>8000</v>
      </c>
      <c r="T389" s="160"/>
      <c r="U389" s="94">
        <v>1</v>
      </c>
      <c r="V389" s="117">
        <f t="shared" si="26"/>
        <v>0</v>
      </c>
    </row>
    <row r="390" spans="1:22" x14ac:dyDescent="0.25">
      <c r="A390" s="158">
        <f t="shared" si="22"/>
        <v>378</v>
      </c>
      <c r="B390" s="158">
        <f t="shared" si="22"/>
        <v>378</v>
      </c>
      <c r="C390" s="77" t="s">
        <v>630</v>
      </c>
      <c r="D390" s="159" t="s">
        <v>1071</v>
      </c>
      <c r="E390" s="160">
        <f t="shared" si="27"/>
        <v>128755.15</v>
      </c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>
        <v>120755.15</v>
      </c>
      <c r="S390" s="160">
        <v>8000</v>
      </c>
      <c r="T390" s="160"/>
      <c r="U390" s="94">
        <v>1</v>
      </c>
      <c r="V390" s="117">
        <f t="shared" si="26"/>
        <v>0</v>
      </c>
    </row>
    <row r="391" spans="1:22" x14ac:dyDescent="0.25">
      <c r="A391" s="158">
        <f t="shared" si="22"/>
        <v>379</v>
      </c>
      <c r="B391" s="158">
        <f t="shared" si="22"/>
        <v>379</v>
      </c>
      <c r="C391" s="77" t="s">
        <v>1128</v>
      </c>
      <c r="D391" s="159" t="s">
        <v>1072</v>
      </c>
      <c r="E391" s="160">
        <f t="shared" si="27"/>
        <v>791799.27999999991</v>
      </c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>
        <v>781799.27999999991</v>
      </c>
      <c r="S391" s="160">
        <v>10000</v>
      </c>
      <c r="T391" s="160"/>
      <c r="U391" s="94">
        <v>1</v>
      </c>
      <c r="V391" s="117">
        <f t="shared" si="26"/>
        <v>0</v>
      </c>
    </row>
    <row r="392" spans="1:22" x14ac:dyDescent="0.25">
      <c r="A392" s="158">
        <f t="shared" si="22"/>
        <v>380</v>
      </c>
      <c r="B392" s="158">
        <f t="shared" si="22"/>
        <v>380</v>
      </c>
      <c r="C392" s="77" t="s">
        <v>1128</v>
      </c>
      <c r="D392" s="159" t="s">
        <v>1073</v>
      </c>
      <c r="E392" s="160">
        <f t="shared" si="27"/>
        <v>490805.02999999997</v>
      </c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>
        <v>480805.02999999997</v>
      </c>
      <c r="S392" s="160">
        <v>10000</v>
      </c>
      <c r="T392" s="160"/>
      <c r="U392" s="94">
        <v>1</v>
      </c>
      <c r="V392" s="117">
        <f t="shared" si="26"/>
        <v>0</v>
      </c>
    </row>
    <row r="393" spans="1:22" x14ac:dyDescent="0.25">
      <c r="A393" s="158">
        <f t="shared" si="22"/>
        <v>381</v>
      </c>
      <c r="B393" s="158">
        <f t="shared" si="22"/>
        <v>381</v>
      </c>
      <c r="C393" s="77" t="s">
        <v>1128</v>
      </c>
      <c r="D393" s="159" t="s">
        <v>1074</v>
      </c>
      <c r="E393" s="160">
        <f t="shared" si="27"/>
        <v>579805.47</v>
      </c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>
        <v>569805.47</v>
      </c>
      <c r="S393" s="160">
        <v>10000</v>
      </c>
      <c r="T393" s="160"/>
      <c r="U393" s="94">
        <v>1</v>
      </c>
      <c r="V393" s="117">
        <f t="shared" si="26"/>
        <v>0</v>
      </c>
    </row>
    <row r="394" spans="1:22" x14ac:dyDescent="0.25">
      <c r="A394" s="158">
        <f t="shared" si="22"/>
        <v>382</v>
      </c>
      <c r="B394" s="158">
        <f t="shared" si="22"/>
        <v>382</v>
      </c>
      <c r="C394" s="77" t="s">
        <v>1128</v>
      </c>
      <c r="D394" s="159" t="s">
        <v>1075</v>
      </c>
      <c r="E394" s="160">
        <f t="shared" si="27"/>
        <v>790606.31</v>
      </c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>
        <v>780606.31</v>
      </c>
      <c r="S394" s="160">
        <v>10000</v>
      </c>
      <c r="T394" s="160"/>
      <c r="U394" s="94">
        <v>1</v>
      </c>
      <c r="V394" s="117">
        <f t="shared" si="26"/>
        <v>0</v>
      </c>
    </row>
    <row r="395" spans="1:22" x14ac:dyDescent="0.25">
      <c r="A395" s="158">
        <f t="shared" si="22"/>
        <v>383</v>
      </c>
      <c r="B395" s="158">
        <f t="shared" si="22"/>
        <v>383</v>
      </c>
      <c r="C395" s="77" t="s">
        <v>1128</v>
      </c>
      <c r="D395" s="159" t="s">
        <v>1076</v>
      </c>
      <c r="E395" s="160">
        <f t="shared" si="27"/>
        <v>494691.55</v>
      </c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>
        <v>484691.55</v>
      </c>
      <c r="S395" s="160">
        <v>10000</v>
      </c>
      <c r="T395" s="160"/>
      <c r="U395" s="94">
        <v>1</v>
      </c>
      <c r="V395" s="117">
        <f t="shared" si="26"/>
        <v>0</v>
      </c>
    </row>
    <row r="396" spans="1:22" x14ac:dyDescent="0.25">
      <c r="A396" s="158">
        <f t="shared" si="22"/>
        <v>384</v>
      </c>
      <c r="B396" s="158">
        <f t="shared" si="22"/>
        <v>384</v>
      </c>
      <c r="C396" s="77" t="s">
        <v>534</v>
      </c>
      <c r="D396" s="159" t="s">
        <v>1214</v>
      </c>
      <c r="E396" s="160">
        <f t="shared" ref="E396:E398" si="28">SUM(F396:T396)</f>
        <v>307550.40000000002</v>
      </c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>
        <v>266006.40000000002</v>
      </c>
      <c r="S396" s="160">
        <v>41544</v>
      </c>
      <c r="T396" s="160"/>
      <c r="U396" s="108">
        <v>1</v>
      </c>
      <c r="V396" s="117">
        <f t="shared" si="26"/>
        <v>0</v>
      </c>
    </row>
    <row r="397" spans="1:22" x14ac:dyDescent="0.25">
      <c r="A397" s="158">
        <f t="shared" si="22"/>
        <v>385</v>
      </c>
      <c r="B397" s="158">
        <f t="shared" si="22"/>
        <v>385</v>
      </c>
      <c r="C397" s="77" t="s">
        <v>1147</v>
      </c>
      <c r="D397" s="159" t="s">
        <v>1216</v>
      </c>
      <c r="E397" s="160">
        <f t="shared" si="28"/>
        <v>34592.04</v>
      </c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>
        <v>34592.04</v>
      </c>
      <c r="S397" s="160"/>
      <c r="T397" s="160"/>
    </row>
    <row r="398" spans="1:22" x14ac:dyDescent="0.25">
      <c r="A398" s="158">
        <f t="shared" ref="A398:B398" si="29">+A397+1</f>
        <v>386</v>
      </c>
      <c r="B398" s="158">
        <f t="shared" si="29"/>
        <v>386</v>
      </c>
      <c r="C398" s="124" t="s">
        <v>1147</v>
      </c>
      <c r="D398" s="159" t="s">
        <v>1217</v>
      </c>
      <c r="E398" s="160">
        <f t="shared" si="28"/>
        <v>45408.83</v>
      </c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>
        <v>15408.830000000002</v>
      </c>
      <c r="S398" s="160">
        <v>30000</v>
      </c>
      <c r="T398" s="160"/>
    </row>
  </sheetData>
  <autoFilter ref="A12:W424"/>
  <mergeCells count="16">
    <mergeCell ref="A6:T6"/>
    <mergeCell ref="A8:A11"/>
    <mergeCell ref="B8:B11"/>
    <mergeCell ref="C8:C11"/>
    <mergeCell ref="D8:D11"/>
    <mergeCell ref="E8:E10"/>
    <mergeCell ref="F8:T8"/>
    <mergeCell ref="F9:L9"/>
    <mergeCell ref="M9:M10"/>
    <mergeCell ref="N9:N10"/>
    <mergeCell ref="O9:O10"/>
    <mergeCell ref="P9:P10"/>
    <mergeCell ref="Q9:Q10"/>
    <mergeCell ref="R9:R10"/>
    <mergeCell ref="S9:S10"/>
    <mergeCell ref="T9:T10"/>
  </mergeCells>
  <conditionalFormatting sqref="D258:D259">
    <cfRule type="duplicateValues" dxfId="3" priority="2"/>
  </conditionalFormatting>
  <conditionalFormatting sqref="D335">
    <cfRule type="duplicateValues" dxfId="2" priority="1"/>
  </conditionalFormatting>
  <conditionalFormatting sqref="D192:D193">
    <cfRule type="duplicateValues" dxfId="1" priority="3"/>
  </conditionalFormatting>
  <conditionalFormatting sqref="D361:D362 D342:D344 D207 D203:D204 D62 D178:D183 D346:D351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7" fitToHeight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1"/>
  <sheetViews>
    <sheetView workbookViewId="0">
      <selection activeCell="C32" sqref="C32"/>
    </sheetView>
  </sheetViews>
  <sheetFormatPr defaultRowHeight="15" x14ac:dyDescent="0.25"/>
  <cols>
    <col min="3" max="3" width="110.85546875" customWidth="1"/>
  </cols>
  <sheetData>
    <row r="3" spans="3:3" x14ac:dyDescent="0.25">
      <c r="C3" s="77" t="s">
        <v>54</v>
      </c>
    </row>
    <row r="4" spans="3:3" x14ac:dyDescent="0.25">
      <c r="C4" s="77" t="s">
        <v>59</v>
      </c>
    </row>
    <row r="5" spans="3:3" x14ac:dyDescent="0.25">
      <c r="C5" s="77" t="s">
        <v>275</v>
      </c>
    </row>
    <row r="6" spans="3:3" x14ac:dyDescent="0.25">
      <c r="C6" s="77" t="s">
        <v>60</v>
      </c>
    </row>
    <row r="7" spans="3:3" x14ac:dyDescent="0.25">
      <c r="C7" s="77" t="s">
        <v>545</v>
      </c>
    </row>
    <row r="8" spans="3:3" x14ac:dyDescent="0.25">
      <c r="C8" s="77" t="s">
        <v>546</v>
      </c>
    </row>
    <row r="9" spans="3:3" x14ac:dyDescent="0.25">
      <c r="C9" s="77" t="s">
        <v>72</v>
      </c>
    </row>
    <row r="10" spans="3:3" x14ac:dyDescent="0.25">
      <c r="C10" s="77" t="s">
        <v>45</v>
      </c>
    </row>
    <row r="11" spans="3:3" x14ac:dyDescent="0.25">
      <c r="C11" s="77" t="s">
        <v>220</v>
      </c>
    </row>
    <row r="12" spans="3:3" x14ac:dyDescent="0.25">
      <c r="C12" s="77" t="s">
        <v>89</v>
      </c>
    </row>
    <row r="13" spans="3:3" x14ac:dyDescent="0.25">
      <c r="C13" s="77" t="s">
        <v>234</v>
      </c>
    </row>
    <row r="14" spans="3:3" x14ac:dyDescent="0.25">
      <c r="C14" s="77" t="s">
        <v>95</v>
      </c>
    </row>
    <row r="15" spans="3:3" x14ac:dyDescent="0.25">
      <c r="C15" s="77" t="s">
        <v>241</v>
      </c>
    </row>
    <row r="16" spans="3:3" x14ac:dyDescent="0.25">
      <c r="C16" s="77" t="s">
        <v>47</v>
      </c>
    </row>
    <row r="17" spans="3:3" x14ac:dyDescent="0.25">
      <c r="C17" s="77" t="s">
        <v>50</v>
      </c>
    </row>
    <row r="18" spans="3:3" x14ac:dyDescent="0.25">
      <c r="C18" s="77" t="s">
        <v>103</v>
      </c>
    </row>
    <row r="19" spans="3:3" x14ac:dyDescent="0.25">
      <c r="C19" s="77" t="s">
        <v>520</v>
      </c>
    </row>
    <row r="20" spans="3:3" x14ac:dyDescent="0.25">
      <c r="C20" s="77" t="s">
        <v>253</v>
      </c>
    </row>
    <row r="21" spans="3:3" x14ac:dyDescent="0.25">
      <c r="C21" s="77" t="s">
        <v>259</v>
      </c>
    </row>
    <row r="22" spans="3:3" x14ac:dyDescent="0.25">
      <c r="C22" s="77" t="s">
        <v>260</v>
      </c>
    </row>
    <row r="23" spans="3:3" x14ac:dyDescent="0.25">
      <c r="C23" s="77" t="s">
        <v>542</v>
      </c>
    </row>
    <row r="24" spans="3:3" x14ac:dyDescent="0.25">
      <c r="C24" s="77" t="s">
        <v>109</v>
      </c>
    </row>
    <row r="25" spans="3:3" x14ac:dyDescent="0.25">
      <c r="C25" s="77" t="s">
        <v>110</v>
      </c>
    </row>
    <row r="26" spans="3:3" x14ac:dyDescent="0.25">
      <c r="C26" s="77" t="s">
        <v>724</v>
      </c>
    </row>
    <row r="27" spans="3:3" x14ac:dyDescent="0.25">
      <c r="C27" s="77" t="s">
        <v>595</v>
      </c>
    </row>
    <row r="28" spans="3:3" x14ac:dyDescent="0.25">
      <c r="C28" s="77" t="s">
        <v>104</v>
      </c>
    </row>
    <row r="29" spans="3:3" x14ac:dyDescent="0.25">
      <c r="C29" s="77" t="s">
        <v>105</v>
      </c>
    </row>
    <row r="30" spans="3:3" x14ac:dyDescent="0.25">
      <c r="C30" s="77" t="s">
        <v>106</v>
      </c>
    </row>
    <row r="31" spans="3:3" x14ac:dyDescent="0.25">
      <c r="C31" s="77" t="s">
        <v>446</v>
      </c>
    </row>
    <row r="32" spans="3:3" x14ac:dyDescent="0.25">
      <c r="C32" s="77" t="s">
        <v>262</v>
      </c>
    </row>
    <row r="33" spans="3:3" x14ac:dyDescent="0.25">
      <c r="C33" s="77" t="s">
        <v>632</v>
      </c>
    </row>
    <row r="34" spans="3:3" x14ac:dyDescent="0.25">
      <c r="C34" s="77" t="s">
        <v>624</v>
      </c>
    </row>
    <row r="35" spans="3:3" x14ac:dyDescent="0.25">
      <c r="C35" s="77" t="s">
        <v>87</v>
      </c>
    </row>
    <row r="36" spans="3:3" x14ac:dyDescent="0.25">
      <c r="C36" s="77" t="s">
        <v>88</v>
      </c>
    </row>
    <row r="37" spans="3:3" x14ac:dyDescent="0.25">
      <c r="C37" s="77" t="s">
        <v>102</v>
      </c>
    </row>
    <row r="38" spans="3:3" x14ac:dyDescent="0.25">
      <c r="C38" s="77" t="s">
        <v>628</v>
      </c>
    </row>
    <row r="39" spans="3:3" x14ac:dyDescent="0.25">
      <c r="C39" s="77" t="s">
        <v>629</v>
      </c>
    </row>
    <row r="40" spans="3:3" x14ac:dyDescent="0.25">
      <c r="C40" s="77" t="s">
        <v>630</v>
      </c>
    </row>
    <row r="41" spans="3:3" x14ac:dyDescent="0.25">
      <c r="C41" s="77" t="s">
        <v>534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№1</vt:lpstr>
      <vt:lpstr>Приложение №2</vt:lpstr>
      <vt:lpstr>Приложение №3</vt:lpstr>
      <vt:lpstr>Приложение №4</vt:lpstr>
      <vt:lpstr>Лист1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  <vt:lpstr>'Приложение №3'!Область_печати</vt:lpstr>
      <vt:lpstr>'Приложение №4'!Область_печати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Евстафьева Каролина Валериевна</cp:lastModifiedBy>
  <cp:lastPrinted>2022-12-30T05:34:52Z</cp:lastPrinted>
  <dcterms:created xsi:type="dcterms:W3CDTF">2019-11-06T08:51:16Z</dcterms:created>
  <dcterms:modified xsi:type="dcterms:W3CDTF">2022-12-30T05:37:00Z</dcterms:modified>
</cp:coreProperties>
</file>